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7.xml" ContentType="application/vnd.ms-excel.controlproperties+xml"/>
  <Override PartName="/xl/comments2.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drawings/drawing7.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trlProps/ctrlProp1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9.xml" ContentType="application/vnd.openxmlformats-officedocument.drawing+xml"/>
  <Override PartName="/xl/ctrlProps/ctrlProp12.xml" ContentType="application/vnd.ms-excel.controlpropertie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codeName="{899C9086-67A9-5B14-2C2D-5A8001700F7D}"/>
  <workbookPr codeName="ThisWorkbook"/>
  <mc:AlternateContent xmlns:mc="http://schemas.openxmlformats.org/markup-compatibility/2006">
    <mc:Choice Requires="x15">
      <x15ac:absPath xmlns:x15ac="http://schemas.microsoft.com/office/spreadsheetml/2010/11/ac" url="C:\BradM\Economics\SHEEP\2025\"/>
    </mc:Choice>
  </mc:AlternateContent>
  <xr:revisionPtr revIDLastSave="0" documentId="8_{CD1C51C8-E68E-44A8-90AD-2750A654F705}" xr6:coauthVersionLast="47" xr6:coauthVersionMax="47" xr10:uidLastSave="{00000000-0000-0000-0000-000000000000}"/>
  <workbookProtection lockStructure="1"/>
  <bookViews>
    <workbookView xWindow="-120" yWindow="-120" windowWidth="25440" windowHeight="15270" tabRatio="820" xr2:uid="{00000000-000D-0000-FFFF-FFFF00000000}"/>
  </bookViews>
  <sheets>
    <sheet name="Disclosure" sheetId="12" r:id="rId1"/>
    <sheet name="Intro" sheetId="13" r:id="rId2"/>
    <sheet name="COP Calculation" sheetId="7" r:id="rId3"/>
    <sheet name="Input" sheetId="3" r:id="rId4"/>
    <sheet name="Feed" sheetId="16" r:id="rId5"/>
    <sheet name="Monthly" sheetId="8" r:id="rId6"/>
    <sheet name="Income_Expense" sheetId="4" r:id="rId7"/>
    <sheet name="Sensitivity" sheetId="14" r:id="rId8"/>
    <sheet name="Balance_Sheet" sheetId="10" r:id="rId9"/>
    <sheet name="Investment" sheetId="18" r:id="rId10"/>
    <sheet name="Financing" sheetId="6" r:id="rId11"/>
    <sheet name="Depreciation" sheetId="5" r:id="rId12"/>
  </sheets>
  <definedNames>
    <definedName name="_xlnm.Print_Titles" localSheetId="5">Monthly!$C:$E</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in" localSheetId="2" hidden="1">2</definedName>
    <definedName name="solver_neg" localSheetId="2" hidden="1">2</definedName>
    <definedName name="solver_num" localSheetId="2" hidden="1">0</definedName>
    <definedName name="solver_nwt" localSheetId="2" hidden="1">1</definedName>
    <definedName name="solver_opt" localSheetId="2" hidden="1">'COP Calculation'!$D$186</definedName>
    <definedName name="solver_pre" localSheetId="2" hidden="1">0.000001</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1</definedName>
    <definedName name="solver_val" localSheetId="2"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47" i="16" l="1"/>
  <c r="E25" i="16"/>
  <c r="F25" i="16"/>
  <c r="G25" i="16"/>
  <c r="H25" i="16"/>
  <c r="D25" i="16"/>
  <c r="E24" i="16"/>
  <c r="F24" i="16"/>
  <c r="G24" i="16"/>
  <c r="H24" i="16"/>
  <c r="D24" i="16"/>
  <c r="B22" i="16"/>
  <c r="B27" i="16"/>
  <c r="E86" i="8" l="1"/>
  <c r="E67" i="16"/>
  <c r="F67" i="16"/>
  <c r="G67" i="16"/>
  <c r="H67" i="16"/>
  <c r="D67" i="16"/>
  <c r="E61" i="16"/>
  <c r="F61" i="16"/>
  <c r="G61" i="16"/>
  <c r="G84" i="16" s="1"/>
  <c r="G89" i="16" s="1"/>
  <c r="G8" i="16" s="1"/>
  <c r="H61" i="16"/>
  <c r="H84" i="16" s="1"/>
  <c r="H89" i="16" s="1"/>
  <c r="H8" i="16" s="1"/>
  <c r="D61" i="16"/>
  <c r="E30" i="16"/>
  <c r="F30" i="16"/>
  <c r="G30" i="16"/>
  <c r="H30" i="16"/>
  <c r="D30" i="16"/>
  <c r="E29" i="16"/>
  <c r="F29" i="16"/>
  <c r="G29" i="16"/>
  <c r="H29" i="16"/>
  <c r="D29" i="16"/>
  <c r="E20" i="16"/>
  <c r="F20" i="16"/>
  <c r="G20" i="16"/>
  <c r="H20" i="16"/>
  <c r="D20" i="16"/>
  <c r="E19" i="16"/>
  <c r="F19" i="16"/>
  <c r="G19" i="16"/>
  <c r="H19" i="16"/>
  <c r="D19" i="16"/>
  <c r="E15" i="16"/>
  <c r="F15" i="16"/>
  <c r="G15" i="16"/>
  <c r="H15" i="16"/>
  <c r="H34" i="16" s="1"/>
  <c r="H38" i="16" s="1"/>
  <c r="D15" i="16"/>
  <c r="D34" i="16" s="1"/>
  <c r="D38" i="16" s="1"/>
  <c r="E14" i="16"/>
  <c r="F14" i="16"/>
  <c r="G14" i="16"/>
  <c r="H14" i="16"/>
  <c r="D14" i="16"/>
  <c r="D61" i="8"/>
  <c r="D60" i="8"/>
  <c r="D59" i="8"/>
  <c r="D58" i="8"/>
  <c r="D33" i="16" l="1"/>
  <c r="D37" i="16" s="1"/>
  <c r="G34" i="16"/>
  <c r="G38" i="16" s="1"/>
  <c r="F34" i="16"/>
  <c r="F38" i="16" s="1"/>
  <c r="E34" i="16"/>
  <c r="E38" i="16" s="1"/>
  <c r="H33" i="16"/>
  <c r="H37" i="16" s="1"/>
  <c r="G33" i="16"/>
  <c r="G37" i="16" s="1"/>
  <c r="F33" i="16"/>
  <c r="F37" i="16" s="1"/>
  <c r="E33" i="16"/>
  <c r="E37" i="16" s="1"/>
  <c r="G78" i="16"/>
  <c r="E78" i="16"/>
  <c r="E84" i="16"/>
  <c r="E89" i="16" s="1"/>
  <c r="E8" i="16" s="1"/>
  <c r="F78" i="16"/>
  <c r="F84" i="16"/>
  <c r="F89" i="16" s="1"/>
  <c r="F8" i="16" s="1"/>
  <c r="H78" i="16"/>
  <c r="D78" i="16"/>
  <c r="D84" i="16"/>
  <c r="D89" i="16" s="1"/>
  <c r="D8" i="16" s="1"/>
  <c r="D10" i="8"/>
  <c r="D9" i="8"/>
  <c r="D8" i="8"/>
  <c r="D7" i="8"/>
  <c r="F29" i="3"/>
  <c r="E29" i="3"/>
  <c r="H278" i="3" l="1"/>
  <c r="I278" i="3" s="1"/>
  <c r="G278" i="3"/>
  <c r="F278" i="3"/>
  <c r="C126" i="3"/>
  <c r="AA28" i="14" l="1"/>
  <c r="AA29" i="14"/>
  <c r="AA30" i="14" s="1"/>
  <c r="AA11" i="14"/>
  <c r="AA12" i="14" s="1"/>
  <c r="AA13" i="14" s="1"/>
  <c r="AA14" i="14" s="1"/>
  <c r="AA15" i="14" s="1"/>
  <c r="AA42" i="14"/>
  <c r="AA43" i="14" s="1"/>
  <c r="AA44" i="14" s="1"/>
  <c r="AA45" i="14" s="1"/>
  <c r="AA46" i="14" s="1"/>
  <c r="AA47" i="14" s="1"/>
  <c r="AA48" i="14" s="1"/>
  <c r="AA49" i="14" s="1"/>
  <c r="AA50" i="14" s="1"/>
  <c r="AA51" i="14" s="1"/>
  <c r="AA52" i="14" s="1"/>
  <c r="AA53" i="14" s="1"/>
  <c r="AA54" i="14" s="1"/>
  <c r="AA55" i="14" s="1"/>
  <c r="AA56" i="14" s="1"/>
  <c r="AA57" i="14" s="1"/>
  <c r="AA58" i="14" s="1"/>
  <c r="AA59" i="14" s="1"/>
  <c r="AA40" i="14"/>
  <c r="AA41" i="14" s="1"/>
  <c r="AJ31" i="14"/>
  <c r="X32" i="14"/>
  <c r="Y32" i="14" s="1"/>
  <c r="W32" i="14"/>
  <c r="X31" i="14"/>
  <c r="Y31" i="14" s="1"/>
  <c r="W31" i="14"/>
  <c r="Y30" i="14"/>
  <c r="Y29" i="14"/>
  <c r="Y28" i="14"/>
  <c r="Y27" i="14"/>
  <c r="Y26" i="14"/>
  <c r="Y25" i="14"/>
  <c r="Y24" i="14"/>
  <c r="Y23" i="14"/>
  <c r="Y22" i="14"/>
  <c r="Y21" i="14"/>
  <c r="Y20" i="14"/>
  <c r="Y19" i="14"/>
  <c r="Y18" i="14"/>
  <c r="Y17" i="14"/>
  <c r="Y16" i="14"/>
  <c r="Y15" i="14"/>
  <c r="Y14" i="14"/>
  <c r="Y13" i="14"/>
  <c r="Y12" i="14"/>
  <c r="Y11" i="14"/>
  <c r="Y10" i="14"/>
  <c r="B20" i="14"/>
  <c r="B19" i="14" s="1"/>
  <c r="B18" i="14" s="1"/>
  <c r="B17" i="14" s="1"/>
  <c r="B16" i="14" s="1"/>
  <c r="B15" i="14" s="1"/>
  <c r="B14" i="14" s="1"/>
  <c r="B13" i="14" s="1"/>
  <c r="B12" i="14" s="1"/>
  <c r="B11" i="14" s="1"/>
  <c r="B10" i="14" s="1"/>
  <c r="AA16" i="14" l="1"/>
  <c r="AA17" i="14" s="1"/>
  <c r="AA18" i="14" s="1"/>
  <c r="AA19" i="14" s="1"/>
  <c r="AA20" i="14" s="1"/>
  <c r="AA21" i="14" s="1"/>
  <c r="AA22" i="14" s="1"/>
  <c r="AA23" i="14" s="1"/>
  <c r="AA24" i="14" s="1"/>
  <c r="AA25" i="14" s="1"/>
  <c r="AA26" i="14" s="1"/>
  <c r="AA27" i="14" s="1"/>
  <c r="B21" i="14"/>
  <c r="X61" i="14"/>
  <c r="Y61" i="14" s="1"/>
  <c r="X60" i="14"/>
  <c r="Y60" i="14" s="1"/>
  <c r="W61" i="14"/>
  <c r="W60" i="14"/>
  <c r="B22" i="14" l="1"/>
  <c r="B23" i="14" l="1"/>
  <c r="B24" i="14" l="1"/>
  <c r="B25" i="14" l="1"/>
  <c r="B26" i="14" l="1"/>
  <c r="B27" i="14" l="1"/>
  <c r="B28" i="14" l="1"/>
  <c r="B29" i="14" l="1"/>
  <c r="B30" i="14" l="1"/>
  <c r="E320" i="3" l="1"/>
  <c r="E321" i="3" s="1"/>
  <c r="F318" i="3" l="1"/>
  <c r="K104" i="3"/>
  <c r="G318" i="3" l="1"/>
  <c r="E201" i="3"/>
  <c r="F317" i="3"/>
  <c r="B74" i="14"/>
  <c r="B75" i="14" s="1"/>
  <c r="F37" i="3"/>
  <c r="E202" i="3" l="1"/>
  <c r="H318" i="3"/>
  <c r="G317" i="3"/>
  <c r="B76" i="14"/>
  <c r="Z75" i="14"/>
  <c r="B73" i="14"/>
  <c r="K101" i="3"/>
  <c r="K100" i="3"/>
  <c r="I318" i="3" l="1"/>
  <c r="H317" i="3"/>
  <c r="B72" i="14"/>
  <c r="Z73" i="14"/>
  <c r="B77" i="14"/>
  <c r="Z76" i="14"/>
  <c r="F47" i="8"/>
  <c r="AE143" i="8"/>
  <c r="F35" i="3"/>
  <c r="G35" i="3"/>
  <c r="H35" i="3"/>
  <c r="I35" i="3"/>
  <c r="E35" i="3"/>
  <c r="I317" i="3" l="1"/>
  <c r="Z72" i="14"/>
  <c r="B71" i="14"/>
  <c r="B78" i="14"/>
  <c r="Z77" i="14"/>
  <c r="G144" i="4"/>
  <c r="H144" i="4"/>
  <c r="E155" i="4"/>
  <c r="F155" i="4"/>
  <c r="G155" i="4"/>
  <c r="H155" i="4"/>
  <c r="D155" i="4"/>
  <c r="G156" i="4"/>
  <c r="H156" i="4"/>
  <c r="C153" i="4"/>
  <c r="C152" i="4"/>
  <c r="C123" i="4"/>
  <c r="B110" i="4"/>
  <c r="G91" i="4"/>
  <c r="H91" i="4"/>
  <c r="G60" i="4"/>
  <c r="H60" i="4"/>
  <c r="D52" i="4"/>
  <c r="D104" i="4" s="1"/>
  <c r="B79" i="14" l="1"/>
  <c r="Z78" i="14"/>
  <c r="B70" i="14"/>
  <c r="Z71" i="14"/>
  <c r="D51" i="4"/>
  <c r="D103" i="4" s="1"/>
  <c r="C70" i="4"/>
  <c r="E335" i="3"/>
  <c r="B69" i="14" l="1"/>
  <c r="Z70" i="14"/>
  <c r="B80" i="14"/>
  <c r="Z79" i="14"/>
  <c r="C18" i="4"/>
  <c r="E148" i="8"/>
  <c r="B81" i="14" l="1"/>
  <c r="Z80" i="14"/>
  <c r="Z69" i="14"/>
  <c r="B68" i="14"/>
  <c r="G131" i="8"/>
  <c r="H115" i="8"/>
  <c r="I115" i="8"/>
  <c r="J115" i="8"/>
  <c r="K115" i="8"/>
  <c r="L115" i="8"/>
  <c r="M115" i="8"/>
  <c r="N115" i="8"/>
  <c r="O115" i="8"/>
  <c r="P115" i="8"/>
  <c r="Q115" i="8"/>
  <c r="G115" i="8"/>
  <c r="F115" i="8"/>
  <c r="F316" i="3"/>
  <c r="E118" i="3"/>
  <c r="G82" i="8"/>
  <c r="H82" i="8"/>
  <c r="I82" i="8"/>
  <c r="J82" i="8"/>
  <c r="K82" i="8"/>
  <c r="L82" i="8"/>
  <c r="M82" i="8"/>
  <c r="N82" i="8"/>
  <c r="O82" i="8"/>
  <c r="P82" i="8"/>
  <c r="Q82" i="8"/>
  <c r="R82" i="8"/>
  <c r="S82" i="8"/>
  <c r="T82" i="8"/>
  <c r="U82" i="8"/>
  <c r="V82" i="8"/>
  <c r="W82" i="8"/>
  <c r="X82" i="8"/>
  <c r="Y82" i="8"/>
  <c r="Z82" i="8"/>
  <c r="AA82" i="8"/>
  <c r="AB82" i="8"/>
  <c r="AC82" i="8"/>
  <c r="G80" i="8"/>
  <c r="H80" i="8"/>
  <c r="I80" i="8"/>
  <c r="J80" i="8"/>
  <c r="K80" i="8"/>
  <c r="L80" i="8"/>
  <c r="M80" i="8"/>
  <c r="N80" i="8"/>
  <c r="O80" i="8"/>
  <c r="P80" i="8"/>
  <c r="Q80" i="8"/>
  <c r="R80" i="8"/>
  <c r="S80" i="8"/>
  <c r="T80" i="8"/>
  <c r="U80" i="8"/>
  <c r="V80" i="8"/>
  <c r="W80" i="8"/>
  <c r="X80" i="8"/>
  <c r="Y80" i="8"/>
  <c r="Z80" i="8"/>
  <c r="AA80" i="8"/>
  <c r="AB80" i="8"/>
  <c r="AC80" i="8"/>
  <c r="F82" i="8"/>
  <c r="F80" i="8"/>
  <c r="B67" i="14" l="1"/>
  <c r="Z68" i="14"/>
  <c r="B82" i="14"/>
  <c r="Z81" i="14"/>
  <c r="D13" i="4"/>
  <c r="E232" i="3"/>
  <c r="F50" i="8" s="1"/>
  <c r="P48" i="8"/>
  <c r="Q48" i="8"/>
  <c r="G48" i="8"/>
  <c r="H48" i="8"/>
  <c r="I48" i="8"/>
  <c r="J48" i="8"/>
  <c r="F48" i="8"/>
  <c r="S53" i="8"/>
  <c r="X53" i="8"/>
  <c r="Y53" i="8"/>
  <c r="G53" i="8"/>
  <c r="H53" i="8"/>
  <c r="I53" i="8"/>
  <c r="J53" i="8"/>
  <c r="K53" i="8"/>
  <c r="L53" i="8"/>
  <c r="M53" i="8"/>
  <c r="N53" i="8"/>
  <c r="O53" i="8"/>
  <c r="P53" i="8"/>
  <c r="Q53" i="8"/>
  <c r="C47" i="8"/>
  <c r="C50" i="8"/>
  <c r="G43" i="8"/>
  <c r="H43" i="8"/>
  <c r="I43" i="8"/>
  <c r="J43" i="8"/>
  <c r="K43" i="8"/>
  <c r="L43" i="8"/>
  <c r="M43" i="8"/>
  <c r="N43" i="8"/>
  <c r="O43" i="8"/>
  <c r="P43" i="8"/>
  <c r="Q43" i="8"/>
  <c r="F43" i="8"/>
  <c r="C43" i="8"/>
  <c r="S33" i="8"/>
  <c r="T33" i="8"/>
  <c r="U33" i="8"/>
  <c r="V33" i="8"/>
  <c r="W33" i="8"/>
  <c r="X33" i="8"/>
  <c r="Y33" i="8"/>
  <c r="Z33" i="8"/>
  <c r="AA33" i="8"/>
  <c r="AB33" i="8"/>
  <c r="AC33" i="8"/>
  <c r="S34" i="8"/>
  <c r="S48" i="8" s="1"/>
  <c r="T34" i="8"/>
  <c r="T48" i="8" s="1"/>
  <c r="U34" i="8"/>
  <c r="U48" i="8" s="1"/>
  <c r="V34" i="8"/>
  <c r="V48" i="8" s="1"/>
  <c r="W34" i="8"/>
  <c r="X34" i="8"/>
  <c r="Y34" i="8"/>
  <c r="Z34" i="8"/>
  <c r="AA34" i="8"/>
  <c r="AB34" i="8"/>
  <c r="AB48" i="8" s="1"/>
  <c r="AC34" i="8"/>
  <c r="AC48" i="8" s="1"/>
  <c r="R34" i="8"/>
  <c r="R48" i="8" s="1"/>
  <c r="R33" i="8"/>
  <c r="I35" i="8"/>
  <c r="J35" i="8"/>
  <c r="K35" i="8"/>
  <c r="L35" i="8"/>
  <c r="M35" i="8"/>
  <c r="N35" i="8"/>
  <c r="O35" i="8"/>
  <c r="P35" i="8"/>
  <c r="Q35" i="8"/>
  <c r="I37" i="8"/>
  <c r="J37" i="8"/>
  <c r="K37" i="8"/>
  <c r="L37" i="8"/>
  <c r="M37" i="8"/>
  <c r="N37" i="8"/>
  <c r="O37" i="8"/>
  <c r="P37" i="8"/>
  <c r="Q37" i="8"/>
  <c r="I39" i="8"/>
  <c r="J39" i="8"/>
  <c r="K39" i="8"/>
  <c r="L39" i="8"/>
  <c r="M39" i="8"/>
  <c r="N39" i="8"/>
  <c r="O39" i="8"/>
  <c r="P39" i="8"/>
  <c r="Q39" i="8"/>
  <c r="I41" i="8"/>
  <c r="J41" i="8"/>
  <c r="K41" i="8"/>
  <c r="L41" i="8"/>
  <c r="M41" i="8"/>
  <c r="N41" i="8"/>
  <c r="O41" i="8"/>
  <c r="P41" i="8"/>
  <c r="Q41" i="8"/>
  <c r="G35" i="8"/>
  <c r="H35" i="8"/>
  <c r="G37" i="8"/>
  <c r="H37" i="8"/>
  <c r="G39" i="8"/>
  <c r="H39" i="8"/>
  <c r="G41" i="8"/>
  <c r="H41" i="8"/>
  <c r="F41" i="8"/>
  <c r="C41" i="8"/>
  <c r="F39" i="8"/>
  <c r="C39" i="8"/>
  <c r="F37" i="8"/>
  <c r="C37" i="8"/>
  <c r="F35" i="8"/>
  <c r="C35" i="8"/>
  <c r="G33" i="8"/>
  <c r="H33" i="8"/>
  <c r="I33" i="8"/>
  <c r="J33" i="8"/>
  <c r="K33" i="8"/>
  <c r="L33" i="8"/>
  <c r="M33" i="8"/>
  <c r="N33" i="8"/>
  <c r="O33" i="8"/>
  <c r="P33" i="8"/>
  <c r="Q33" i="8"/>
  <c r="F33" i="8"/>
  <c r="Y51" i="8" l="1"/>
  <c r="Y48" i="8" s="1"/>
  <c r="X51" i="8"/>
  <c r="X48" i="8" s="1"/>
  <c r="W51" i="8"/>
  <c r="W48" i="8" s="1"/>
  <c r="AA51" i="8"/>
  <c r="AA48" i="8" s="1"/>
  <c r="Z51" i="8"/>
  <c r="Z48" i="8" s="1"/>
  <c r="Z82" i="14"/>
  <c r="B66" i="14"/>
  <c r="Z67" i="14"/>
  <c r="K51" i="8"/>
  <c r="L51" i="8"/>
  <c r="L48" i="8" s="1"/>
  <c r="D65" i="4"/>
  <c r="H45" i="8"/>
  <c r="AC53" i="8"/>
  <c r="W53" i="8"/>
  <c r="AB53" i="8"/>
  <c r="V53" i="8"/>
  <c r="J45" i="8"/>
  <c r="AA53" i="8"/>
  <c r="U53" i="8"/>
  <c r="Z53" i="8"/>
  <c r="T53" i="8"/>
  <c r="N45" i="8"/>
  <c r="P45" i="8"/>
  <c r="O45" i="8"/>
  <c r="I45" i="8"/>
  <c r="L45" i="8"/>
  <c r="F45" i="8"/>
  <c r="G45" i="8"/>
  <c r="Q45" i="8"/>
  <c r="K45" i="8"/>
  <c r="M45" i="8"/>
  <c r="Z66" i="14" l="1"/>
  <c r="L54" i="8"/>
  <c r="M51" i="8" s="1"/>
  <c r="K48" i="8"/>
  <c r="F53" i="8"/>
  <c r="M54" i="8" l="1"/>
  <c r="M48" i="8"/>
  <c r="G37" i="3"/>
  <c r="B75" i="8"/>
  <c r="B74" i="8"/>
  <c r="B73" i="8"/>
  <c r="F199" i="3"/>
  <c r="C11" i="8"/>
  <c r="C10" i="8"/>
  <c r="C9" i="8"/>
  <c r="C8" i="8"/>
  <c r="C7" i="8"/>
  <c r="N51" i="8" l="1"/>
  <c r="N48" i="8" s="1"/>
  <c r="G199" i="3"/>
  <c r="U43" i="8"/>
  <c r="AA43" i="8"/>
  <c r="V43" i="8"/>
  <c r="AB43" i="8"/>
  <c r="W43" i="8"/>
  <c r="AC43" i="8"/>
  <c r="T43" i="8"/>
  <c r="Z43" i="8"/>
  <c r="X43" i="8"/>
  <c r="R43" i="8"/>
  <c r="S43" i="8"/>
  <c r="Y43" i="8"/>
  <c r="C13" i="8"/>
  <c r="B11" i="8" s="1"/>
  <c r="E72" i="8"/>
  <c r="B76" i="8"/>
  <c r="D72" i="8"/>
  <c r="E192" i="3"/>
  <c r="C161" i="3"/>
  <c r="C162" i="3"/>
  <c r="C163" i="3"/>
  <c r="C164" i="3"/>
  <c r="C165" i="3"/>
  <c r="C166" i="3"/>
  <c r="C167" i="3"/>
  <c r="C160" i="3"/>
  <c r="E172" i="3"/>
  <c r="E173" i="3" s="1"/>
  <c r="F171" i="3"/>
  <c r="G171" i="3" s="1"/>
  <c r="H171" i="3" s="1"/>
  <c r="I171" i="3" s="1"/>
  <c r="F170" i="3"/>
  <c r="G170" i="3" s="1"/>
  <c r="H170" i="3" s="1"/>
  <c r="I170" i="3" s="1"/>
  <c r="F169" i="3"/>
  <c r="G169" i="3" s="1"/>
  <c r="H169" i="3" s="1"/>
  <c r="I169" i="3" s="1"/>
  <c r="F168" i="3"/>
  <c r="G168" i="3" s="1"/>
  <c r="H168" i="3" s="1"/>
  <c r="I168" i="3" s="1"/>
  <c r="F167" i="3"/>
  <c r="G167" i="3" s="1"/>
  <c r="H167" i="3" s="1"/>
  <c r="I167" i="3" s="1"/>
  <c r="F166" i="3"/>
  <c r="G166" i="3" s="1"/>
  <c r="H166" i="3" s="1"/>
  <c r="I166" i="3" s="1"/>
  <c r="F165" i="3"/>
  <c r="G165" i="3" s="1"/>
  <c r="H165" i="3" s="1"/>
  <c r="I165" i="3" s="1"/>
  <c r="F164" i="3"/>
  <c r="G164" i="3" s="1"/>
  <c r="H164" i="3" s="1"/>
  <c r="I164" i="3" s="1"/>
  <c r="F163" i="3"/>
  <c r="G163" i="3" s="1"/>
  <c r="H163" i="3" s="1"/>
  <c r="I163" i="3" s="1"/>
  <c r="F162" i="3"/>
  <c r="G162" i="3" s="1"/>
  <c r="H162" i="3" s="1"/>
  <c r="I162" i="3" s="1"/>
  <c r="F161" i="3"/>
  <c r="G161" i="3" s="1"/>
  <c r="H161" i="3" s="1"/>
  <c r="I161" i="3" s="1"/>
  <c r="F160" i="3"/>
  <c r="F158" i="3"/>
  <c r="I157" i="3"/>
  <c r="H157" i="3"/>
  <c r="G157" i="3"/>
  <c r="F157" i="3"/>
  <c r="E157" i="3"/>
  <c r="H199" i="3" l="1"/>
  <c r="E210" i="3"/>
  <c r="E195" i="3"/>
  <c r="N54" i="8"/>
  <c r="G158" i="3"/>
  <c r="H158" i="3" s="1"/>
  <c r="I158" i="3" s="1"/>
  <c r="X39" i="8"/>
  <c r="R39" i="8"/>
  <c r="S39" i="8"/>
  <c r="Y39" i="8"/>
  <c r="W39" i="8"/>
  <c r="T39" i="8"/>
  <c r="Z39" i="8"/>
  <c r="U39" i="8"/>
  <c r="AA39" i="8"/>
  <c r="V39" i="8"/>
  <c r="AB39" i="8"/>
  <c r="AC39" i="8"/>
  <c r="B9" i="8"/>
  <c r="B10" i="8"/>
  <c r="B8" i="8"/>
  <c r="B7" i="8"/>
  <c r="G160" i="3"/>
  <c r="F104" i="3"/>
  <c r="F102" i="3"/>
  <c r="F101" i="3"/>
  <c r="I199" i="3" l="1"/>
  <c r="E196" i="3"/>
  <c r="E207" i="3"/>
  <c r="E208" i="3" s="1"/>
  <c r="E209" i="3" s="1"/>
  <c r="O51" i="8"/>
  <c r="O48" i="8" s="1"/>
  <c r="H160" i="3"/>
  <c r="E96" i="3"/>
  <c r="G113" i="8"/>
  <c r="H113" i="8"/>
  <c r="I113" i="8"/>
  <c r="J113" i="8"/>
  <c r="K113" i="8"/>
  <c r="L113" i="8"/>
  <c r="M113" i="8"/>
  <c r="N113" i="8"/>
  <c r="O113" i="8"/>
  <c r="P113" i="8"/>
  <c r="Q113" i="8"/>
  <c r="F113" i="8"/>
  <c r="P96" i="8"/>
  <c r="Q96" i="8"/>
  <c r="P97" i="8"/>
  <c r="Q97" i="8"/>
  <c r="G96" i="8"/>
  <c r="H96" i="8"/>
  <c r="I96" i="8"/>
  <c r="J96" i="8"/>
  <c r="K96" i="8"/>
  <c r="L96" i="8"/>
  <c r="M96" i="8"/>
  <c r="N96" i="8"/>
  <c r="O96" i="8"/>
  <c r="G97" i="8"/>
  <c r="H97" i="8"/>
  <c r="I97" i="8"/>
  <c r="J97" i="8"/>
  <c r="K97" i="8"/>
  <c r="L97" i="8"/>
  <c r="M97" i="8"/>
  <c r="N97" i="8"/>
  <c r="O97" i="8"/>
  <c r="F97" i="8"/>
  <c r="F96" i="8"/>
  <c r="Q94" i="8"/>
  <c r="G94" i="8"/>
  <c r="H94" i="8"/>
  <c r="I94" i="8"/>
  <c r="J94" i="8"/>
  <c r="K94" i="8"/>
  <c r="L94" i="8"/>
  <c r="M94" i="8"/>
  <c r="N94" i="8"/>
  <c r="O94" i="8"/>
  <c r="P94" i="8"/>
  <c r="F94" i="8"/>
  <c r="G93" i="8"/>
  <c r="H93" i="8"/>
  <c r="I93" i="8"/>
  <c r="J93" i="8"/>
  <c r="K93" i="8"/>
  <c r="L93" i="8"/>
  <c r="M93" i="8"/>
  <c r="N93" i="8"/>
  <c r="O93" i="8"/>
  <c r="P93" i="8"/>
  <c r="Q93" i="8"/>
  <c r="F93" i="8"/>
  <c r="O54" i="8" l="1"/>
  <c r="M130" i="8"/>
  <c r="H130" i="8"/>
  <c r="N130" i="8"/>
  <c r="I130" i="8"/>
  <c r="P130" i="8"/>
  <c r="F130" i="8"/>
  <c r="L130" i="8"/>
  <c r="J130" i="8"/>
  <c r="K130" i="8"/>
  <c r="Q130" i="8"/>
  <c r="G130" i="8"/>
  <c r="O130" i="8"/>
  <c r="F95" i="8"/>
  <c r="I160" i="3"/>
  <c r="K98" i="8"/>
  <c r="M98" i="8"/>
  <c r="L98" i="8"/>
  <c r="I98" i="8"/>
  <c r="AD97" i="8"/>
  <c r="AD94" i="8"/>
  <c r="AD96" i="8"/>
  <c r="O98" i="8"/>
  <c r="G98" i="8"/>
  <c r="P98" i="8"/>
  <c r="Q95" i="8"/>
  <c r="M95" i="8"/>
  <c r="I95" i="8"/>
  <c r="H98" i="8"/>
  <c r="N98" i="8"/>
  <c r="J98" i="8"/>
  <c r="Q98" i="8"/>
  <c r="F98" i="8"/>
  <c r="P95" i="8"/>
  <c r="L95" i="8"/>
  <c r="H95" i="8"/>
  <c r="O95" i="8"/>
  <c r="K95" i="8"/>
  <c r="G95" i="8"/>
  <c r="N95" i="8"/>
  <c r="J95" i="8"/>
  <c r="AD93" i="8"/>
  <c r="E38" i="3"/>
  <c r="E319" i="3" s="1"/>
  <c r="E31" i="3"/>
  <c r="Q19" i="8" s="1"/>
  <c r="Q18" i="8"/>
  <c r="K18" i="8" l="1"/>
  <c r="AD18" i="8" s="1"/>
  <c r="K19" i="8"/>
  <c r="AD19" i="8" s="1"/>
  <c r="AD95" i="8"/>
  <c r="AD98" i="8"/>
  <c r="F14" i="8" l="1"/>
  <c r="F5" i="8"/>
  <c r="F52" i="8" l="1"/>
  <c r="F64" i="8" s="1"/>
  <c r="F49" i="8"/>
  <c r="F11" i="8"/>
  <c r="A8" i="8"/>
  <c r="A9" i="8"/>
  <c r="A10" i="8"/>
  <c r="A11" i="8"/>
  <c r="A7" i="8"/>
  <c r="F10" i="8"/>
  <c r="F9" i="8"/>
  <c r="F8" i="8"/>
  <c r="F7" i="8"/>
  <c r="E20" i="3"/>
  <c r="E22" i="3"/>
  <c r="E23" i="3"/>
  <c r="F44" i="8" l="1"/>
  <c r="F62" i="8" s="1"/>
  <c r="F40" i="8"/>
  <c r="F60" i="8" s="1"/>
  <c r="F36" i="8"/>
  <c r="F42" i="8"/>
  <c r="F38" i="8"/>
  <c r="J17" i="8"/>
  <c r="N17" i="8"/>
  <c r="F17" i="8"/>
  <c r="G17" i="8"/>
  <c r="K17" i="8"/>
  <c r="O17" i="8"/>
  <c r="H17" i="8"/>
  <c r="L17" i="8"/>
  <c r="P17" i="8"/>
  <c r="I17" i="8"/>
  <c r="M17" i="8"/>
  <c r="Q17" i="8"/>
  <c r="J16" i="8"/>
  <c r="N16" i="8"/>
  <c r="F16" i="8"/>
  <c r="G16" i="8"/>
  <c r="K16" i="8"/>
  <c r="O16" i="8"/>
  <c r="H16" i="8"/>
  <c r="L16" i="8"/>
  <c r="P16" i="8"/>
  <c r="I16" i="8"/>
  <c r="M16" i="8"/>
  <c r="Q16" i="8"/>
  <c r="E32" i="3"/>
  <c r="D73" i="16"/>
  <c r="H8" i="10"/>
  <c r="G8" i="10"/>
  <c r="F8" i="10"/>
  <c r="E8" i="10"/>
  <c r="D8" i="10"/>
  <c r="C65" i="4"/>
  <c r="C64" i="4"/>
  <c r="C117" i="4" s="1"/>
  <c r="C63" i="4"/>
  <c r="C116" i="4" s="1"/>
  <c r="C62" i="4"/>
  <c r="C115" i="4" s="1"/>
  <c r="C102" i="4"/>
  <c r="D79" i="16" l="1"/>
  <c r="D85" i="16"/>
  <c r="C156" i="4"/>
  <c r="C118" i="4"/>
  <c r="F46" i="8"/>
  <c r="AD16" i="8"/>
  <c r="AD17" i="8"/>
  <c r="K13" i="8"/>
  <c r="Q13" i="8"/>
  <c r="H6" i="4" l="1"/>
  <c r="H98" i="4" s="1"/>
  <c r="G6" i="4"/>
  <c r="G98" i="4" s="1"/>
  <c r="F6" i="4"/>
  <c r="F98" i="4" s="1"/>
  <c r="E6" i="4"/>
  <c r="E98" i="4" s="1"/>
  <c r="D6" i="4"/>
  <c r="D98" i="4" s="1"/>
  <c r="N131" i="8"/>
  <c r="I131" i="8"/>
  <c r="G127" i="8"/>
  <c r="H127" i="8"/>
  <c r="I127" i="8"/>
  <c r="J127" i="8"/>
  <c r="K127" i="8"/>
  <c r="L127" i="8"/>
  <c r="M127" i="8"/>
  <c r="N127" i="8"/>
  <c r="O127" i="8"/>
  <c r="P127" i="8"/>
  <c r="Q127" i="8"/>
  <c r="F127" i="8"/>
  <c r="G126" i="8"/>
  <c r="H126" i="8"/>
  <c r="I126" i="8"/>
  <c r="J126" i="8"/>
  <c r="K126" i="8"/>
  <c r="L126" i="8"/>
  <c r="M126" i="8"/>
  <c r="N126" i="8"/>
  <c r="O126" i="8"/>
  <c r="P126" i="8"/>
  <c r="Q126" i="8"/>
  <c r="F126" i="8"/>
  <c r="E311" i="3"/>
  <c r="E38" i="4" l="1"/>
  <c r="E111" i="4"/>
  <c r="E58" i="4"/>
  <c r="E143" i="4" s="1"/>
  <c r="F111" i="4"/>
  <c r="F58" i="4"/>
  <c r="F143" i="4" s="1"/>
  <c r="G111" i="4"/>
  <c r="G58" i="4"/>
  <c r="D38" i="4"/>
  <c r="D111" i="4"/>
  <c r="D58" i="4"/>
  <c r="D143" i="4" s="1"/>
  <c r="H111" i="4"/>
  <c r="H58" i="4"/>
  <c r="AD131" i="8"/>
  <c r="AD127" i="8"/>
  <c r="AD126" i="8"/>
  <c r="D28" i="4"/>
  <c r="F38" i="4"/>
  <c r="G38" i="4"/>
  <c r="H38" i="4"/>
  <c r="G90" i="4" l="1"/>
  <c r="G143" i="4"/>
  <c r="H143" i="4"/>
  <c r="H90" i="4"/>
  <c r="AD115" i="8"/>
  <c r="AD113" i="8"/>
  <c r="O109" i="8"/>
  <c r="P109" i="8"/>
  <c r="Q109" i="8"/>
  <c r="R109" i="8"/>
  <c r="S109" i="8"/>
  <c r="T109" i="8"/>
  <c r="U109" i="8"/>
  <c r="V109" i="8"/>
  <c r="W109" i="8"/>
  <c r="X109" i="8"/>
  <c r="Y109" i="8"/>
  <c r="Z109" i="8"/>
  <c r="AA109" i="8"/>
  <c r="AB109" i="8"/>
  <c r="AC109" i="8"/>
  <c r="J109" i="8"/>
  <c r="K109" i="8"/>
  <c r="L109" i="8"/>
  <c r="M109" i="8"/>
  <c r="N109" i="8"/>
  <c r="G109" i="8"/>
  <c r="H109" i="8"/>
  <c r="I109" i="8"/>
  <c r="F109" i="8"/>
  <c r="F148" i="8" s="1"/>
  <c r="V140" i="8" l="1"/>
  <c r="V148" i="8"/>
  <c r="AC140" i="8"/>
  <c r="AC148" i="8"/>
  <c r="X140" i="8"/>
  <c r="X148" i="8"/>
  <c r="AB140" i="8"/>
  <c r="AB148" i="8"/>
  <c r="S140" i="8"/>
  <c r="S148" i="8"/>
  <c r="Z140" i="8"/>
  <c r="Z148" i="8"/>
  <c r="W140" i="8"/>
  <c r="W148" i="8"/>
  <c r="U140" i="8"/>
  <c r="U148" i="8"/>
  <c r="T140" i="8"/>
  <c r="T148" i="8"/>
  <c r="AA140" i="8"/>
  <c r="AA148" i="8"/>
  <c r="Y140" i="8"/>
  <c r="Y148" i="8"/>
  <c r="N140" i="8"/>
  <c r="N148" i="8"/>
  <c r="R140" i="8"/>
  <c r="R148" i="8"/>
  <c r="M140" i="8"/>
  <c r="M148" i="8"/>
  <c r="Q140" i="8"/>
  <c r="Q148" i="8"/>
  <c r="H140" i="8"/>
  <c r="H148" i="8"/>
  <c r="L140" i="8"/>
  <c r="L148" i="8"/>
  <c r="P140" i="8"/>
  <c r="P148" i="8"/>
  <c r="G140" i="8"/>
  <c r="G148" i="8"/>
  <c r="K140" i="8"/>
  <c r="K148" i="8"/>
  <c r="O140" i="8"/>
  <c r="O148" i="8"/>
  <c r="J140" i="8"/>
  <c r="J148" i="8"/>
  <c r="I140" i="8"/>
  <c r="I148" i="8"/>
  <c r="O56" i="8"/>
  <c r="P56" i="8"/>
  <c r="Q56" i="8"/>
  <c r="R56" i="8"/>
  <c r="S56" i="8"/>
  <c r="T56" i="8"/>
  <c r="U56" i="8"/>
  <c r="V56" i="8"/>
  <c r="W56" i="8"/>
  <c r="X56" i="8"/>
  <c r="Y56" i="8"/>
  <c r="Z56" i="8"/>
  <c r="AA56" i="8"/>
  <c r="AB56" i="8"/>
  <c r="AC56" i="8"/>
  <c r="G56" i="8"/>
  <c r="H56" i="8"/>
  <c r="I56" i="8"/>
  <c r="J56" i="8"/>
  <c r="K56" i="8"/>
  <c r="L56" i="8"/>
  <c r="M56" i="8"/>
  <c r="N56" i="8"/>
  <c r="F56" i="8"/>
  <c r="F334" i="3"/>
  <c r="F333" i="3"/>
  <c r="F100" i="3"/>
  <c r="F21" i="3"/>
  <c r="V13" i="8"/>
  <c r="Y13" i="8"/>
  <c r="Z13" i="8"/>
  <c r="AB13" i="8"/>
  <c r="P13" i="8"/>
  <c r="S13" i="8"/>
  <c r="T13" i="8"/>
  <c r="M13" i="8"/>
  <c r="N13" i="8"/>
  <c r="T69" i="8"/>
  <c r="U69" i="8"/>
  <c r="V69" i="8"/>
  <c r="W69" i="8"/>
  <c r="X69" i="8"/>
  <c r="Y69" i="8"/>
  <c r="Z69" i="8"/>
  <c r="AA69" i="8"/>
  <c r="AB69" i="8"/>
  <c r="AC69" i="8"/>
  <c r="T71" i="8"/>
  <c r="U71" i="8"/>
  <c r="V71" i="8"/>
  <c r="W71" i="8"/>
  <c r="X71" i="8"/>
  <c r="Y71" i="8"/>
  <c r="Z71" i="8"/>
  <c r="AA71" i="8"/>
  <c r="AB71" i="8"/>
  <c r="AC71" i="8"/>
  <c r="T21" i="8"/>
  <c r="T91" i="8" s="1"/>
  <c r="U21" i="8"/>
  <c r="U91" i="8" s="1"/>
  <c r="V21" i="8"/>
  <c r="V91" i="8" s="1"/>
  <c r="W21" i="8"/>
  <c r="W91" i="8" s="1"/>
  <c r="X21" i="8"/>
  <c r="X91" i="8" s="1"/>
  <c r="Y21" i="8"/>
  <c r="Y91" i="8" s="1"/>
  <c r="Z21" i="8"/>
  <c r="Z91" i="8" s="1"/>
  <c r="AA21" i="8"/>
  <c r="AA91" i="8" s="1"/>
  <c r="AB21" i="8"/>
  <c r="AB91" i="8" s="1"/>
  <c r="AC21" i="8"/>
  <c r="AC91" i="8" s="1"/>
  <c r="R21" i="8"/>
  <c r="R91" i="8" s="1"/>
  <c r="S21" i="8"/>
  <c r="S91" i="8" s="1"/>
  <c r="R69" i="8"/>
  <c r="S69" i="8"/>
  <c r="R71" i="8"/>
  <c r="S71" i="8"/>
  <c r="F335" i="3" l="1"/>
  <c r="G333" i="3"/>
  <c r="G334" i="3"/>
  <c r="G69" i="8"/>
  <c r="H69" i="8"/>
  <c r="I69" i="8"/>
  <c r="J69" i="8"/>
  <c r="K69" i="8"/>
  <c r="L69" i="8"/>
  <c r="M69" i="8"/>
  <c r="N69" i="8"/>
  <c r="O69" i="8"/>
  <c r="P69" i="8"/>
  <c r="Q69" i="8"/>
  <c r="F69" i="8"/>
  <c r="G335" i="3" l="1"/>
  <c r="H333" i="3"/>
  <c r="H334" i="3"/>
  <c r="E39" i="3"/>
  <c r="E322" i="3" s="1"/>
  <c r="G23" i="8"/>
  <c r="G121" i="8" s="1"/>
  <c r="H23" i="8"/>
  <c r="H121" i="8" s="1"/>
  <c r="I23" i="8"/>
  <c r="I121" i="8" s="1"/>
  <c r="J23" i="8"/>
  <c r="J121" i="8" s="1"/>
  <c r="K23" i="8"/>
  <c r="K121" i="8" s="1"/>
  <c r="L23" i="8"/>
  <c r="L121" i="8" s="1"/>
  <c r="M23" i="8"/>
  <c r="M121" i="8" s="1"/>
  <c r="N23" i="8"/>
  <c r="N121" i="8" s="1"/>
  <c r="O23" i="8"/>
  <c r="O121" i="8" s="1"/>
  <c r="P23" i="8"/>
  <c r="P121" i="8" s="1"/>
  <c r="Q23" i="8"/>
  <c r="Q121" i="8" s="1"/>
  <c r="F23" i="8"/>
  <c r="F36" i="3"/>
  <c r="F38" i="3" s="1"/>
  <c r="F319" i="3" s="1"/>
  <c r="G21" i="8"/>
  <c r="G91" i="8" s="1"/>
  <c r="H21" i="8"/>
  <c r="H91" i="8" s="1"/>
  <c r="I21" i="8"/>
  <c r="I91" i="8" s="1"/>
  <c r="J21" i="8"/>
  <c r="J91" i="8" s="1"/>
  <c r="K21" i="8"/>
  <c r="K91" i="8" s="1"/>
  <c r="L21" i="8"/>
  <c r="L91" i="8" s="1"/>
  <c r="M21" i="8"/>
  <c r="M91" i="8" s="1"/>
  <c r="N21" i="8"/>
  <c r="N91" i="8" s="1"/>
  <c r="O21" i="8"/>
  <c r="O91" i="8" s="1"/>
  <c r="P21" i="8"/>
  <c r="P91" i="8" s="1"/>
  <c r="Q21" i="8"/>
  <c r="Q91" i="8" s="1"/>
  <c r="F21" i="8"/>
  <c r="F91" i="8" s="1"/>
  <c r="G14" i="8"/>
  <c r="Z74" i="14" l="1"/>
  <c r="H335" i="3"/>
  <c r="F24" i="8"/>
  <c r="F121" i="8"/>
  <c r="D18" i="4" s="1"/>
  <c r="I333" i="3"/>
  <c r="G49" i="8"/>
  <c r="G52" i="8"/>
  <c r="G64" i="8" s="1"/>
  <c r="J129" i="8"/>
  <c r="J24" i="8"/>
  <c r="J26" i="8" s="1"/>
  <c r="J31" i="8" s="1"/>
  <c r="J119" i="8" s="1"/>
  <c r="I129" i="8"/>
  <c r="I24" i="8"/>
  <c r="I26" i="8" s="1"/>
  <c r="I31" i="8" s="1"/>
  <c r="I119" i="8" s="1"/>
  <c r="G24" i="8"/>
  <c r="G26" i="8" s="1"/>
  <c r="G31" i="8" s="1"/>
  <c r="G119" i="8" s="1"/>
  <c r="H24" i="8"/>
  <c r="H26" i="8" s="1"/>
  <c r="H31" i="8" s="1"/>
  <c r="H119" i="8" s="1"/>
  <c r="O129" i="8"/>
  <c r="K129" i="8"/>
  <c r="AD23" i="8"/>
  <c r="E312" i="3" s="1"/>
  <c r="N129" i="8"/>
  <c r="E41" i="3"/>
  <c r="E239" i="3"/>
  <c r="E254" i="3" s="1"/>
  <c r="M129" i="8"/>
  <c r="P129" i="8"/>
  <c r="L129" i="8"/>
  <c r="T23" i="8"/>
  <c r="Z23" i="8"/>
  <c r="U23" i="8"/>
  <c r="AA23" i="8"/>
  <c r="V23" i="8"/>
  <c r="AB23" i="8"/>
  <c r="W23" i="8"/>
  <c r="AC23" i="8"/>
  <c r="Y23" i="8"/>
  <c r="X23" i="8"/>
  <c r="R23" i="8"/>
  <c r="S23" i="8"/>
  <c r="G36" i="3"/>
  <c r="G312" i="3" s="1"/>
  <c r="I334" i="3"/>
  <c r="K24" i="8"/>
  <c r="K26" i="8" s="1"/>
  <c r="K31" i="8" s="1"/>
  <c r="K119" i="8" s="1"/>
  <c r="V24" i="8"/>
  <c r="V26" i="8" s="1"/>
  <c r="V31" i="8" s="1"/>
  <c r="S24" i="8"/>
  <c r="S26" i="8" s="1"/>
  <c r="S31" i="8" s="1"/>
  <c r="R24" i="8"/>
  <c r="R26" i="8" s="1"/>
  <c r="R31" i="8" s="1"/>
  <c r="U24" i="8"/>
  <c r="U26" i="8" s="1"/>
  <c r="U31" i="8" s="1"/>
  <c r="T24" i="8"/>
  <c r="T26" i="8" s="1"/>
  <c r="T31" i="8" s="1"/>
  <c r="P24" i="8"/>
  <c r="P26" i="8" s="1"/>
  <c r="P31" i="8" s="1"/>
  <c r="P119" i="8" s="1"/>
  <c r="L24" i="8"/>
  <c r="L26" i="8" s="1"/>
  <c r="L31" i="8" s="1"/>
  <c r="L119" i="8" s="1"/>
  <c r="O24" i="8"/>
  <c r="O26" i="8" s="1"/>
  <c r="O31" i="8" s="1"/>
  <c r="O119" i="8" s="1"/>
  <c r="N24" i="8"/>
  <c r="N26" i="8" s="1"/>
  <c r="N31" i="8" s="1"/>
  <c r="N119" i="8" s="1"/>
  <c r="Q24" i="8"/>
  <c r="Q26" i="8" s="1"/>
  <c r="Q31" i="8" s="1"/>
  <c r="Q119" i="8" s="1"/>
  <c r="M24" i="8"/>
  <c r="M26" i="8" s="1"/>
  <c r="M31" i="8" s="1"/>
  <c r="M119" i="8" s="1"/>
  <c r="H14" i="8"/>
  <c r="G73" i="8" l="1"/>
  <c r="F26" i="8"/>
  <c r="F31" i="8" s="1"/>
  <c r="F119" i="8" s="1"/>
  <c r="E42" i="3"/>
  <c r="E45" i="3" s="1"/>
  <c r="E46" i="3" s="1"/>
  <c r="AA74" i="14"/>
  <c r="AD121" i="8"/>
  <c r="I335" i="3"/>
  <c r="N73" i="8"/>
  <c r="I73" i="8"/>
  <c r="O73" i="8"/>
  <c r="J73" i="8"/>
  <c r="P73" i="8"/>
  <c r="K73" i="8"/>
  <c r="Q73" i="8"/>
  <c r="F73" i="8"/>
  <c r="L73" i="8"/>
  <c r="M73" i="8"/>
  <c r="H73" i="8"/>
  <c r="H49" i="8"/>
  <c r="H52" i="8"/>
  <c r="H64" i="8" s="1"/>
  <c r="H36" i="3"/>
  <c r="H312" i="3" s="1"/>
  <c r="G38" i="3"/>
  <c r="G319" i="3" s="1"/>
  <c r="AD129" i="8"/>
  <c r="AE23" i="8"/>
  <c r="F312" i="3" s="1"/>
  <c r="AD24" i="8"/>
  <c r="W24" i="8"/>
  <c r="W26" i="8" s="1"/>
  <c r="W31" i="8" s="1"/>
  <c r="AA24" i="8"/>
  <c r="X24" i="8"/>
  <c r="AC24" i="8"/>
  <c r="AC26" i="8" s="1"/>
  <c r="AC31" i="8" s="1"/>
  <c r="Z24" i="8"/>
  <c r="AB24" i="8"/>
  <c r="AB26" i="8" s="1"/>
  <c r="AB31" i="8" s="1"/>
  <c r="Y24" i="8"/>
  <c r="F58" i="3"/>
  <c r="D54" i="4" l="1"/>
  <c r="F27" i="8"/>
  <c r="H27" i="8"/>
  <c r="Z26" i="8"/>
  <c r="Z31" i="8" s="1"/>
  <c r="X26" i="8"/>
  <c r="X31" i="8" s="1"/>
  <c r="AA26" i="8"/>
  <c r="AA31" i="8" s="1"/>
  <c r="Y26" i="8"/>
  <c r="Y31" i="8" s="1"/>
  <c r="E259" i="3"/>
  <c r="Q74" i="8" s="1"/>
  <c r="M27" i="8"/>
  <c r="D17" i="4"/>
  <c r="N27" i="8"/>
  <c r="O27" i="8"/>
  <c r="P27" i="8"/>
  <c r="Q27" i="8"/>
  <c r="I36" i="3"/>
  <c r="I312" i="3" s="1"/>
  <c r="G58" i="3"/>
  <c r="H58" i="3" s="1"/>
  <c r="I58" i="3" s="1"/>
  <c r="U96" i="8"/>
  <c r="Y96" i="8"/>
  <c r="AC96" i="8"/>
  <c r="R96" i="8"/>
  <c r="V96" i="8"/>
  <c r="Z96" i="8"/>
  <c r="S96" i="8"/>
  <c r="W96" i="8"/>
  <c r="AA96" i="8"/>
  <c r="T96" i="8"/>
  <c r="X96" i="8"/>
  <c r="AB96" i="8"/>
  <c r="AD26" i="8"/>
  <c r="J27" i="8"/>
  <c r="G27" i="8"/>
  <c r="I27" i="8"/>
  <c r="AE24" i="8"/>
  <c r="K27" i="8"/>
  <c r="L27" i="8"/>
  <c r="E47" i="3"/>
  <c r="D11" i="4"/>
  <c r="D116" i="4" s="1"/>
  <c r="F143" i="8"/>
  <c r="AD143" i="8" s="1"/>
  <c r="O4" i="5"/>
  <c r="V144" i="8"/>
  <c r="W144" i="8"/>
  <c r="X144" i="8"/>
  <c r="Y144" i="8"/>
  <c r="Z144" i="8"/>
  <c r="AA144" i="8"/>
  <c r="AB144" i="8"/>
  <c r="R144" i="8"/>
  <c r="S144" i="8"/>
  <c r="T144" i="8"/>
  <c r="U144" i="8"/>
  <c r="N74" i="8" l="1"/>
  <c r="I74" i="8"/>
  <c r="M74" i="8"/>
  <c r="H74" i="8"/>
  <c r="O74" i="8"/>
  <c r="J74" i="8"/>
  <c r="F74" i="8"/>
  <c r="K74" i="8"/>
  <c r="P74" i="8"/>
  <c r="G74" i="8"/>
  <c r="L74" i="8"/>
  <c r="D63" i="4"/>
  <c r="D117" i="4"/>
  <c r="AD31" i="8"/>
  <c r="AE96" i="8"/>
  <c r="AD27" i="8"/>
  <c r="AE26" i="8"/>
  <c r="F19" i="3"/>
  <c r="D25" i="4" l="1"/>
  <c r="G71" i="8"/>
  <c r="G57" i="8" s="1"/>
  <c r="H71" i="8"/>
  <c r="H57" i="8" s="1"/>
  <c r="I71" i="8"/>
  <c r="I57" i="8" s="1"/>
  <c r="J71" i="8"/>
  <c r="J57" i="8" s="1"/>
  <c r="K71" i="8"/>
  <c r="K57" i="8" s="1"/>
  <c r="L71" i="8"/>
  <c r="L57" i="8" s="1"/>
  <c r="M71" i="8"/>
  <c r="M57" i="8" s="1"/>
  <c r="N71" i="8"/>
  <c r="N57" i="8" s="1"/>
  <c r="O71" i="8"/>
  <c r="O57" i="8" s="1"/>
  <c r="P71" i="8"/>
  <c r="P57" i="8" s="1"/>
  <c r="Q71" i="8"/>
  <c r="Q57" i="8" s="1"/>
  <c r="R57" i="8"/>
  <c r="S57" i="8"/>
  <c r="T57" i="8"/>
  <c r="U57" i="8"/>
  <c r="V57" i="8"/>
  <c r="W57" i="8"/>
  <c r="X57" i="8"/>
  <c r="Y57" i="8"/>
  <c r="Z57" i="8"/>
  <c r="AA57" i="8"/>
  <c r="AB57" i="8"/>
  <c r="AC57" i="8"/>
  <c r="F71" i="8"/>
  <c r="F57" i="8" s="1"/>
  <c r="E80" i="3" l="1"/>
  <c r="F336" i="3"/>
  <c r="E136" i="3" l="1"/>
  <c r="F58" i="8" s="1"/>
  <c r="E139" i="3"/>
  <c r="H32" i="7"/>
  <c r="E32" i="7"/>
  <c r="AT83" i="14"/>
  <c r="C104" i="4"/>
  <c r="C101" i="4"/>
  <c r="C100" i="4"/>
  <c r="F203" i="3"/>
  <c r="G203" i="3" s="1"/>
  <c r="H203" i="3" s="1"/>
  <c r="I203" i="3" s="1"/>
  <c r="D72" i="16"/>
  <c r="D71" i="16"/>
  <c r="B69" i="16"/>
  <c r="D66" i="16"/>
  <c r="D65" i="16"/>
  <c r="B63" i="16"/>
  <c r="D60" i="16"/>
  <c r="D59" i="16"/>
  <c r="B57" i="16"/>
  <c r="D51" i="16"/>
  <c r="D54" i="16" s="1"/>
  <c r="D46" i="16"/>
  <c r="D50" i="16" s="1"/>
  <c r="D53" i="16" s="1"/>
  <c r="B44" i="16"/>
  <c r="B17" i="16"/>
  <c r="B12" i="16"/>
  <c r="B57" i="4"/>
  <c r="F144" i="4"/>
  <c r="F90" i="4"/>
  <c r="F91" i="4"/>
  <c r="E294" i="3"/>
  <c r="E274" i="3"/>
  <c r="E227" i="3"/>
  <c r="E228" i="3" s="1"/>
  <c r="E229" i="3" s="1"/>
  <c r="E190" i="3"/>
  <c r="F61" i="8" s="1"/>
  <c r="E154" i="3"/>
  <c r="F59" i="8" s="1"/>
  <c r="F284" i="3"/>
  <c r="F264" i="3"/>
  <c r="F244" i="3"/>
  <c r="F218" i="3"/>
  <c r="G218" i="3" s="1"/>
  <c r="H218" i="3" s="1"/>
  <c r="I218" i="3" s="1"/>
  <c r="F181" i="3"/>
  <c r="G181" i="3" s="1"/>
  <c r="H181" i="3" s="1"/>
  <c r="I181" i="3" s="1"/>
  <c r="C133" i="3"/>
  <c r="C169" i="3" s="1"/>
  <c r="C134" i="3"/>
  <c r="C135" i="3"/>
  <c r="C253" i="3" s="1"/>
  <c r="C132" i="3"/>
  <c r="C168" i="3" s="1"/>
  <c r="F145" i="3"/>
  <c r="G145" i="3" s="1"/>
  <c r="H145" i="3" s="1"/>
  <c r="I145" i="3" s="1"/>
  <c r="F127" i="3"/>
  <c r="G127" i="3" s="1"/>
  <c r="H127" i="3" s="1"/>
  <c r="I127" i="3" s="1"/>
  <c r="E204" i="3"/>
  <c r="E205" i="3" s="1"/>
  <c r="F103" i="3"/>
  <c r="F30" i="3"/>
  <c r="G30" i="3" s="1"/>
  <c r="H30" i="3" s="1"/>
  <c r="I30" i="3" s="1"/>
  <c r="E59" i="3"/>
  <c r="K123" i="8"/>
  <c r="F123" i="8"/>
  <c r="E147" i="8"/>
  <c r="D6" i="5"/>
  <c r="E6" i="5" s="1"/>
  <c r="F6" i="5" s="1"/>
  <c r="F396" i="3" s="1"/>
  <c r="D18" i="10" s="1"/>
  <c r="D7" i="5"/>
  <c r="E7" i="5" s="1"/>
  <c r="D8" i="5"/>
  <c r="G123" i="8"/>
  <c r="H123" i="8"/>
  <c r="I123" i="8"/>
  <c r="J123" i="8"/>
  <c r="L123" i="8"/>
  <c r="M123" i="8"/>
  <c r="D7" i="6"/>
  <c r="E7" i="6" s="1"/>
  <c r="J7" i="6"/>
  <c r="P6" i="6"/>
  <c r="R12" i="6" s="1"/>
  <c r="B104" i="14"/>
  <c r="B105" i="14"/>
  <c r="B106" i="14" s="1"/>
  <c r="B107" i="14" s="1"/>
  <c r="B108" i="14" s="1"/>
  <c r="B109" i="14" s="1"/>
  <c r="B110" i="14" s="1"/>
  <c r="B111" i="14" s="1"/>
  <c r="B112" i="14" s="1"/>
  <c r="B100" i="14"/>
  <c r="B99" i="14" s="1"/>
  <c r="B98" i="14" s="1"/>
  <c r="B97" i="14" s="1"/>
  <c r="B96" i="14" s="1"/>
  <c r="B95" i="14" s="1"/>
  <c r="B94" i="14" s="1"/>
  <c r="B93" i="14" s="1"/>
  <c r="B92" i="14" s="1"/>
  <c r="X85" i="14"/>
  <c r="X86" i="14"/>
  <c r="W85" i="14"/>
  <c r="W86" i="14"/>
  <c r="B49" i="14"/>
  <c r="B50" i="14" s="1"/>
  <c r="B51" i="14" s="1"/>
  <c r="B52" i="14" s="1"/>
  <c r="B53" i="14" s="1"/>
  <c r="B54" i="14" s="1"/>
  <c r="B55" i="14" s="1"/>
  <c r="B56" i="14" s="1"/>
  <c r="B57" i="14" s="1"/>
  <c r="B58" i="14" s="1"/>
  <c r="AG85" i="14"/>
  <c r="AF85" i="14"/>
  <c r="AG84" i="14"/>
  <c r="AF84" i="14"/>
  <c r="F51" i="3"/>
  <c r="F53" i="3"/>
  <c r="C52" i="4"/>
  <c r="C48" i="4"/>
  <c r="C49" i="4"/>
  <c r="D8" i="6"/>
  <c r="E8" i="6" s="1"/>
  <c r="J8" i="6"/>
  <c r="P8" i="6"/>
  <c r="V6" i="6"/>
  <c r="X13" i="6" s="1"/>
  <c r="E34" i="10" s="1"/>
  <c r="E436" i="3"/>
  <c r="V8" i="6"/>
  <c r="X8" i="6" s="1"/>
  <c r="AB6" i="6"/>
  <c r="AD14" i="6" s="1"/>
  <c r="E35" i="10" s="1"/>
  <c r="AB8" i="6"/>
  <c r="AD8" i="6" s="1"/>
  <c r="AH6" i="6"/>
  <c r="AJ15" i="6" s="1"/>
  <c r="F36" i="10" s="1"/>
  <c r="AH8" i="6"/>
  <c r="AJ8" i="6" s="1"/>
  <c r="AN6" i="6"/>
  <c r="AN17" i="6" s="1"/>
  <c r="I191" i="7"/>
  <c r="I159" i="7" s="1"/>
  <c r="I192" i="7"/>
  <c r="I160" i="7" s="1"/>
  <c r="I193" i="7"/>
  <c r="I194" i="7"/>
  <c r="I162" i="7" s="1"/>
  <c r="I195" i="7"/>
  <c r="I163" i="7" s="1"/>
  <c r="I196" i="7"/>
  <c r="I164" i="7" s="1"/>
  <c r="I197" i="7"/>
  <c r="I165" i="7" s="1"/>
  <c r="F191" i="7"/>
  <c r="F159" i="7" s="1"/>
  <c r="F192" i="7"/>
  <c r="F160" i="7" s="1"/>
  <c r="F193" i="7"/>
  <c r="F161" i="7" s="1"/>
  <c r="F194" i="7"/>
  <c r="F195" i="7"/>
  <c r="F163" i="7" s="1"/>
  <c r="F196" i="7"/>
  <c r="F197" i="7"/>
  <c r="F165" i="7" s="1"/>
  <c r="G159" i="7"/>
  <c r="G160" i="7"/>
  <c r="G161" i="7"/>
  <c r="G162" i="7"/>
  <c r="G163" i="7"/>
  <c r="G164" i="7"/>
  <c r="G165" i="7"/>
  <c r="G166" i="7"/>
  <c r="E190" i="7"/>
  <c r="E184" i="7" s="1"/>
  <c r="D159" i="7"/>
  <c r="D160" i="7"/>
  <c r="D161" i="7"/>
  <c r="D162" i="7"/>
  <c r="D163" i="7"/>
  <c r="D164" i="7"/>
  <c r="D165" i="7"/>
  <c r="D166" i="7"/>
  <c r="C195" i="7"/>
  <c r="C196" i="7"/>
  <c r="C197" i="7"/>
  <c r="C192" i="7"/>
  <c r="C193" i="7"/>
  <c r="C194" i="7"/>
  <c r="C191" i="7"/>
  <c r="H190" i="7"/>
  <c r="H160" i="7" s="1"/>
  <c r="I140" i="7"/>
  <c r="F140" i="7"/>
  <c r="I107" i="7"/>
  <c r="F107" i="7"/>
  <c r="F96" i="7"/>
  <c r="I96" i="7"/>
  <c r="H68" i="7"/>
  <c r="E68" i="7"/>
  <c r="H157" i="7"/>
  <c r="E157" i="7"/>
  <c r="H28" i="7"/>
  <c r="E28" i="7"/>
  <c r="G177" i="7"/>
  <c r="D177" i="7"/>
  <c r="F360" i="3"/>
  <c r="G360" i="3" s="1"/>
  <c r="H360" i="3" s="1"/>
  <c r="I360" i="3" s="1"/>
  <c r="F361" i="3"/>
  <c r="G361" i="3" s="1"/>
  <c r="H361" i="3" s="1"/>
  <c r="I361" i="3" s="1"/>
  <c r="G19" i="3"/>
  <c r="H19" i="3" s="1"/>
  <c r="I19" i="3" s="1"/>
  <c r="G21" i="3"/>
  <c r="H21" i="3" s="1"/>
  <c r="I21" i="3" s="1"/>
  <c r="F18" i="3"/>
  <c r="G18" i="3" s="1"/>
  <c r="H18" i="3" s="1"/>
  <c r="I18" i="3" s="1"/>
  <c r="F40" i="3"/>
  <c r="F44" i="3"/>
  <c r="F62" i="3"/>
  <c r="F64" i="3"/>
  <c r="F66" i="3"/>
  <c r="F90" i="3"/>
  <c r="E52" i="4" s="1"/>
  <c r="E104" i="4" s="1"/>
  <c r="F365" i="3"/>
  <c r="G365" i="3" s="1"/>
  <c r="H365" i="3" s="1"/>
  <c r="I365" i="3" s="1"/>
  <c r="F366" i="3"/>
  <c r="G366" i="3" s="1"/>
  <c r="H366" i="3" s="1"/>
  <c r="I366" i="3" s="1"/>
  <c r="F370" i="3"/>
  <c r="F384" i="3"/>
  <c r="F371" i="3"/>
  <c r="I369" i="3"/>
  <c r="H369" i="3"/>
  <c r="G369" i="3"/>
  <c r="F369" i="3"/>
  <c r="E369" i="3"/>
  <c r="I364" i="3"/>
  <c r="H364" i="3"/>
  <c r="G364" i="3"/>
  <c r="F364" i="3"/>
  <c r="E364" i="3"/>
  <c r="F308" i="3"/>
  <c r="F309" i="3"/>
  <c r="F310" i="3"/>
  <c r="I69" i="3"/>
  <c r="H69" i="3"/>
  <c r="G69" i="3"/>
  <c r="F69" i="3"/>
  <c r="E69" i="3"/>
  <c r="F56" i="3"/>
  <c r="F26" i="3"/>
  <c r="G26" i="3" s="1"/>
  <c r="H26" i="3" s="1"/>
  <c r="I26" i="3" s="1"/>
  <c r="F33" i="3"/>
  <c r="G33" i="3" s="1"/>
  <c r="H33" i="3" s="1"/>
  <c r="I33" i="3" s="1"/>
  <c r="E337" i="3"/>
  <c r="E344" i="3"/>
  <c r="E380" i="3"/>
  <c r="E381" i="3"/>
  <c r="E383" i="3" s="1"/>
  <c r="E82" i="3"/>
  <c r="E87" i="3" s="1"/>
  <c r="D27" i="4" s="1"/>
  <c r="E73" i="3"/>
  <c r="E77" i="3"/>
  <c r="E92" i="3"/>
  <c r="E94" i="3" s="1"/>
  <c r="C32" i="10"/>
  <c r="F116" i="3"/>
  <c r="G116" i="3" s="1"/>
  <c r="H116" i="3" s="1"/>
  <c r="I116" i="3" s="1"/>
  <c r="F117" i="3"/>
  <c r="F115" i="3"/>
  <c r="F124" i="3"/>
  <c r="G124" i="3" s="1"/>
  <c r="H124" i="3" s="1"/>
  <c r="I124" i="3" s="1"/>
  <c r="F125" i="3"/>
  <c r="G125" i="3" s="1"/>
  <c r="H125" i="3" s="1"/>
  <c r="I125" i="3" s="1"/>
  <c r="G101" i="3"/>
  <c r="H101" i="3" s="1"/>
  <c r="I101" i="3" s="1"/>
  <c r="F126" i="3"/>
  <c r="G126" i="3" s="1"/>
  <c r="H126" i="3" s="1"/>
  <c r="I126" i="3" s="1"/>
  <c r="G102" i="3"/>
  <c r="H102" i="3" s="1"/>
  <c r="I102" i="3" s="1"/>
  <c r="F128" i="3"/>
  <c r="G128" i="3" s="1"/>
  <c r="H128" i="3" s="1"/>
  <c r="I128" i="3" s="1"/>
  <c r="G104" i="3"/>
  <c r="H104" i="3" s="1"/>
  <c r="I104" i="3" s="1"/>
  <c r="F129" i="3"/>
  <c r="G129" i="3" s="1"/>
  <c r="H129" i="3" s="1"/>
  <c r="I129" i="3" s="1"/>
  <c r="F105" i="3"/>
  <c r="G105" i="3" s="1"/>
  <c r="H105" i="3" s="1"/>
  <c r="I105" i="3" s="1"/>
  <c r="F130" i="3"/>
  <c r="G130" i="3" s="1"/>
  <c r="H130" i="3" s="1"/>
  <c r="I130" i="3" s="1"/>
  <c r="F106" i="3"/>
  <c r="G106" i="3" s="1"/>
  <c r="H106" i="3" s="1"/>
  <c r="I106" i="3" s="1"/>
  <c r="F131" i="3"/>
  <c r="G131" i="3" s="1"/>
  <c r="H131" i="3" s="1"/>
  <c r="I131" i="3" s="1"/>
  <c r="F107" i="3"/>
  <c r="G107" i="3" s="1"/>
  <c r="H107" i="3" s="1"/>
  <c r="I107" i="3" s="1"/>
  <c r="F132" i="3"/>
  <c r="G132" i="3" s="1"/>
  <c r="H132" i="3" s="1"/>
  <c r="I132" i="3" s="1"/>
  <c r="F109" i="3"/>
  <c r="G109" i="3" s="1"/>
  <c r="H109" i="3" s="1"/>
  <c r="I109" i="3" s="1"/>
  <c r="F133" i="3"/>
  <c r="G133" i="3" s="1"/>
  <c r="H133" i="3" s="1"/>
  <c r="I133" i="3" s="1"/>
  <c r="F110" i="3"/>
  <c r="G110" i="3" s="1"/>
  <c r="H110" i="3" s="1"/>
  <c r="I110" i="3" s="1"/>
  <c r="F134" i="3"/>
  <c r="G134" i="3" s="1"/>
  <c r="H134" i="3" s="1"/>
  <c r="I134" i="3" s="1"/>
  <c r="F135" i="3"/>
  <c r="G135" i="3" s="1"/>
  <c r="H135" i="3" s="1"/>
  <c r="I135" i="3" s="1"/>
  <c r="F112" i="3"/>
  <c r="G112" i="3" s="1"/>
  <c r="H112" i="3" s="1"/>
  <c r="I112" i="3" s="1"/>
  <c r="F140" i="3"/>
  <c r="F142" i="3"/>
  <c r="G142" i="3" s="1"/>
  <c r="H142" i="3" s="1"/>
  <c r="I142" i="3" s="1"/>
  <c r="F143" i="3"/>
  <c r="G143" i="3" s="1"/>
  <c r="H143" i="3" s="1"/>
  <c r="F144" i="3"/>
  <c r="G144" i="3" s="1"/>
  <c r="H144" i="3" s="1"/>
  <c r="I144" i="3" s="1"/>
  <c r="F146" i="3"/>
  <c r="G146" i="3" s="1"/>
  <c r="H146" i="3" s="1"/>
  <c r="I146" i="3" s="1"/>
  <c r="F147" i="3"/>
  <c r="G147" i="3" s="1"/>
  <c r="H147" i="3" s="1"/>
  <c r="I147" i="3" s="1"/>
  <c r="F148" i="3"/>
  <c r="G148" i="3" s="1"/>
  <c r="H148" i="3" s="1"/>
  <c r="I148" i="3" s="1"/>
  <c r="F149" i="3"/>
  <c r="G149" i="3" s="1"/>
  <c r="H149" i="3" s="1"/>
  <c r="I149" i="3" s="1"/>
  <c r="F150" i="3"/>
  <c r="G150" i="3" s="1"/>
  <c r="H150" i="3" s="1"/>
  <c r="I150" i="3" s="1"/>
  <c r="F151" i="3"/>
  <c r="G151" i="3" s="1"/>
  <c r="H151" i="3" s="1"/>
  <c r="I151" i="3" s="1"/>
  <c r="F152" i="3"/>
  <c r="G152" i="3" s="1"/>
  <c r="H152" i="3" s="1"/>
  <c r="I152" i="3" s="1"/>
  <c r="F111" i="3"/>
  <c r="G111" i="3" s="1"/>
  <c r="H111" i="3" s="1"/>
  <c r="I111" i="3" s="1"/>
  <c r="F153" i="3"/>
  <c r="G153" i="3" s="1"/>
  <c r="H153" i="3" s="1"/>
  <c r="I153" i="3" s="1"/>
  <c r="F176" i="3"/>
  <c r="F178" i="3"/>
  <c r="F179" i="3"/>
  <c r="G179" i="3" s="1"/>
  <c r="H179" i="3" s="1"/>
  <c r="I179" i="3" s="1"/>
  <c r="F180" i="3"/>
  <c r="G180" i="3" s="1"/>
  <c r="H180" i="3" s="1"/>
  <c r="I180" i="3" s="1"/>
  <c r="F182" i="3"/>
  <c r="G182" i="3" s="1"/>
  <c r="H182" i="3" s="1"/>
  <c r="I182" i="3" s="1"/>
  <c r="F183" i="3"/>
  <c r="G183" i="3" s="1"/>
  <c r="H183" i="3" s="1"/>
  <c r="I183" i="3" s="1"/>
  <c r="F184" i="3"/>
  <c r="G184" i="3" s="1"/>
  <c r="H184" i="3" s="1"/>
  <c r="I184" i="3" s="1"/>
  <c r="F185" i="3"/>
  <c r="G185" i="3" s="1"/>
  <c r="H185" i="3" s="1"/>
  <c r="I185" i="3" s="1"/>
  <c r="F186" i="3"/>
  <c r="G186" i="3" s="1"/>
  <c r="H186" i="3" s="1"/>
  <c r="I186" i="3" s="1"/>
  <c r="F187" i="3"/>
  <c r="G187" i="3" s="1"/>
  <c r="H187" i="3" s="1"/>
  <c r="I187" i="3" s="1"/>
  <c r="F188" i="3"/>
  <c r="G188" i="3" s="1"/>
  <c r="H188" i="3" s="1"/>
  <c r="I188" i="3" s="1"/>
  <c r="F189" i="3"/>
  <c r="G189" i="3" s="1"/>
  <c r="H189" i="3" s="1"/>
  <c r="I189" i="3" s="1"/>
  <c r="F200" i="3"/>
  <c r="G200" i="3" s="1"/>
  <c r="F28" i="3"/>
  <c r="G28" i="3" s="1"/>
  <c r="H28" i="3" s="1"/>
  <c r="I28" i="3" s="1"/>
  <c r="F213" i="3"/>
  <c r="F215" i="3"/>
  <c r="G215" i="3" s="1"/>
  <c r="H215" i="3" s="1"/>
  <c r="I215" i="3" s="1"/>
  <c r="F216" i="3"/>
  <c r="G216" i="3" s="1"/>
  <c r="H216" i="3" s="1"/>
  <c r="I216" i="3" s="1"/>
  <c r="F217" i="3"/>
  <c r="F219" i="3"/>
  <c r="G219" i="3" s="1"/>
  <c r="H219" i="3" s="1"/>
  <c r="I219" i="3" s="1"/>
  <c r="F220" i="3"/>
  <c r="G220" i="3" s="1"/>
  <c r="H220" i="3" s="1"/>
  <c r="I220" i="3" s="1"/>
  <c r="F221" i="3"/>
  <c r="G221" i="3" s="1"/>
  <c r="H221" i="3" s="1"/>
  <c r="I221" i="3" s="1"/>
  <c r="F222" i="3"/>
  <c r="G222" i="3" s="1"/>
  <c r="H222" i="3" s="1"/>
  <c r="I222" i="3" s="1"/>
  <c r="F223" i="3"/>
  <c r="G223" i="3" s="1"/>
  <c r="H223" i="3" s="1"/>
  <c r="I223" i="3" s="1"/>
  <c r="F224" i="3"/>
  <c r="G224" i="3" s="1"/>
  <c r="H224" i="3" s="1"/>
  <c r="I224" i="3" s="1"/>
  <c r="F225" i="3"/>
  <c r="G225" i="3" s="1"/>
  <c r="H225" i="3" s="1"/>
  <c r="I225" i="3" s="1"/>
  <c r="F226" i="3"/>
  <c r="G226" i="3" s="1"/>
  <c r="H226" i="3" s="1"/>
  <c r="I226" i="3" s="1"/>
  <c r="F233" i="3"/>
  <c r="G233" i="3" s="1"/>
  <c r="F238" i="3"/>
  <c r="F241" i="3"/>
  <c r="F242" i="3"/>
  <c r="F243" i="3"/>
  <c r="G243" i="3" s="1"/>
  <c r="H243" i="3" s="1"/>
  <c r="I243" i="3" s="1"/>
  <c r="F245" i="3"/>
  <c r="G245" i="3" s="1"/>
  <c r="H245" i="3" s="1"/>
  <c r="I245" i="3" s="1"/>
  <c r="F246" i="3"/>
  <c r="G246" i="3" s="1"/>
  <c r="H246" i="3" s="1"/>
  <c r="I246" i="3" s="1"/>
  <c r="F247" i="3"/>
  <c r="G247" i="3" s="1"/>
  <c r="H247" i="3" s="1"/>
  <c r="I247" i="3" s="1"/>
  <c r="F248" i="3"/>
  <c r="G248" i="3" s="1"/>
  <c r="H248" i="3" s="1"/>
  <c r="I248" i="3" s="1"/>
  <c r="F249" i="3"/>
  <c r="F108" i="3"/>
  <c r="G108" i="3" s="1"/>
  <c r="H108" i="3" s="1"/>
  <c r="I108" i="3" s="1"/>
  <c r="F250" i="3"/>
  <c r="G250" i="3" s="1"/>
  <c r="H250" i="3" s="1"/>
  <c r="I250" i="3" s="1"/>
  <c r="F251" i="3"/>
  <c r="G251" i="3" s="1"/>
  <c r="H251" i="3" s="1"/>
  <c r="I251" i="3" s="1"/>
  <c r="F252" i="3"/>
  <c r="G252" i="3" s="1"/>
  <c r="H252" i="3" s="1"/>
  <c r="I252" i="3" s="1"/>
  <c r="F253" i="3"/>
  <c r="G253" i="3" s="1"/>
  <c r="H253" i="3" s="1"/>
  <c r="I253" i="3" s="1"/>
  <c r="F258" i="3"/>
  <c r="F261" i="3"/>
  <c r="F262" i="3"/>
  <c r="G262" i="3" s="1"/>
  <c r="F263" i="3"/>
  <c r="G263" i="3" s="1"/>
  <c r="H263" i="3" s="1"/>
  <c r="I263" i="3" s="1"/>
  <c r="F265" i="3"/>
  <c r="G265" i="3" s="1"/>
  <c r="H265" i="3" s="1"/>
  <c r="I265" i="3" s="1"/>
  <c r="F266" i="3"/>
  <c r="G266" i="3" s="1"/>
  <c r="H266" i="3" s="1"/>
  <c r="I266" i="3" s="1"/>
  <c r="F267" i="3"/>
  <c r="G267" i="3" s="1"/>
  <c r="H267" i="3" s="1"/>
  <c r="I267" i="3" s="1"/>
  <c r="F268" i="3"/>
  <c r="G268" i="3" s="1"/>
  <c r="H268" i="3" s="1"/>
  <c r="I268" i="3" s="1"/>
  <c r="F269" i="3"/>
  <c r="G269" i="3" s="1"/>
  <c r="H269" i="3" s="1"/>
  <c r="I269" i="3" s="1"/>
  <c r="F270" i="3"/>
  <c r="G270" i="3" s="1"/>
  <c r="H270" i="3" s="1"/>
  <c r="I270" i="3" s="1"/>
  <c r="F271" i="3"/>
  <c r="G271" i="3" s="1"/>
  <c r="H271" i="3" s="1"/>
  <c r="I271" i="3" s="1"/>
  <c r="F272" i="3"/>
  <c r="G272" i="3" s="1"/>
  <c r="H272" i="3" s="1"/>
  <c r="I272" i="3" s="1"/>
  <c r="F273" i="3"/>
  <c r="G273" i="3" s="1"/>
  <c r="H273" i="3" s="1"/>
  <c r="I273" i="3" s="1"/>
  <c r="F281" i="3"/>
  <c r="G281" i="3" s="1"/>
  <c r="H281" i="3" s="1"/>
  <c r="F282" i="3"/>
  <c r="G282" i="3" s="1"/>
  <c r="H282" i="3" s="1"/>
  <c r="I282" i="3" s="1"/>
  <c r="F283" i="3"/>
  <c r="G283" i="3" s="1"/>
  <c r="H283" i="3" s="1"/>
  <c r="I283" i="3" s="1"/>
  <c r="F285" i="3"/>
  <c r="G285" i="3" s="1"/>
  <c r="H285" i="3" s="1"/>
  <c r="I285" i="3" s="1"/>
  <c r="F286" i="3"/>
  <c r="G286" i="3" s="1"/>
  <c r="H286" i="3" s="1"/>
  <c r="I286" i="3" s="1"/>
  <c r="F287" i="3"/>
  <c r="G287" i="3" s="1"/>
  <c r="H287" i="3" s="1"/>
  <c r="I287" i="3" s="1"/>
  <c r="F288" i="3"/>
  <c r="G288" i="3" s="1"/>
  <c r="H288" i="3" s="1"/>
  <c r="I288" i="3" s="1"/>
  <c r="F289" i="3"/>
  <c r="G289" i="3" s="1"/>
  <c r="H289" i="3" s="1"/>
  <c r="I289" i="3" s="1"/>
  <c r="F290" i="3"/>
  <c r="G290" i="3" s="1"/>
  <c r="H290" i="3" s="1"/>
  <c r="I290" i="3" s="1"/>
  <c r="F291" i="3"/>
  <c r="G291" i="3" s="1"/>
  <c r="H291" i="3" s="1"/>
  <c r="I291" i="3" s="1"/>
  <c r="F292" i="3"/>
  <c r="G292" i="3" s="1"/>
  <c r="H292" i="3" s="1"/>
  <c r="I292" i="3" s="1"/>
  <c r="F293" i="3"/>
  <c r="G293" i="3" s="1"/>
  <c r="H293" i="3" s="1"/>
  <c r="I293" i="3" s="1"/>
  <c r="F302" i="3"/>
  <c r="F325" i="3"/>
  <c r="F326" i="3"/>
  <c r="F329" i="3"/>
  <c r="F330" i="3"/>
  <c r="F340" i="3"/>
  <c r="F342" i="3"/>
  <c r="F343" i="3"/>
  <c r="F347" i="3"/>
  <c r="F349" i="3"/>
  <c r="F353" i="3"/>
  <c r="F355" i="3"/>
  <c r="F81" i="3"/>
  <c r="G81" i="3" s="1"/>
  <c r="H81" i="3" s="1"/>
  <c r="I81" i="3" s="1"/>
  <c r="F85" i="3"/>
  <c r="F86" i="3"/>
  <c r="G86" i="3" s="1"/>
  <c r="H86" i="3" s="1"/>
  <c r="I86" i="3" s="1"/>
  <c r="F377" i="3"/>
  <c r="S131" i="8" s="1"/>
  <c r="G185" i="7"/>
  <c r="D185" i="7"/>
  <c r="G184" i="7"/>
  <c r="D184" i="7"/>
  <c r="G181" i="7"/>
  <c r="D181" i="7"/>
  <c r="G182" i="7"/>
  <c r="D182" i="7"/>
  <c r="G180" i="7"/>
  <c r="D180" i="7"/>
  <c r="E180" i="7"/>
  <c r="G179" i="7"/>
  <c r="D179" i="7"/>
  <c r="G178" i="7"/>
  <c r="D178" i="7"/>
  <c r="G176" i="7"/>
  <c r="D176" i="7"/>
  <c r="G175" i="7"/>
  <c r="D175" i="7"/>
  <c r="G174" i="7"/>
  <c r="D174" i="7"/>
  <c r="G173" i="7"/>
  <c r="D173" i="7"/>
  <c r="G172" i="7"/>
  <c r="D172" i="7"/>
  <c r="G171" i="7"/>
  <c r="D171" i="7"/>
  <c r="E171" i="7"/>
  <c r="G170" i="7"/>
  <c r="D170" i="7"/>
  <c r="G169" i="7"/>
  <c r="D169" i="7"/>
  <c r="E165" i="7"/>
  <c r="H176" i="7"/>
  <c r="E169" i="7"/>
  <c r="H34" i="7"/>
  <c r="E34" i="7"/>
  <c r="H33" i="7"/>
  <c r="E33" i="7"/>
  <c r="H31" i="7"/>
  <c r="E31" i="7"/>
  <c r="P7" i="6"/>
  <c r="D42" i="4"/>
  <c r="F71" i="3"/>
  <c r="G71" i="3" s="1"/>
  <c r="H71" i="3" s="1"/>
  <c r="I71" i="3" s="1"/>
  <c r="F72" i="3"/>
  <c r="G72" i="3" s="1"/>
  <c r="F75" i="3"/>
  <c r="G75" i="3" s="1"/>
  <c r="F76" i="3"/>
  <c r="G76" i="3" s="1"/>
  <c r="H76" i="3" s="1"/>
  <c r="I76" i="3" s="1"/>
  <c r="F63" i="3"/>
  <c r="F65" i="3"/>
  <c r="G65" i="3" s="1"/>
  <c r="H65" i="3" s="1"/>
  <c r="I65" i="3" s="1"/>
  <c r="F67" i="3"/>
  <c r="G67" i="3" s="1"/>
  <c r="H67" i="3" s="1"/>
  <c r="I67" i="3" s="1"/>
  <c r="F83" i="3"/>
  <c r="G83" i="3" s="1"/>
  <c r="H83" i="3" s="1"/>
  <c r="I83" i="3" s="1"/>
  <c r="F410" i="3"/>
  <c r="G410" i="3" s="1"/>
  <c r="H410" i="3" s="1"/>
  <c r="I410" i="3" s="1"/>
  <c r="F379" i="3"/>
  <c r="G379" i="3" s="1"/>
  <c r="H379" i="3" s="1"/>
  <c r="I379" i="3" s="1"/>
  <c r="F382" i="3"/>
  <c r="G382" i="3" s="1"/>
  <c r="H382" i="3" s="1"/>
  <c r="I382" i="3" s="1"/>
  <c r="V7" i="6"/>
  <c r="E42" i="4"/>
  <c r="F42" i="4"/>
  <c r="G42" i="4"/>
  <c r="E144" i="4"/>
  <c r="F393" i="3"/>
  <c r="F394" i="3"/>
  <c r="D13" i="10" s="1"/>
  <c r="F390" i="3"/>
  <c r="D11" i="10" s="1"/>
  <c r="F392" i="3"/>
  <c r="D17" i="10" s="1"/>
  <c r="F403" i="3"/>
  <c r="D26" i="10" s="1"/>
  <c r="D53" i="10" s="1"/>
  <c r="F389" i="3"/>
  <c r="D144" i="4"/>
  <c r="C11" i="10"/>
  <c r="C12" i="10"/>
  <c r="C13" i="10"/>
  <c r="E391" i="3"/>
  <c r="C16" i="10" s="1"/>
  <c r="E392" i="3"/>
  <c r="C26" i="10"/>
  <c r="C53" i="10" s="1"/>
  <c r="C10" i="10"/>
  <c r="C52" i="10" s="1"/>
  <c r="E296" i="3"/>
  <c r="AN8" i="6"/>
  <c r="AP8" i="6" s="1"/>
  <c r="C108" i="8"/>
  <c r="AN7" i="6"/>
  <c r="AL13" i="6"/>
  <c r="AL14" i="6" s="1"/>
  <c r="AL15" i="6" s="1"/>
  <c r="AL16" i="6" s="1"/>
  <c r="AL17" i="6" s="1"/>
  <c r="AL18" i="6" s="1"/>
  <c r="AL19" i="6" s="1"/>
  <c r="AL20" i="6" s="1"/>
  <c r="AH7" i="6"/>
  <c r="AF13" i="6"/>
  <c r="AF14" i="6" s="1"/>
  <c r="AF15" i="6" s="1"/>
  <c r="AF16" i="6" s="1"/>
  <c r="AB7" i="6"/>
  <c r="E442" i="3"/>
  <c r="Z13" i="6"/>
  <c r="Z14" i="6" s="1"/>
  <c r="Z15" i="6" s="1"/>
  <c r="Z16" i="6" s="1"/>
  <c r="Z17" i="6" s="1"/>
  <c r="Z18" i="6" s="1"/>
  <c r="Z19" i="6" s="1"/>
  <c r="T13" i="6"/>
  <c r="T14" i="6"/>
  <c r="T15" i="6" s="1"/>
  <c r="T16" i="6" s="1"/>
  <c r="T17" i="6" s="1"/>
  <c r="T18" i="6" s="1"/>
  <c r="N13" i="6"/>
  <c r="N14" i="6" s="1"/>
  <c r="N15" i="6" s="1"/>
  <c r="N16" i="6" s="1"/>
  <c r="N17" i="6" s="1"/>
  <c r="N18" i="6" s="1"/>
  <c r="H13" i="6"/>
  <c r="H14" i="6" s="1"/>
  <c r="H15" i="6" s="1"/>
  <c r="H16" i="6" s="1"/>
  <c r="H17" i="6" s="1"/>
  <c r="H18" i="6" s="1"/>
  <c r="H19" i="6" s="1"/>
  <c r="H20" i="6" s="1"/>
  <c r="B13" i="6"/>
  <c r="B14" i="6" s="1"/>
  <c r="B15" i="6" s="1"/>
  <c r="B16" i="6" s="1"/>
  <c r="B17" i="6" s="1"/>
  <c r="B18" i="6" s="1"/>
  <c r="B19" i="6" s="1"/>
  <c r="B20" i="6" s="1"/>
  <c r="B21" i="6" s="1"/>
  <c r="H42" i="4"/>
  <c r="D50" i="10"/>
  <c r="E50" i="10"/>
  <c r="F50" i="10"/>
  <c r="G50" i="10"/>
  <c r="H50" i="10"/>
  <c r="C50" i="10"/>
  <c r="C289" i="3"/>
  <c r="C269" i="3"/>
  <c r="F95" i="3"/>
  <c r="G95" i="3" s="1"/>
  <c r="H95" i="3" s="1"/>
  <c r="I95" i="3" s="1"/>
  <c r="F91" i="3"/>
  <c r="G91" i="3" s="1"/>
  <c r="H91" i="3" s="1"/>
  <c r="I91" i="3" s="1"/>
  <c r="F93" i="3"/>
  <c r="G93" i="3" s="1"/>
  <c r="H93" i="3" s="1"/>
  <c r="I93" i="3" s="1"/>
  <c r="D33" i="10"/>
  <c r="B37" i="10"/>
  <c r="B36" i="10"/>
  <c r="B35" i="10"/>
  <c r="B34" i="10"/>
  <c r="B33" i="10"/>
  <c r="B32" i="10"/>
  <c r="B31" i="10"/>
  <c r="F404" i="3"/>
  <c r="C27" i="10"/>
  <c r="C25" i="10"/>
  <c r="D5" i="5"/>
  <c r="F5" i="5" s="1"/>
  <c r="F395" i="3" s="1"/>
  <c r="B8" i="5"/>
  <c r="B7" i="5"/>
  <c r="B6" i="5"/>
  <c r="B5" i="5"/>
  <c r="C21" i="10"/>
  <c r="C20" i="10"/>
  <c r="C19" i="10"/>
  <c r="C18" i="10"/>
  <c r="B17" i="10"/>
  <c r="B16" i="10"/>
  <c r="B6" i="10"/>
  <c r="C9" i="10"/>
  <c r="B13" i="10"/>
  <c r="B12" i="10"/>
  <c r="B10" i="10"/>
  <c r="B11" i="10"/>
  <c r="B9" i="10"/>
  <c r="I401" i="3"/>
  <c r="H401" i="3"/>
  <c r="G401" i="3"/>
  <c r="F401" i="3"/>
  <c r="E401" i="3"/>
  <c r="I387" i="3"/>
  <c r="H387" i="3"/>
  <c r="G387" i="3"/>
  <c r="F387" i="3"/>
  <c r="E387" i="3"/>
  <c r="C143" i="3"/>
  <c r="C144" i="3"/>
  <c r="C146" i="3"/>
  <c r="C147" i="3"/>
  <c r="C148" i="3"/>
  <c r="C149" i="3"/>
  <c r="C142" i="3"/>
  <c r="I139" i="3"/>
  <c r="H139" i="3"/>
  <c r="G139" i="3"/>
  <c r="F139" i="3"/>
  <c r="D84" i="8"/>
  <c r="D85" i="8"/>
  <c r="D83" i="8"/>
  <c r="C282" i="3"/>
  <c r="C283" i="3"/>
  <c r="C285" i="3"/>
  <c r="C286" i="3"/>
  <c r="C287" i="3"/>
  <c r="C288" i="3"/>
  <c r="C281" i="3"/>
  <c r="I277" i="3"/>
  <c r="H277" i="3"/>
  <c r="G277" i="3"/>
  <c r="F277" i="3"/>
  <c r="E277" i="3"/>
  <c r="C262" i="3"/>
  <c r="C263" i="3"/>
  <c r="C265" i="3"/>
  <c r="C266" i="3"/>
  <c r="C267" i="3"/>
  <c r="C268" i="3"/>
  <c r="C261" i="3"/>
  <c r="I257" i="3"/>
  <c r="H257" i="3"/>
  <c r="G257" i="3"/>
  <c r="F257" i="3"/>
  <c r="E257" i="3"/>
  <c r="C242" i="3"/>
  <c r="C243" i="3"/>
  <c r="C245" i="3"/>
  <c r="C246" i="3"/>
  <c r="C247" i="3"/>
  <c r="C248" i="3"/>
  <c r="C241" i="3"/>
  <c r="I237" i="3"/>
  <c r="H237" i="3"/>
  <c r="G237" i="3"/>
  <c r="F237" i="3"/>
  <c r="E237" i="3"/>
  <c r="E91" i="4"/>
  <c r="E90" i="4"/>
  <c r="D91" i="4"/>
  <c r="D90" i="4"/>
  <c r="B5" i="4"/>
  <c r="AL4" i="6"/>
  <c r="AF4" i="6"/>
  <c r="Z4" i="6"/>
  <c r="T4" i="6"/>
  <c r="N4" i="6"/>
  <c r="I114" i="3"/>
  <c r="H114" i="3"/>
  <c r="G114" i="3"/>
  <c r="F114" i="3"/>
  <c r="E114" i="3"/>
  <c r="F140" i="8"/>
  <c r="I332" i="3"/>
  <c r="H332" i="3"/>
  <c r="G332" i="3"/>
  <c r="F332" i="3"/>
  <c r="E332" i="3"/>
  <c r="I339" i="3"/>
  <c r="H339" i="3"/>
  <c r="G339" i="3"/>
  <c r="F339" i="3"/>
  <c r="E339" i="3"/>
  <c r="I212" i="3"/>
  <c r="H212" i="3"/>
  <c r="G212" i="3"/>
  <c r="F212" i="3"/>
  <c r="E212" i="3"/>
  <c r="I175" i="3"/>
  <c r="H175" i="3"/>
  <c r="G175" i="3"/>
  <c r="F175" i="3"/>
  <c r="E175" i="3"/>
  <c r="C216" i="3"/>
  <c r="C217" i="3"/>
  <c r="C219" i="3"/>
  <c r="C220" i="3"/>
  <c r="C221" i="3"/>
  <c r="C222" i="3"/>
  <c r="C215" i="3"/>
  <c r="C179" i="3"/>
  <c r="C180" i="3"/>
  <c r="C182" i="3"/>
  <c r="C183" i="3"/>
  <c r="C184" i="3"/>
  <c r="C185" i="3"/>
  <c r="C178" i="3"/>
  <c r="F121" i="3"/>
  <c r="G121" i="3"/>
  <c r="H121" i="3"/>
  <c r="I121" i="3"/>
  <c r="E121" i="3"/>
  <c r="E301" i="3"/>
  <c r="F301" i="3"/>
  <c r="G301" i="3"/>
  <c r="H301" i="3"/>
  <c r="I301" i="3"/>
  <c r="H4" i="6"/>
  <c r="B4" i="6"/>
  <c r="M4" i="5"/>
  <c r="K4" i="5"/>
  <c r="I4" i="5"/>
  <c r="G4" i="5"/>
  <c r="E4" i="5"/>
  <c r="I407" i="3"/>
  <c r="H407" i="3"/>
  <c r="G407" i="3"/>
  <c r="F407" i="3"/>
  <c r="E407" i="3"/>
  <c r="I359" i="3"/>
  <c r="H359" i="3"/>
  <c r="G359" i="3"/>
  <c r="F359" i="3"/>
  <c r="E359" i="3"/>
  <c r="I99" i="3"/>
  <c r="H99" i="3"/>
  <c r="G99" i="3"/>
  <c r="F99" i="3"/>
  <c r="E99" i="3"/>
  <c r="I50" i="3"/>
  <c r="H50" i="3"/>
  <c r="G50" i="3"/>
  <c r="F50" i="3"/>
  <c r="E50" i="3"/>
  <c r="I161" i="7"/>
  <c r="J6" i="6"/>
  <c r="AA76" i="14"/>
  <c r="E234" i="3"/>
  <c r="E235" i="3" s="1"/>
  <c r="E448" i="3"/>
  <c r="C31" i="10"/>
  <c r="D6" i="6"/>
  <c r="E6" i="6" s="1"/>
  <c r="AA75" i="14"/>
  <c r="AB75" i="14" s="1"/>
  <c r="AC75" i="14" s="1"/>
  <c r="AD75" i="14" s="1"/>
  <c r="V75" i="14" s="1"/>
  <c r="AA72" i="14"/>
  <c r="AA73" i="14"/>
  <c r="AA66" i="14"/>
  <c r="AA77" i="14"/>
  <c r="AB77" i="14" s="1"/>
  <c r="AA78" i="14"/>
  <c r="AB78" i="14" s="1"/>
  <c r="H165" i="7"/>
  <c r="E174" i="7"/>
  <c r="H162" i="7"/>
  <c r="E182" i="7"/>
  <c r="E177" i="7"/>
  <c r="E185" i="7"/>
  <c r="H170" i="7"/>
  <c r="H179" i="7"/>
  <c r="H185" i="7"/>
  <c r="E163" i="7"/>
  <c r="H161" i="7"/>
  <c r="E179" i="7"/>
  <c r="H174" i="7"/>
  <c r="H184" i="7"/>
  <c r="H186" i="7" s="1"/>
  <c r="H163" i="7"/>
  <c r="E454" i="3"/>
  <c r="E430" i="3"/>
  <c r="F162" i="7"/>
  <c r="H25" i="10"/>
  <c r="G117" i="3" l="1"/>
  <c r="F320" i="3"/>
  <c r="F321" i="3" s="1"/>
  <c r="F232" i="3"/>
  <c r="R50" i="8" s="1"/>
  <c r="R47" i="8"/>
  <c r="G249" i="3"/>
  <c r="G320" i="3" s="1"/>
  <c r="G321" i="3" s="1"/>
  <c r="F199" i="7"/>
  <c r="F181" i="7" s="1"/>
  <c r="O17" i="6"/>
  <c r="G186" i="7"/>
  <c r="F164" i="7"/>
  <c r="D183" i="7"/>
  <c r="F96" i="3"/>
  <c r="U115" i="8"/>
  <c r="AA115" i="8"/>
  <c r="V115" i="8"/>
  <c r="AB115" i="8"/>
  <c r="X115" i="8"/>
  <c r="R115" i="8"/>
  <c r="T115" i="8"/>
  <c r="AC115" i="8"/>
  <c r="S115" i="8"/>
  <c r="Y115" i="8"/>
  <c r="Z115" i="8"/>
  <c r="W115" i="8"/>
  <c r="G336" i="3"/>
  <c r="G316" i="3"/>
  <c r="G115" i="3"/>
  <c r="F118" i="3"/>
  <c r="F192" i="3"/>
  <c r="V35" i="8"/>
  <c r="AB35" i="8"/>
  <c r="W35" i="8"/>
  <c r="AC35" i="8"/>
  <c r="U35" i="8"/>
  <c r="X35" i="8"/>
  <c r="R35" i="8"/>
  <c r="AA35" i="8"/>
  <c r="S35" i="8"/>
  <c r="Y35" i="8"/>
  <c r="T35" i="8"/>
  <c r="Z35" i="8"/>
  <c r="G178" i="3"/>
  <c r="F190" i="3"/>
  <c r="F191" i="3" s="1"/>
  <c r="E85" i="8"/>
  <c r="C75" i="8"/>
  <c r="S41" i="8"/>
  <c r="Y41" i="8"/>
  <c r="X41" i="8"/>
  <c r="T41" i="8"/>
  <c r="Z41" i="8"/>
  <c r="U41" i="8"/>
  <c r="AA41" i="8"/>
  <c r="R41" i="8"/>
  <c r="V41" i="8"/>
  <c r="AB41" i="8"/>
  <c r="W41" i="8"/>
  <c r="AC41" i="8"/>
  <c r="F63" i="8"/>
  <c r="F65" i="8" s="1"/>
  <c r="G63" i="8"/>
  <c r="H63" i="8"/>
  <c r="G238" i="3"/>
  <c r="H238" i="3" s="1"/>
  <c r="E83" i="8"/>
  <c r="C73" i="8"/>
  <c r="G258" i="3"/>
  <c r="H258" i="3" s="1"/>
  <c r="I258" i="3" s="1"/>
  <c r="E84" i="8"/>
  <c r="C74" i="8"/>
  <c r="G140" i="3"/>
  <c r="H140" i="3" s="1"/>
  <c r="I140" i="3" s="1"/>
  <c r="W37" i="8"/>
  <c r="AC37" i="8"/>
  <c r="X37" i="8"/>
  <c r="R37" i="8"/>
  <c r="V37" i="8"/>
  <c r="S37" i="8"/>
  <c r="Y37" i="8"/>
  <c r="AB37" i="8"/>
  <c r="T37" i="8"/>
  <c r="Z37" i="8"/>
  <c r="U37" i="8"/>
  <c r="AA37" i="8"/>
  <c r="G83" i="8"/>
  <c r="H83" i="8"/>
  <c r="I83" i="8"/>
  <c r="J83" i="8"/>
  <c r="O83" i="8"/>
  <c r="P83" i="8"/>
  <c r="N83" i="8"/>
  <c r="K83" i="8"/>
  <c r="M83" i="8"/>
  <c r="L83" i="8"/>
  <c r="F83" i="8"/>
  <c r="Q83" i="8"/>
  <c r="C273" i="3"/>
  <c r="C171" i="3"/>
  <c r="G103" i="3"/>
  <c r="H103" i="3" s="1"/>
  <c r="I103" i="3" s="1"/>
  <c r="F172" i="3"/>
  <c r="F173" i="3" s="1"/>
  <c r="C152" i="3"/>
  <c r="C170" i="3"/>
  <c r="C272" i="3"/>
  <c r="G394" i="3"/>
  <c r="E13" i="10" s="1"/>
  <c r="C293" i="3"/>
  <c r="C153" i="3"/>
  <c r="C189" i="3"/>
  <c r="C225" i="3"/>
  <c r="C188" i="3"/>
  <c r="C252" i="3"/>
  <c r="G343" i="3"/>
  <c r="F77" i="3"/>
  <c r="E60" i="16"/>
  <c r="D47" i="4"/>
  <c r="T126" i="8"/>
  <c r="X126" i="8"/>
  <c r="AB126" i="8"/>
  <c r="U126" i="8"/>
  <c r="Y126" i="8"/>
  <c r="AC126" i="8"/>
  <c r="V126" i="8"/>
  <c r="Z126" i="8"/>
  <c r="R126" i="8"/>
  <c r="S126" i="8"/>
  <c r="W126" i="8"/>
  <c r="AA126" i="8"/>
  <c r="M112" i="8"/>
  <c r="N112" i="8"/>
  <c r="Q112" i="8"/>
  <c r="F112" i="8"/>
  <c r="G112" i="8"/>
  <c r="O112" i="8"/>
  <c r="P112" i="8"/>
  <c r="I112" i="8"/>
  <c r="J112" i="8"/>
  <c r="L112" i="8"/>
  <c r="H112" i="8"/>
  <c r="F59" i="3"/>
  <c r="V97" i="8"/>
  <c r="V98" i="8" s="1"/>
  <c r="Z97" i="8"/>
  <c r="Z98" i="8" s="1"/>
  <c r="S97" i="8"/>
  <c r="S98" i="8" s="1"/>
  <c r="W97" i="8"/>
  <c r="W98" i="8" s="1"/>
  <c r="AA97" i="8"/>
  <c r="AA98" i="8" s="1"/>
  <c r="T97" i="8"/>
  <c r="T98" i="8" s="1"/>
  <c r="X97" i="8"/>
  <c r="X98" i="8" s="1"/>
  <c r="AB97" i="8"/>
  <c r="AB98" i="8" s="1"/>
  <c r="U97" i="8"/>
  <c r="U98" i="8" s="1"/>
  <c r="Y97" i="8"/>
  <c r="Y98" i="8" s="1"/>
  <c r="AC97" i="8"/>
  <c r="AC98" i="8" s="1"/>
  <c r="R97" i="8"/>
  <c r="E186" i="7"/>
  <c r="U27" i="8"/>
  <c r="AB27" i="8"/>
  <c r="Z27" i="8"/>
  <c r="AA27" i="8"/>
  <c r="AC27" i="8"/>
  <c r="T27" i="8"/>
  <c r="X27" i="8"/>
  <c r="V27" i="8"/>
  <c r="Y27" i="8"/>
  <c r="W27" i="8"/>
  <c r="G308" i="3"/>
  <c r="F311" i="3"/>
  <c r="R121" i="8" s="1"/>
  <c r="F313" i="3"/>
  <c r="I199" i="7"/>
  <c r="E181" i="7"/>
  <c r="F73" i="3"/>
  <c r="E159" i="7"/>
  <c r="H178" i="7"/>
  <c r="H164" i="7"/>
  <c r="H181" i="7"/>
  <c r="E172" i="7"/>
  <c r="E161" i="7"/>
  <c r="H172" i="7"/>
  <c r="H173" i="7"/>
  <c r="C226" i="3"/>
  <c r="H169" i="7"/>
  <c r="H166" i="7"/>
  <c r="E170" i="7"/>
  <c r="E175" i="7"/>
  <c r="T127" i="8"/>
  <c r="X127" i="8"/>
  <c r="AB127" i="8"/>
  <c r="U127" i="8"/>
  <c r="Y127" i="8"/>
  <c r="AC127" i="8"/>
  <c r="V127" i="8"/>
  <c r="Z127" i="8"/>
  <c r="R127" i="8"/>
  <c r="S127" i="8"/>
  <c r="W127" i="8"/>
  <c r="AA127" i="8"/>
  <c r="G244" i="3"/>
  <c r="G284" i="3"/>
  <c r="E73" i="16"/>
  <c r="Q125" i="8"/>
  <c r="G125" i="8"/>
  <c r="K125" i="8"/>
  <c r="M125" i="8"/>
  <c r="H125" i="8"/>
  <c r="L125" i="8"/>
  <c r="N125" i="8"/>
  <c r="I125" i="8"/>
  <c r="F125" i="8"/>
  <c r="P125" i="8"/>
  <c r="O125" i="8"/>
  <c r="J125" i="8"/>
  <c r="O13" i="6"/>
  <c r="E162" i="7"/>
  <c r="G347" i="3"/>
  <c r="E166" i="7"/>
  <c r="H171" i="7"/>
  <c r="E160" i="7"/>
  <c r="H175" i="7"/>
  <c r="E176" i="7"/>
  <c r="E173" i="7"/>
  <c r="H180" i="7"/>
  <c r="H182" i="7"/>
  <c r="H177" i="7"/>
  <c r="H159" i="7"/>
  <c r="E178" i="7"/>
  <c r="D186" i="7"/>
  <c r="D187" i="7" s="1"/>
  <c r="G85" i="3"/>
  <c r="H85" i="3" s="1"/>
  <c r="I85" i="3" s="1"/>
  <c r="W129" i="8"/>
  <c r="Y129" i="8"/>
  <c r="AA129" i="8"/>
  <c r="U129" i="8"/>
  <c r="X129" i="8"/>
  <c r="V129" i="8"/>
  <c r="AB129" i="8"/>
  <c r="Z129" i="8"/>
  <c r="E65" i="16"/>
  <c r="G264" i="3"/>
  <c r="E155" i="3"/>
  <c r="E137" i="3"/>
  <c r="E191" i="3"/>
  <c r="F92" i="3"/>
  <c r="F94" i="3" s="1"/>
  <c r="G66" i="3"/>
  <c r="S113" i="8"/>
  <c r="W113" i="8"/>
  <c r="AA113" i="8"/>
  <c r="T113" i="8"/>
  <c r="X113" i="8"/>
  <c r="AB113" i="8"/>
  <c r="U113" i="8"/>
  <c r="Y113" i="8"/>
  <c r="AC113" i="8"/>
  <c r="V113" i="8"/>
  <c r="Z113" i="8"/>
  <c r="R113" i="8"/>
  <c r="U94" i="8"/>
  <c r="V94" i="8"/>
  <c r="Z94" i="8"/>
  <c r="R94" i="8"/>
  <c r="S94" i="8"/>
  <c r="W94" i="8"/>
  <c r="AA94" i="8"/>
  <c r="T94" i="8"/>
  <c r="X94" i="8"/>
  <c r="AB94" i="8"/>
  <c r="Y94" i="8"/>
  <c r="AC94" i="8"/>
  <c r="F54" i="3"/>
  <c r="S93" i="8"/>
  <c r="W93" i="8"/>
  <c r="AA93" i="8"/>
  <c r="T93" i="8"/>
  <c r="X93" i="8"/>
  <c r="AB93" i="8"/>
  <c r="U93" i="8"/>
  <c r="Y93" i="8"/>
  <c r="AC93" i="8"/>
  <c r="V93" i="8"/>
  <c r="Z93" i="8"/>
  <c r="R93" i="8"/>
  <c r="O132" i="8"/>
  <c r="Q132" i="8"/>
  <c r="N132" i="8"/>
  <c r="P132" i="8"/>
  <c r="N124" i="8"/>
  <c r="G124" i="8"/>
  <c r="K124" i="8"/>
  <c r="P124" i="8"/>
  <c r="I124" i="8"/>
  <c r="Q124" i="8"/>
  <c r="O124" i="8"/>
  <c r="H124" i="8"/>
  <c r="L124" i="8"/>
  <c r="M124" i="8"/>
  <c r="J124" i="8"/>
  <c r="O16" i="6"/>
  <c r="O15" i="6"/>
  <c r="P9" i="6"/>
  <c r="P13" i="6"/>
  <c r="G64" i="3"/>
  <c r="H64" i="3" s="1"/>
  <c r="I64" i="3" s="1"/>
  <c r="O14" i="6"/>
  <c r="AF17" i="6"/>
  <c r="AF18" i="6" s="1"/>
  <c r="AG19" i="6" s="1"/>
  <c r="AG17" i="6"/>
  <c r="AM17" i="6"/>
  <c r="AO17" i="6" s="1"/>
  <c r="AP17" i="6" s="1"/>
  <c r="I18" i="6"/>
  <c r="E275" i="3"/>
  <c r="E295" i="3"/>
  <c r="I182" i="7"/>
  <c r="F344" i="3"/>
  <c r="E164" i="7"/>
  <c r="G183" i="7"/>
  <c r="I177" i="7"/>
  <c r="I181" i="7"/>
  <c r="C292" i="3"/>
  <c r="I179" i="7"/>
  <c r="I185" i="7"/>
  <c r="F376" i="3"/>
  <c r="Z131" i="8" s="1"/>
  <c r="F378" i="3"/>
  <c r="F380" i="3" s="1"/>
  <c r="G330" i="3"/>
  <c r="E47" i="16"/>
  <c r="V9" i="6"/>
  <c r="W87" i="14"/>
  <c r="I171" i="7"/>
  <c r="I170" i="7"/>
  <c r="O18" i="6"/>
  <c r="G349" i="3"/>
  <c r="G309" i="3"/>
  <c r="E255" i="3"/>
  <c r="G44" i="3"/>
  <c r="H44" i="3" s="1"/>
  <c r="I44" i="3" s="1"/>
  <c r="F124" i="8"/>
  <c r="G242" i="3"/>
  <c r="H242" i="3" s="1"/>
  <c r="I242" i="3" s="1"/>
  <c r="G90" i="3"/>
  <c r="E51" i="4"/>
  <c r="E103" i="4" s="1"/>
  <c r="H262" i="3"/>
  <c r="G53" i="3"/>
  <c r="E66" i="16"/>
  <c r="G51" i="3"/>
  <c r="D9" i="6"/>
  <c r="C16" i="6" s="1"/>
  <c r="G62" i="3"/>
  <c r="G56" i="3"/>
  <c r="H56" i="3" s="1"/>
  <c r="AH9" i="6"/>
  <c r="G40" i="3"/>
  <c r="H40" i="3" s="1"/>
  <c r="I40" i="3" s="1"/>
  <c r="R27" i="8"/>
  <c r="S27" i="8"/>
  <c r="C14" i="10"/>
  <c r="P123" i="8"/>
  <c r="T123" i="8"/>
  <c r="Q123" i="8"/>
  <c r="U123" i="8"/>
  <c r="R123" i="8"/>
  <c r="N123" i="8"/>
  <c r="O123" i="8"/>
  <c r="S123" i="8"/>
  <c r="G325" i="3"/>
  <c r="H72" i="3"/>
  <c r="G73" i="3"/>
  <c r="F39" i="3"/>
  <c r="F322" i="3" s="1"/>
  <c r="U17" i="6"/>
  <c r="U14" i="6"/>
  <c r="U15" i="6"/>
  <c r="U16" i="6"/>
  <c r="D9" i="5"/>
  <c r="I19" i="6"/>
  <c r="AM20" i="6"/>
  <c r="B48" i="14"/>
  <c r="B47" i="14" s="1"/>
  <c r="B46" i="14" s="1"/>
  <c r="B45" i="14" s="1"/>
  <c r="B44" i="14" s="1"/>
  <c r="B43" i="14" s="1"/>
  <c r="B42" i="14" s="1"/>
  <c r="B41" i="14" s="1"/>
  <c r="B40" i="14" s="1"/>
  <c r="B39" i="14" s="1"/>
  <c r="AH16" i="6"/>
  <c r="D20" i="10"/>
  <c r="H5" i="5"/>
  <c r="G395" i="3" s="1"/>
  <c r="J5" i="5" s="1"/>
  <c r="C38" i="10"/>
  <c r="AM18" i="6"/>
  <c r="V14" i="6"/>
  <c r="E9" i="6"/>
  <c r="AG16" i="6"/>
  <c r="D76" i="16"/>
  <c r="D77" i="16"/>
  <c r="F204" i="3"/>
  <c r="E84" i="3"/>
  <c r="G122" i="3"/>
  <c r="F234" i="3"/>
  <c r="M132" i="8"/>
  <c r="I132" i="8"/>
  <c r="L132" i="8"/>
  <c r="H132" i="8"/>
  <c r="K132" i="8"/>
  <c r="G132" i="8"/>
  <c r="J132" i="8"/>
  <c r="F132" i="8"/>
  <c r="AN9" i="6"/>
  <c r="AP16" i="6"/>
  <c r="G37" i="10" s="1"/>
  <c r="D12" i="6"/>
  <c r="G6" i="5"/>
  <c r="H6" i="5" s="1"/>
  <c r="AB72" i="14"/>
  <c r="AC72" i="14" s="1"/>
  <c r="AD72" i="14" s="1"/>
  <c r="V72" i="14" s="1"/>
  <c r="I17" i="6"/>
  <c r="AM19" i="6"/>
  <c r="AB15" i="6"/>
  <c r="AB9" i="6"/>
  <c r="E70" i="3"/>
  <c r="G213" i="3"/>
  <c r="G232" i="3" s="1"/>
  <c r="E46" i="16"/>
  <c r="G176" i="3"/>
  <c r="H233" i="3"/>
  <c r="F337" i="3"/>
  <c r="AC78" i="14"/>
  <c r="AD78" i="14" s="1"/>
  <c r="V78" i="14" s="1"/>
  <c r="H200" i="3"/>
  <c r="AA79" i="14"/>
  <c r="AB79" i="14" s="1"/>
  <c r="AC77" i="14"/>
  <c r="AD77" i="14" s="1"/>
  <c r="V77" i="14" s="1"/>
  <c r="AA68" i="14"/>
  <c r="AB68" i="14" s="1"/>
  <c r="AL21" i="6"/>
  <c r="AM21" i="6"/>
  <c r="C270" i="3"/>
  <c r="C150" i="3"/>
  <c r="C250" i="3"/>
  <c r="C223" i="3"/>
  <c r="C186" i="3"/>
  <c r="C290" i="3"/>
  <c r="C187" i="3"/>
  <c r="C251" i="3"/>
  <c r="C151" i="3"/>
  <c r="C271" i="3"/>
  <c r="C291" i="3"/>
  <c r="C224" i="3"/>
  <c r="F175" i="7"/>
  <c r="F185" i="7"/>
  <c r="F176" i="7"/>
  <c r="AF19" i="6"/>
  <c r="AA20" i="6"/>
  <c r="Z20" i="6"/>
  <c r="T19" i="6"/>
  <c r="U19" i="6"/>
  <c r="G217" i="3"/>
  <c r="H217" i="3" s="1"/>
  <c r="I217" i="3" s="1"/>
  <c r="F227" i="3"/>
  <c r="F228" i="3" s="1"/>
  <c r="AA19" i="6"/>
  <c r="AA16" i="6"/>
  <c r="B59" i="14"/>
  <c r="F154" i="3"/>
  <c r="F294" i="3"/>
  <c r="F295" i="3" s="1"/>
  <c r="I174" i="7"/>
  <c r="I184" i="7"/>
  <c r="I186" i="7" s="1"/>
  <c r="I169" i="7"/>
  <c r="I176" i="7"/>
  <c r="AA18" i="6"/>
  <c r="H21" i="6"/>
  <c r="I20" i="6"/>
  <c r="F7" i="5"/>
  <c r="AA17" i="6"/>
  <c r="U18" i="6"/>
  <c r="AA15" i="6"/>
  <c r="H75" i="3"/>
  <c r="G77" i="3"/>
  <c r="J12" i="6"/>
  <c r="J9" i="6"/>
  <c r="B22" i="6"/>
  <c r="AA82" i="14"/>
  <c r="AB82" i="14" s="1"/>
  <c r="E72" i="16"/>
  <c r="F296" i="3"/>
  <c r="E71" i="16"/>
  <c r="I143" i="3"/>
  <c r="E206" i="3"/>
  <c r="G403" i="3"/>
  <c r="G404" i="3"/>
  <c r="D27" i="10"/>
  <c r="AA69" i="14"/>
  <c r="AB69" i="14" s="1"/>
  <c r="N19" i="6"/>
  <c r="O19" i="6"/>
  <c r="G63" i="3"/>
  <c r="G187" i="7"/>
  <c r="I281" i="3"/>
  <c r="G390" i="3"/>
  <c r="E11" i="10" s="1"/>
  <c r="X87" i="14"/>
  <c r="AA70" i="14"/>
  <c r="AB70" i="14" s="1"/>
  <c r="AB76" i="14"/>
  <c r="C17" i="10"/>
  <c r="C22" i="10" s="1"/>
  <c r="E399" i="3"/>
  <c r="G389" i="3"/>
  <c r="D10" i="10"/>
  <c r="D52" i="10" s="1"/>
  <c r="D12" i="10"/>
  <c r="G393" i="3"/>
  <c r="AA81" i="14"/>
  <c r="AB81" i="14" s="1"/>
  <c r="AB66" i="14"/>
  <c r="G329" i="3"/>
  <c r="H329" i="3" s="1"/>
  <c r="I329" i="3" s="1"/>
  <c r="G261" i="3"/>
  <c r="F274" i="3"/>
  <c r="G241" i="3"/>
  <c r="E59" i="16"/>
  <c r="F136" i="3"/>
  <c r="G100" i="3"/>
  <c r="AA80" i="14"/>
  <c r="AB80" i="14" s="1"/>
  <c r="AA67" i="14"/>
  <c r="AB67" i="14" s="1"/>
  <c r="AA71" i="14"/>
  <c r="AB71" i="14" s="1"/>
  <c r="AB73" i="14"/>
  <c r="AB74" i="14"/>
  <c r="G310" i="3"/>
  <c r="G326" i="3"/>
  <c r="G377" i="3"/>
  <c r="G302" i="3"/>
  <c r="G340" i="3"/>
  <c r="G370" i="3"/>
  <c r="G355" i="3"/>
  <c r="G342" i="3"/>
  <c r="F375" i="3"/>
  <c r="U131" i="8" s="1"/>
  <c r="G384" i="3"/>
  <c r="G353" i="3"/>
  <c r="D167" i="7"/>
  <c r="E8" i="5"/>
  <c r="E9" i="5" s="1"/>
  <c r="G167" i="7"/>
  <c r="G371" i="3"/>
  <c r="E79" i="16" l="1"/>
  <c r="E85" i="16"/>
  <c r="D41" i="16"/>
  <c r="D40" i="16"/>
  <c r="F178" i="7"/>
  <c r="F182" i="7"/>
  <c r="F171" i="7"/>
  <c r="F174" i="7"/>
  <c r="F173" i="7"/>
  <c r="F170" i="7"/>
  <c r="I166" i="7"/>
  <c r="F179" i="7"/>
  <c r="F177" i="7"/>
  <c r="F180" i="7"/>
  <c r="F184" i="7"/>
  <c r="F166" i="7"/>
  <c r="F169" i="7"/>
  <c r="F183" i="7" s="1"/>
  <c r="F187" i="7" s="1"/>
  <c r="F172" i="7"/>
  <c r="H117" i="3"/>
  <c r="R119" i="8"/>
  <c r="U119" i="8"/>
  <c r="S119" i="8"/>
  <c r="V119" i="8"/>
  <c r="T119" i="8"/>
  <c r="AC119" i="8"/>
  <c r="AB119" i="8"/>
  <c r="W119" i="8"/>
  <c r="Y119" i="8"/>
  <c r="X119" i="8"/>
  <c r="Z119" i="8"/>
  <c r="AA119" i="8"/>
  <c r="F210" i="3"/>
  <c r="F195" i="3"/>
  <c r="G66" i="16"/>
  <c r="F66" i="16"/>
  <c r="F186" i="7"/>
  <c r="H183" i="7"/>
  <c r="H187" i="7" s="1"/>
  <c r="R53" i="8"/>
  <c r="H249" i="3"/>
  <c r="H320" i="3" s="1"/>
  <c r="H321" i="3" s="1"/>
  <c r="H51" i="3"/>
  <c r="D156" i="4"/>
  <c r="F52" i="4"/>
  <c r="F104" i="4" s="1"/>
  <c r="D99" i="4"/>
  <c r="D69" i="4" s="1"/>
  <c r="D151" i="4"/>
  <c r="E13" i="4"/>
  <c r="G96" i="3"/>
  <c r="F13" i="4"/>
  <c r="E183" i="7"/>
  <c r="E187" i="7" s="1"/>
  <c r="U130" i="8"/>
  <c r="AA130" i="8"/>
  <c r="V130" i="8"/>
  <c r="AB130" i="8"/>
  <c r="AC130" i="8"/>
  <c r="X130" i="8"/>
  <c r="R130" i="8"/>
  <c r="T130" i="8"/>
  <c r="W130" i="8"/>
  <c r="S130" i="8"/>
  <c r="Y130" i="8"/>
  <c r="Z130" i="8"/>
  <c r="H316" i="3"/>
  <c r="Y121" i="8"/>
  <c r="X121" i="8"/>
  <c r="T121" i="8"/>
  <c r="Z121" i="8"/>
  <c r="U121" i="8"/>
  <c r="AA121" i="8"/>
  <c r="V121" i="8"/>
  <c r="AB121" i="8"/>
  <c r="W121" i="8"/>
  <c r="AC121" i="8"/>
  <c r="S121" i="8"/>
  <c r="I262" i="3"/>
  <c r="H66" i="16" s="1"/>
  <c r="T45" i="8"/>
  <c r="U45" i="8"/>
  <c r="C76" i="8"/>
  <c r="H115" i="3"/>
  <c r="G118" i="3"/>
  <c r="Y45" i="8"/>
  <c r="AC45" i="8"/>
  <c r="S45" i="8"/>
  <c r="W45" i="8"/>
  <c r="AA45" i="8"/>
  <c r="AB45" i="8"/>
  <c r="E193" i="3"/>
  <c r="E194" i="3" s="1"/>
  <c r="H178" i="3"/>
  <c r="G190" i="3"/>
  <c r="G191" i="3" s="1"/>
  <c r="R45" i="8"/>
  <c r="V45" i="8"/>
  <c r="Z45" i="8"/>
  <c r="X45" i="8"/>
  <c r="F275" i="3"/>
  <c r="H122" i="3"/>
  <c r="I122" i="3" s="1"/>
  <c r="G192" i="3"/>
  <c r="G172" i="3"/>
  <c r="G173" i="3" s="1"/>
  <c r="H394" i="3"/>
  <c r="F13" i="10" s="1"/>
  <c r="E20" i="10"/>
  <c r="F60" i="16"/>
  <c r="V95" i="8"/>
  <c r="AB95" i="8"/>
  <c r="W95" i="8"/>
  <c r="Q13" i="6"/>
  <c r="R13" i="6" s="1"/>
  <c r="P14" i="6" s="1"/>
  <c r="Q14" i="6" s="1"/>
  <c r="R14" i="6" s="1"/>
  <c r="X95" i="8"/>
  <c r="S95" i="8"/>
  <c r="G59" i="3"/>
  <c r="T125" i="8"/>
  <c r="X125" i="8"/>
  <c r="AB125" i="8"/>
  <c r="U125" i="8"/>
  <c r="Y125" i="8"/>
  <c r="AC125" i="8"/>
  <c r="V125" i="8"/>
  <c r="Z125" i="8"/>
  <c r="R125" i="8"/>
  <c r="S125" i="8"/>
  <c r="W125" i="8"/>
  <c r="AA125" i="8"/>
  <c r="AE129" i="8"/>
  <c r="H244" i="3"/>
  <c r="AE127" i="8"/>
  <c r="E25" i="4"/>
  <c r="AE126" i="8"/>
  <c r="H284" i="3"/>
  <c r="F73" i="16"/>
  <c r="G311" i="3"/>
  <c r="R98" i="8"/>
  <c r="AE98" i="8" s="1"/>
  <c r="AE97" i="8"/>
  <c r="G378" i="3"/>
  <c r="G380" i="3" s="1"/>
  <c r="C23" i="10"/>
  <c r="C5" i="18" s="1"/>
  <c r="AG18" i="6"/>
  <c r="Z95" i="8"/>
  <c r="U95" i="8"/>
  <c r="AA95" i="8"/>
  <c r="F11" i="4"/>
  <c r="F116" i="4" s="1"/>
  <c r="AE115" i="8"/>
  <c r="H264" i="3"/>
  <c r="I180" i="7"/>
  <c r="I173" i="7"/>
  <c r="I178" i="7"/>
  <c r="I172" i="7"/>
  <c r="I175" i="7"/>
  <c r="AE131" i="8"/>
  <c r="E28" i="4"/>
  <c r="E297" i="3"/>
  <c r="F155" i="3"/>
  <c r="F137" i="3"/>
  <c r="E11" i="4"/>
  <c r="E116" i="4" s="1"/>
  <c r="AD130" i="8"/>
  <c r="AE113" i="8"/>
  <c r="H66" i="3"/>
  <c r="AD123" i="8"/>
  <c r="AE94" i="8"/>
  <c r="AC95" i="8"/>
  <c r="Y95" i="8"/>
  <c r="T95" i="8"/>
  <c r="AE93" i="8"/>
  <c r="R95" i="8"/>
  <c r="F41" i="3"/>
  <c r="F42" i="3" s="1"/>
  <c r="F239" i="3"/>
  <c r="F254" i="3" s="1"/>
  <c r="AD132" i="8"/>
  <c r="D29" i="4"/>
  <c r="J114" i="8"/>
  <c r="N114" i="8"/>
  <c r="L114" i="8"/>
  <c r="P114" i="8"/>
  <c r="M114" i="8"/>
  <c r="I114" i="8"/>
  <c r="K114" i="8"/>
  <c r="O114" i="8"/>
  <c r="D23" i="4"/>
  <c r="AD125" i="8"/>
  <c r="U124" i="8"/>
  <c r="Y124" i="8"/>
  <c r="AC124" i="8"/>
  <c r="S124" i="8"/>
  <c r="AA124" i="8"/>
  <c r="V124" i="8"/>
  <c r="Z124" i="8"/>
  <c r="R124" i="8"/>
  <c r="W124" i="8"/>
  <c r="T124" i="8"/>
  <c r="X124" i="8"/>
  <c r="AB124" i="8"/>
  <c r="AD124" i="8"/>
  <c r="E77" i="16"/>
  <c r="AI16" i="6"/>
  <c r="AJ16" i="6" s="1"/>
  <c r="AD83" i="8"/>
  <c r="H336" i="3"/>
  <c r="F24" i="4"/>
  <c r="D24" i="4"/>
  <c r="H90" i="3"/>
  <c r="D21" i="4"/>
  <c r="G92" i="3"/>
  <c r="G94" i="3" s="1"/>
  <c r="C21" i="6"/>
  <c r="C14" i="6"/>
  <c r="E418" i="3"/>
  <c r="C17" i="6"/>
  <c r="G54" i="3"/>
  <c r="AE31" i="8"/>
  <c r="AE27" i="8"/>
  <c r="F51" i="4"/>
  <c r="F103" i="4" s="1"/>
  <c r="H62" i="3"/>
  <c r="H53" i="3"/>
  <c r="I53" i="3" s="1"/>
  <c r="C15" i="6"/>
  <c r="C12" i="6"/>
  <c r="E12" i="6" s="1"/>
  <c r="F12" i="6" s="1"/>
  <c r="D31" i="10" s="1"/>
  <c r="C19" i="6"/>
  <c r="C20" i="6"/>
  <c r="C13" i="6"/>
  <c r="D40" i="6"/>
  <c r="Q136" i="8" s="1"/>
  <c r="C18" i="6"/>
  <c r="W14" i="6"/>
  <c r="X14" i="6" s="1"/>
  <c r="V15" i="6" s="1"/>
  <c r="W15" i="6" s="1"/>
  <c r="H325" i="3"/>
  <c r="X123" i="8"/>
  <c r="AB123" i="8"/>
  <c r="Y123" i="8"/>
  <c r="AC123" i="8"/>
  <c r="Z123" i="8"/>
  <c r="V123" i="8"/>
  <c r="W123" i="8"/>
  <c r="AA123" i="8"/>
  <c r="I72" i="3"/>
  <c r="H73" i="3"/>
  <c r="H37" i="3"/>
  <c r="H38" i="3" s="1"/>
  <c r="H319" i="3" s="1"/>
  <c r="G39" i="3"/>
  <c r="J135" i="8"/>
  <c r="J142" i="8" s="1"/>
  <c r="F135" i="8"/>
  <c r="H135" i="8"/>
  <c r="H142" i="8" s="1"/>
  <c r="M135" i="8"/>
  <c r="M142" i="8" s="1"/>
  <c r="G135" i="8"/>
  <c r="G142" i="8" s="1"/>
  <c r="K135" i="8"/>
  <c r="K142" i="8" s="1"/>
  <c r="L135" i="8"/>
  <c r="L142" i="8" s="1"/>
  <c r="I135" i="8"/>
  <c r="I142" i="8" s="1"/>
  <c r="H213" i="3"/>
  <c r="E43" i="3"/>
  <c r="E279" i="3"/>
  <c r="E298" i="3" s="1"/>
  <c r="F47" i="16"/>
  <c r="E76" i="16"/>
  <c r="G204" i="3"/>
  <c r="AN18" i="6"/>
  <c r="AO18" i="6" s="1"/>
  <c r="AP18" i="6" s="1"/>
  <c r="AN19" i="6" s="1"/>
  <c r="AO19" i="6" s="1"/>
  <c r="AP19" i="6" s="1"/>
  <c r="H37" i="10"/>
  <c r="F8" i="5"/>
  <c r="F398" i="3" s="1"/>
  <c r="G8" i="5" s="1"/>
  <c r="H8" i="5" s="1"/>
  <c r="G398" i="3" s="1"/>
  <c r="AC15" i="6"/>
  <c r="AD15" i="6" s="1"/>
  <c r="F35" i="10" s="1"/>
  <c r="F46" i="16"/>
  <c r="H176" i="3"/>
  <c r="I390" i="3" s="1"/>
  <c r="G11" i="10" s="1"/>
  <c r="H390" i="3"/>
  <c r="F11" i="10" s="1"/>
  <c r="G201" i="3"/>
  <c r="F201" i="3"/>
  <c r="I233" i="3"/>
  <c r="G136" i="3"/>
  <c r="G137" i="3" s="1"/>
  <c r="AC71" i="14"/>
  <c r="AD71" i="14" s="1"/>
  <c r="V71" i="14" s="1"/>
  <c r="AC69" i="14"/>
  <c r="AD69" i="14" s="1"/>
  <c r="V69" i="14" s="1"/>
  <c r="AC67" i="14"/>
  <c r="AD67" i="14" s="1"/>
  <c r="V67" i="14" s="1"/>
  <c r="AC74" i="14"/>
  <c r="AD74" i="14" s="1"/>
  <c r="AC80" i="14"/>
  <c r="AD80" i="14" s="1"/>
  <c r="V80" i="14" s="1"/>
  <c r="AC81" i="14"/>
  <c r="AD81" i="14" s="1"/>
  <c r="V81" i="14" s="1"/>
  <c r="AC70" i="14"/>
  <c r="AD70" i="14" s="1"/>
  <c r="V70" i="14" s="1"/>
  <c r="AC82" i="14"/>
  <c r="AD82" i="14" s="1"/>
  <c r="V82" i="14" s="1"/>
  <c r="H326" i="3"/>
  <c r="F21" i="4"/>
  <c r="AC66" i="14"/>
  <c r="AD66" i="14" s="1"/>
  <c r="V66" i="14" s="1"/>
  <c r="E12" i="10"/>
  <c r="H393" i="3"/>
  <c r="AM22" i="6"/>
  <c r="AL22" i="6"/>
  <c r="AC68" i="14"/>
  <c r="AD68" i="14" s="1"/>
  <c r="V68" i="14" s="1"/>
  <c r="AC79" i="14"/>
  <c r="AD79" i="14" s="1"/>
  <c r="V79" i="14" s="1"/>
  <c r="H371" i="3"/>
  <c r="I167" i="7"/>
  <c r="H167" i="7"/>
  <c r="H188" i="7" s="1"/>
  <c r="G188" i="7"/>
  <c r="G337" i="3"/>
  <c r="G375" i="3"/>
  <c r="H340" i="3"/>
  <c r="G344" i="3"/>
  <c r="H310" i="3"/>
  <c r="H261" i="3"/>
  <c r="F65" i="16"/>
  <c r="G274" i="3"/>
  <c r="G275" i="3" s="1"/>
  <c r="N20" i="6"/>
  <c r="O20" i="6"/>
  <c r="E27" i="10"/>
  <c r="H404" i="3"/>
  <c r="B23" i="6"/>
  <c r="C22" i="6"/>
  <c r="I21" i="6"/>
  <c r="H22" i="6"/>
  <c r="H308" i="3"/>
  <c r="D188" i="7"/>
  <c r="F167" i="7"/>
  <c r="E167" i="7"/>
  <c r="E188" i="7" s="1"/>
  <c r="H370" i="3"/>
  <c r="AC73" i="14"/>
  <c r="AD73" i="14" s="1"/>
  <c r="V73" i="14" s="1"/>
  <c r="H309" i="3"/>
  <c r="AC76" i="14"/>
  <c r="AD76" i="14" s="1"/>
  <c r="V76" i="14" s="1"/>
  <c r="I12" i="6"/>
  <c r="K12" i="6" s="1"/>
  <c r="I14" i="6"/>
  <c r="E424" i="3"/>
  <c r="I16" i="6"/>
  <c r="I15" i="6"/>
  <c r="I13" i="6"/>
  <c r="F397" i="3"/>
  <c r="G7" i="5"/>
  <c r="T20" i="6"/>
  <c r="U20" i="6"/>
  <c r="AF20" i="6"/>
  <c r="AG20" i="6"/>
  <c r="H347" i="3"/>
  <c r="H384" i="3"/>
  <c r="I384" i="3" s="1"/>
  <c r="H343" i="3"/>
  <c r="G60" i="16"/>
  <c r="I238" i="3"/>
  <c r="I75" i="3"/>
  <c r="H77" i="3"/>
  <c r="H395" i="3"/>
  <c r="H342" i="3"/>
  <c r="H302" i="3"/>
  <c r="H330" i="3"/>
  <c r="F72" i="16"/>
  <c r="G296" i="3"/>
  <c r="F71" i="16"/>
  <c r="H353" i="3"/>
  <c r="F25" i="4"/>
  <c r="H355" i="3"/>
  <c r="H377" i="3"/>
  <c r="H349" i="3"/>
  <c r="G294" i="3"/>
  <c r="G295" i="3" s="1"/>
  <c r="H100" i="3"/>
  <c r="H172" i="3" s="1"/>
  <c r="H173" i="3" s="1"/>
  <c r="G154" i="3"/>
  <c r="G155" i="3" s="1"/>
  <c r="G227" i="3"/>
  <c r="G228" i="3" s="1"/>
  <c r="H241" i="3"/>
  <c r="G376" i="3"/>
  <c r="E10" i="10"/>
  <c r="E52" i="10" s="1"/>
  <c r="H389" i="3"/>
  <c r="H63" i="3"/>
  <c r="F59" i="16"/>
  <c r="H403" i="3"/>
  <c r="E26" i="10"/>
  <c r="E53" i="10" s="1"/>
  <c r="I6" i="5"/>
  <c r="G396" i="3"/>
  <c r="C51" i="10"/>
  <c r="Z21" i="6"/>
  <c r="AA21" i="6"/>
  <c r="H59" i="3"/>
  <c r="I56" i="3"/>
  <c r="I200" i="3"/>
  <c r="F79" i="16" l="1"/>
  <c r="F85" i="16"/>
  <c r="I51" i="3"/>
  <c r="H296" i="3"/>
  <c r="I117" i="3"/>
  <c r="E17" i="4"/>
  <c r="AE119" i="8"/>
  <c r="G210" i="3"/>
  <c r="G195" i="3"/>
  <c r="I394" i="3"/>
  <c r="G13" i="10" s="1"/>
  <c r="H13" i="10" s="1"/>
  <c r="F255" i="3"/>
  <c r="G322" i="3"/>
  <c r="F77" i="16"/>
  <c r="I249" i="3"/>
  <c r="I320" i="3" s="1"/>
  <c r="I321" i="3" s="1"/>
  <c r="V74" i="14"/>
  <c r="AD87" i="8"/>
  <c r="D33" i="4"/>
  <c r="AD136" i="8"/>
  <c r="G52" i="4"/>
  <c r="G104" i="4" s="1"/>
  <c r="E156" i="4"/>
  <c r="F65" i="4"/>
  <c r="F117" i="4"/>
  <c r="F63" i="4"/>
  <c r="D80" i="4"/>
  <c r="D70" i="4"/>
  <c r="D77" i="4"/>
  <c r="D94" i="4"/>
  <c r="D79" i="4"/>
  <c r="E117" i="4"/>
  <c r="E63" i="4"/>
  <c r="D73" i="4"/>
  <c r="D76" i="4"/>
  <c r="D75" i="4"/>
  <c r="D81" i="4"/>
  <c r="E65" i="4"/>
  <c r="I183" i="7"/>
  <c r="I187" i="7" s="1"/>
  <c r="H96" i="3"/>
  <c r="G13" i="4"/>
  <c r="G75" i="8"/>
  <c r="G85" i="8" s="1"/>
  <c r="N75" i="8"/>
  <c r="N85" i="8" s="1"/>
  <c r="P75" i="8"/>
  <c r="P85" i="8" s="1"/>
  <c r="H75" i="8"/>
  <c r="H85" i="8" s="1"/>
  <c r="I75" i="8"/>
  <c r="I85" i="8" s="1"/>
  <c r="O75" i="8"/>
  <c r="O85" i="8" s="1"/>
  <c r="K75" i="8"/>
  <c r="K85" i="8" s="1"/>
  <c r="Q75" i="8"/>
  <c r="Q85" i="8" s="1"/>
  <c r="L75" i="8"/>
  <c r="L85" i="8" s="1"/>
  <c r="F75" i="8"/>
  <c r="F85" i="8" s="1"/>
  <c r="M75" i="8"/>
  <c r="M85" i="8" s="1"/>
  <c r="J75" i="8"/>
  <c r="J85" i="8" s="1"/>
  <c r="F259" i="3"/>
  <c r="V73" i="8"/>
  <c r="R73" i="8"/>
  <c r="W73" i="8"/>
  <c r="X73" i="8"/>
  <c r="S73" i="8"/>
  <c r="Y73" i="8"/>
  <c r="T73" i="8"/>
  <c r="Z73" i="8"/>
  <c r="U73" i="8"/>
  <c r="AA73" i="8"/>
  <c r="AB73" i="8"/>
  <c r="AC73" i="8"/>
  <c r="E18" i="4"/>
  <c r="I316" i="3"/>
  <c r="AE121" i="8"/>
  <c r="I377" i="3"/>
  <c r="I115" i="3"/>
  <c r="H118" i="3"/>
  <c r="I178" i="3"/>
  <c r="H190" i="3"/>
  <c r="H191" i="3" s="1"/>
  <c r="G193" i="3"/>
  <c r="N84" i="8"/>
  <c r="P84" i="8"/>
  <c r="I84" i="8"/>
  <c r="F84" i="8"/>
  <c r="K84" i="8"/>
  <c r="H84" i="8"/>
  <c r="J84" i="8"/>
  <c r="L84" i="8"/>
  <c r="Q84" i="8"/>
  <c r="M84" i="8"/>
  <c r="G84" i="8"/>
  <c r="O84" i="8"/>
  <c r="F193" i="3"/>
  <c r="I213" i="3"/>
  <c r="I232" i="3" s="1"/>
  <c r="I234" i="3" s="1"/>
  <c r="H232" i="3"/>
  <c r="H192" i="3"/>
  <c r="E33" i="10"/>
  <c r="H54" i="3"/>
  <c r="D90" i="16"/>
  <c r="D9" i="16" s="1"/>
  <c r="P15" i="6"/>
  <c r="Q15" i="6" s="1"/>
  <c r="R15" i="6" s="1"/>
  <c r="G33" i="10" s="1"/>
  <c r="F33" i="10"/>
  <c r="I330" i="3"/>
  <c r="I309" i="3"/>
  <c r="I342" i="3"/>
  <c r="I343" i="3"/>
  <c r="G11" i="4"/>
  <c r="G116" i="4" s="1"/>
  <c r="I284" i="3"/>
  <c r="G73" i="16"/>
  <c r="G47" i="16"/>
  <c r="H311" i="3"/>
  <c r="G46" i="16"/>
  <c r="I264" i="3"/>
  <c r="I244" i="3"/>
  <c r="AE130" i="8"/>
  <c r="I66" i="3"/>
  <c r="AE95" i="8"/>
  <c r="AE123" i="8"/>
  <c r="F45" i="3"/>
  <c r="F46" i="3" s="1"/>
  <c r="E54" i="4" s="1"/>
  <c r="G41" i="3"/>
  <c r="G42" i="3" s="1"/>
  <c r="AD114" i="8"/>
  <c r="D12" i="4"/>
  <c r="AE124" i="8"/>
  <c r="G36" i="10"/>
  <c r="AH17" i="6"/>
  <c r="AI17" i="6" s="1"/>
  <c r="AJ17" i="6" s="1"/>
  <c r="E24" i="4"/>
  <c r="H376" i="3"/>
  <c r="I376" i="3" s="1"/>
  <c r="F188" i="7"/>
  <c r="I336" i="3"/>
  <c r="I337" i="3" s="1"/>
  <c r="I371" i="3"/>
  <c r="D22" i="4"/>
  <c r="F23" i="4"/>
  <c r="F22" i="4"/>
  <c r="I90" i="3"/>
  <c r="H92" i="3"/>
  <c r="H94" i="3" s="1"/>
  <c r="L137" i="8"/>
  <c r="F34" i="10"/>
  <c r="I77" i="3"/>
  <c r="X15" i="6"/>
  <c r="V16" i="6" s="1"/>
  <c r="W16" i="6" s="1"/>
  <c r="X16" i="6" s="1"/>
  <c r="E21" i="4"/>
  <c r="I59" i="3"/>
  <c r="I62" i="3"/>
  <c r="G51" i="4"/>
  <c r="G103" i="4" s="1"/>
  <c r="I325" i="3"/>
  <c r="I73" i="3"/>
  <c r="D82" i="16"/>
  <c r="D87" i="16" s="1"/>
  <c r="D6" i="16" s="1"/>
  <c r="K137" i="8"/>
  <c r="I37" i="3"/>
  <c r="I38" i="3" s="1"/>
  <c r="I319" i="3" s="1"/>
  <c r="H39" i="3"/>
  <c r="H322" i="3" s="1"/>
  <c r="AB16" i="6"/>
  <c r="AC16" i="6" s="1"/>
  <c r="AD16" i="6" s="1"/>
  <c r="AB17" i="6" s="1"/>
  <c r="AC17" i="6" s="1"/>
  <c r="AD17" i="6" s="1"/>
  <c r="H137" i="8"/>
  <c r="J137" i="8"/>
  <c r="G137" i="8"/>
  <c r="D13" i="6"/>
  <c r="E13" i="6" s="1"/>
  <c r="D21" i="10"/>
  <c r="M137" i="8"/>
  <c r="I137" i="8"/>
  <c r="F142" i="8"/>
  <c r="D83" i="16"/>
  <c r="D88" i="16" s="1"/>
  <c r="D7" i="16" s="1"/>
  <c r="H204" i="3"/>
  <c r="F76" i="16"/>
  <c r="F9" i="5"/>
  <c r="G234" i="3"/>
  <c r="I176" i="3"/>
  <c r="I192" i="3" s="1"/>
  <c r="H201" i="3"/>
  <c r="AN20" i="6"/>
  <c r="AO20" i="6" s="1"/>
  <c r="AP20" i="6" s="1"/>
  <c r="E21" i="10"/>
  <c r="I8" i="5"/>
  <c r="J8" i="5" s="1"/>
  <c r="H398" i="3" s="1"/>
  <c r="F27" i="10"/>
  <c r="I404" i="3"/>
  <c r="H337" i="3"/>
  <c r="AA22" i="6"/>
  <c r="Z22" i="6"/>
  <c r="J6" i="5"/>
  <c r="E18" i="10"/>
  <c r="I63" i="3"/>
  <c r="I349" i="3"/>
  <c r="G71" i="16"/>
  <c r="G72" i="16"/>
  <c r="G77" i="16" s="1"/>
  <c r="H11" i="10"/>
  <c r="I310" i="3"/>
  <c r="F137" i="8"/>
  <c r="I355" i="3"/>
  <c r="I302" i="3"/>
  <c r="H60" i="16"/>
  <c r="AF21" i="6"/>
  <c r="AG21" i="6"/>
  <c r="I403" i="3"/>
  <c r="F26" i="10"/>
  <c r="F10" i="10"/>
  <c r="F52" i="10" s="1"/>
  <c r="I389" i="3"/>
  <c r="H227" i="3"/>
  <c r="H228" i="3" s="1"/>
  <c r="I100" i="3"/>
  <c r="I172" i="3" s="1"/>
  <c r="I173" i="3" s="1"/>
  <c r="H154" i="3"/>
  <c r="H155" i="3" s="1"/>
  <c r="H136" i="3"/>
  <c r="H137" i="3" s="1"/>
  <c r="H294" i="3"/>
  <c r="H295" i="3" s="1"/>
  <c r="G24" i="4"/>
  <c r="I347" i="3"/>
  <c r="T21" i="6"/>
  <c r="U21" i="6"/>
  <c r="B24" i="6"/>
  <c r="C23" i="6"/>
  <c r="G65" i="16"/>
  <c r="I261" i="3"/>
  <c r="H274" i="3"/>
  <c r="H275" i="3" s="1"/>
  <c r="H375" i="3"/>
  <c r="F28" i="4"/>
  <c r="D19" i="10"/>
  <c r="H7" i="5"/>
  <c r="I308" i="3"/>
  <c r="H344" i="3"/>
  <c r="I340" i="3"/>
  <c r="AM23" i="6"/>
  <c r="AL23" i="6"/>
  <c r="I326" i="3"/>
  <c r="G21" i="4"/>
  <c r="I241" i="3"/>
  <c r="I353" i="3"/>
  <c r="G25" i="4"/>
  <c r="F20" i="10"/>
  <c r="L5" i="5"/>
  <c r="G59" i="16"/>
  <c r="G9" i="5"/>
  <c r="L12" i="6"/>
  <c r="E40" i="6"/>
  <c r="Q144" i="8" s="1"/>
  <c r="I370" i="3"/>
  <c r="I22" i="6"/>
  <c r="H23" i="6"/>
  <c r="O21" i="6"/>
  <c r="N21" i="6"/>
  <c r="I188" i="7"/>
  <c r="I393" i="3"/>
  <c r="F12" i="10"/>
  <c r="H378" i="3"/>
  <c r="G79" i="16" l="1"/>
  <c r="G85" i="16"/>
  <c r="I54" i="3"/>
  <c r="I118" i="3"/>
  <c r="R83" i="8"/>
  <c r="W83" i="8"/>
  <c r="T83" i="8"/>
  <c r="AB83" i="8"/>
  <c r="H17" i="4"/>
  <c r="F17" i="4"/>
  <c r="G17" i="4"/>
  <c r="AA83" i="8"/>
  <c r="I210" i="3"/>
  <c r="I195" i="3"/>
  <c r="H210" i="3"/>
  <c r="H195" i="3"/>
  <c r="Z83" i="8"/>
  <c r="U83" i="8"/>
  <c r="V83" i="8"/>
  <c r="Y83" i="8"/>
  <c r="S83" i="8"/>
  <c r="AC83" i="8"/>
  <c r="X83" i="8"/>
  <c r="F297" i="3"/>
  <c r="H46" i="16"/>
  <c r="H47" i="16"/>
  <c r="D43" i="4"/>
  <c r="D95" i="4" s="1"/>
  <c r="AD144" i="8"/>
  <c r="H234" i="3"/>
  <c r="H13" i="4"/>
  <c r="H65" i="4" s="1"/>
  <c r="F156" i="4"/>
  <c r="H52" i="4"/>
  <c r="H104" i="4" s="1"/>
  <c r="G117" i="4"/>
  <c r="G63" i="4"/>
  <c r="G65" i="4"/>
  <c r="D64" i="4"/>
  <c r="D74" i="4"/>
  <c r="AB74" i="8"/>
  <c r="AC74" i="8"/>
  <c r="R74" i="8"/>
  <c r="X74" i="8"/>
  <c r="W74" i="8"/>
  <c r="S74" i="8"/>
  <c r="Y74" i="8"/>
  <c r="T74" i="8"/>
  <c r="Z74" i="8"/>
  <c r="U74" i="8"/>
  <c r="AA74" i="8"/>
  <c r="V74" i="8"/>
  <c r="H193" i="3"/>
  <c r="AD84" i="8"/>
  <c r="I190" i="3"/>
  <c r="I191" i="3" s="1"/>
  <c r="P16" i="6"/>
  <c r="Q16" i="6" s="1"/>
  <c r="R16" i="6" s="1"/>
  <c r="H33" i="10" s="1"/>
  <c r="H73" i="16"/>
  <c r="H11" i="4"/>
  <c r="H116" i="4" s="1"/>
  <c r="I311" i="3"/>
  <c r="I296" i="3"/>
  <c r="I96" i="3"/>
  <c r="E23" i="4"/>
  <c r="AE125" i="8"/>
  <c r="AH18" i="6"/>
  <c r="AI18" i="6" s="1"/>
  <c r="AJ18" i="6" s="1"/>
  <c r="AH19" i="6" s="1"/>
  <c r="AI19" i="6" s="1"/>
  <c r="AJ19" i="6" s="1"/>
  <c r="AH20" i="6" s="1"/>
  <c r="AI20" i="6" s="1"/>
  <c r="AJ20" i="6" s="1"/>
  <c r="H36" i="10"/>
  <c r="H26" i="10"/>
  <c r="H53" i="10" s="1"/>
  <c r="G27" i="10"/>
  <c r="H27" i="10"/>
  <c r="G12" i="10"/>
  <c r="H12" i="10" s="1"/>
  <c r="G10" i="10"/>
  <c r="H10" i="10" s="1"/>
  <c r="H52" i="10" s="1"/>
  <c r="G23" i="4"/>
  <c r="E22" i="4"/>
  <c r="G22" i="4"/>
  <c r="H22" i="4"/>
  <c r="G35" i="10"/>
  <c r="I92" i="3"/>
  <c r="I94" i="3" s="1"/>
  <c r="G34" i="10"/>
  <c r="H51" i="4"/>
  <c r="H103" i="4" s="1"/>
  <c r="I39" i="3"/>
  <c r="I322" i="3" s="1"/>
  <c r="T135" i="8"/>
  <c r="N135" i="8"/>
  <c r="S135" i="8"/>
  <c r="Q135" i="8"/>
  <c r="U135" i="8"/>
  <c r="R135" i="8"/>
  <c r="O135" i="8"/>
  <c r="P135" i="8"/>
  <c r="H34" i="10"/>
  <c r="V17" i="6"/>
  <c r="W17" i="6" s="1"/>
  <c r="X17" i="6" s="1"/>
  <c r="V18" i="6" s="1"/>
  <c r="W18" i="6" s="1"/>
  <c r="X18" i="6" s="1"/>
  <c r="V19" i="6" s="1"/>
  <c r="W19" i="6" s="1"/>
  <c r="X19" i="6" s="1"/>
  <c r="I204" i="3"/>
  <c r="G76" i="16"/>
  <c r="H21" i="4"/>
  <c r="I201" i="3"/>
  <c r="AN21" i="6"/>
  <c r="AO21" i="6" s="1"/>
  <c r="AP21" i="6" s="1"/>
  <c r="H35" i="10"/>
  <c r="AB18" i="6"/>
  <c r="AC18" i="6" s="1"/>
  <c r="AD18" i="6" s="1"/>
  <c r="N22" i="6"/>
  <c r="O22" i="6"/>
  <c r="H24" i="6"/>
  <c r="I23" i="6"/>
  <c r="G397" i="3"/>
  <c r="I7" i="5"/>
  <c r="I9" i="5" s="1"/>
  <c r="H9" i="5"/>
  <c r="T22" i="6"/>
  <c r="U22" i="6"/>
  <c r="AA23" i="6"/>
  <c r="Z23" i="6"/>
  <c r="F21" i="10"/>
  <c r="K8" i="5"/>
  <c r="L8" i="5" s="1"/>
  <c r="I398" i="3" s="1"/>
  <c r="I344" i="3"/>
  <c r="H65" i="16"/>
  <c r="I274" i="3"/>
  <c r="I275" i="3" s="1"/>
  <c r="G26" i="10"/>
  <c r="AG22" i="6"/>
  <c r="AF22" i="6"/>
  <c r="B25" i="6"/>
  <c r="C24" i="6"/>
  <c r="H24" i="4"/>
  <c r="I227" i="3"/>
  <c r="I228" i="3" s="1"/>
  <c r="I154" i="3"/>
  <c r="I155" i="3" s="1"/>
  <c r="I136" i="3"/>
  <c r="I137" i="3" s="1"/>
  <c r="I294" i="3"/>
  <c r="I295" i="3" s="1"/>
  <c r="I378" i="3"/>
  <c r="H380" i="3"/>
  <c r="D32" i="10"/>
  <c r="D38" i="10" s="1"/>
  <c r="J13" i="6"/>
  <c r="F53" i="10"/>
  <c r="H25" i="4"/>
  <c r="I375" i="3"/>
  <c r="G28" i="4"/>
  <c r="K6" i="5"/>
  <c r="H396" i="3"/>
  <c r="E405" i="3"/>
  <c r="I395" i="3"/>
  <c r="F13" i="6"/>
  <c r="AL24" i="6"/>
  <c r="AM24" i="6"/>
  <c r="H59" i="16"/>
  <c r="H72" i="16"/>
  <c r="H77" i="16" s="1"/>
  <c r="H71" i="16"/>
  <c r="H79" i="16" l="1"/>
  <c r="H85" i="16"/>
  <c r="AE83" i="8"/>
  <c r="AD135" i="8"/>
  <c r="G52" i="10"/>
  <c r="H63" i="4"/>
  <c r="H117" i="4"/>
  <c r="P17" i="6"/>
  <c r="Q17" i="6" s="1"/>
  <c r="R17" i="6" s="1"/>
  <c r="P18" i="6" s="1"/>
  <c r="Q18" i="6" s="1"/>
  <c r="R18" i="6" s="1"/>
  <c r="I193" i="3"/>
  <c r="H28" i="4"/>
  <c r="I380" i="3"/>
  <c r="H23" i="4"/>
  <c r="Q142" i="8"/>
  <c r="Q137" i="8"/>
  <c r="O142" i="8"/>
  <c r="O137" i="8"/>
  <c r="R142" i="8"/>
  <c r="R137" i="8"/>
  <c r="N142" i="8"/>
  <c r="N137" i="8"/>
  <c r="D32" i="4"/>
  <c r="P142" i="8"/>
  <c r="P137" i="8"/>
  <c r="S142" i="8"/>
  <c r="S137" i="8"/>
  <c r="F32" i="4"/>
  <c r="W135" i="8"/>
  <c r="V135" i="8"/>
  <c r="AA135" i="8"/>
  <c r="X135" i="8"/>
  <c r="AB135" i="8"/>
  <c r="Y135" i="8"/>
  <c r="AC135" i="8"/>
  <c r="Z135" i="8"/>
  <c r="U142" i="8"/>
  <c r="U137" i="8"/>
  <c r="T142" i="8"/>
  <c r="T137" i="8"/>
  <c r="AN22" i="6"/>
  <c r="AO22" i="6" s="1"/>
  <c r="AP22" i="6" s="1"/>
  <c r="V20" i="6"/>
  <c r="W20" i="6" s="1"/>
  <c r="X20" i="6" s="1"/>
  <c r="AH21" i="6"/>
  <c r="AI21" i="6" s="1"/>
  <c r="AJ21" i="6" s="1"/>
  <c r="G20" i="10"/>
  <c r="N5" i="5"/>
  <c r="P5" i="5" s="1"/>
  <c r="F18" i="10"/>
  <c r="L6" i="5"/>
  <c r="AF23" i="6"/>
  <c r="AG23" i="6"/>
  <c r="T23" i="6"/>
  <c r="U23" i="6"/>
  <c r="J7" i="5"/>
  <c r="E19" i="10"/>
  <c r="G21" i="10"/>
  <c r="M8" i="5"/>
  <c r="N8" i="5" s="1"/>
  <c r="N23" i="6"/>
  <c r="O23" i="6"/>
  <c r="H76" i="16"/>
  <c r="E31" i="10"/>
  <c r="D14" i="6"/>
  <c r="E406" i="3"/>
  <c r="C28" i="10"/>
  <c r="C29" i="10" s="1"/>
  <c r="C39" i="10" s="1"/>
  <c r="K13" i="6"/>
  <c r="D41" i="6"/>
  <c r="AC136" i="8" s="1"/>
  <c r="B26" i="6"/>
  <c r="C25" i="6"/>
  <c r="AA24" i="6"/>
  <c r="Z24" i="6"/>
  <c r="AB19" i="6"/>
  <c r="AC19" i="6" s="1"/>
  <c r="AD19" i="6" s="1"/>
  <c r="AM25" i="6"/>
  <c r="AL25" i="6"/>
  <c r="G53" i="10"/>
  <c r="H25" i="6"/>
  <c r="I24" i="6"/>
  <c r="AE135" i="8" l="1"/>
  <c r="AD142" i="8"/>
  <c r="E33" i="4"/>
  <c r="AE136" i="8"/>
  <c r="AD137" i="8"/>
  <c r="F41" i="4"/>
  <c r="D84" i="4"/>
  <c r="W142" i="8"/>
  <c r="W137" i="8"/>
  <c r="Z142" i="8"/>
  <c r="Z137" i="8"/>
  <c r="AC142" i="8"/>
  <c r="AC137" i="8"/>
  <c r="AA142" i="8"/>
  <c r="AA137" i="8"/>
  <c r="D41" i="4"/>
  <c r="AB142" i="8"/>
  <c r="AB137" i="8"/>
  <c r="X142" i="8"/>
  <c r="X137" i="8"/>
  <c r="Y142" i="8"/>
  <c r="Y137" i="8"/>
  <c r="V142" i="8"/>
  <c r="V137" i="8"/>
  <c r="E32" i="4"/>
  <c r="H21" i="10"/>
  <c r="O8" i="5"/>
  <c r="V21" i="6"/>
  <c r="W21" i="6" s="1"/>
  <c r="X21" i="6" s="1"/>
  <c r="E14" i="6"/>
  <c r="O24" i="6"/>
  <c r="N24" i="6"/>
  <c r="K7" i="5"/>
  <c r="K9" i="5" s="1"/>
  <c r="H397" i="3"/>
  <c r="J9" i="5"/>
  <c r="AF24" i="6"/>
  <c r="AG24" i="6"/>
  <c r="I396" i="3"/>
  <c r="M6" i="5"/>
  <c r="P19" i="6"/>
  <c r="Q19" i="6" s="1"/>
  <c r="R19" i="6" s="1"/>
  <c r="H26" i="6"/>
  <c r="I25" i="6"/>
  <c r="AB20" i="6"/>
  <c r="AC20" i="6" s="1"/>
  <c r="AD20" i="6" s="1"/>
  <c r="AA25" i="6"/>
  <c r="Z25" i="6"/>
  <c r="AH22" i="6"/>
  <c r="AI22" i="6" s="1"/>
  <c r="AJ22" i="6" s="1"/>
  <c r="B27" i="6"/>
  <c r="C26" i="6"/>
  <c r="C6" i="18"/>
  <c r="C40" i="10"/>
  <c r="T24" i="6"/>
  <c r="U24" i="6"/>
  <c r="H20" i="10"/>
  <c r="AN23" i="6"/>
  <c r="AO23" i="6" s="1"/>
  <c r="AP23" i="6" s="1"/>
  <c r="AM26" i="6"/>
  <c r="AL26" i="6"/>
  <c r="L13" i="6"/>
  <c r="E41" i="6"/>
  <c r="AC144" i="8" s="1"/>
  <c r="AL7" i="14" l="1"/>
  <c r="AU87" i="14"/>
  <c r="AW61" i="14"/>
  <c r="AL36" i="14"/>
  <c r="AE142" i="8"/>
  <c r="AE137" i="8"/>
  <c r="E43" i="4"/>
  <c r="AE144" i="8"/>
  <c r="E41" i="4"/>
  <c r="D93" i="4"/>
  <c r="G32" i="4"/>
  <c r="P8" i="5"/>
  <c r="AN24" i="6"/>
  <c r="AO24" i="6" s="1"/>
  <c r="AP24" i="6" s="1"/>
  <c r="P20" i="6"/>
  <c r="Q20" i="6" s="1"/>
  <c r="R20" i="6" s="1"/>
  <c r="J14" i="6"/>
  <c r="E32" i="10"/>
  <c r="E38" i="10" s="1"/>
  <c r="Z26" i="6"/>
  <c r="AA26" i="6"/>
  <c r="N6" i="5"/>
  <c r="G18" i="10"/>
  <c r="L7" i="5"/>
  <c r="F19" i="10"/>
  <c r="N25" i="6"/>
  <c r="O25" i="6"/>
  <c r="V22" i="6"/>
  <c r="W22" i="6" s="1"/>
  <c r="X22" i="6" s="1"/>
  <c r="U25" i="6"/>
  <c r="T25" i="6"/>
  <c r="B28" i="6"/>
  <c r="C27" i="6"/>
  <c r="AH23" i="6"/>
  <c r="AI23" i="6" s="1"/>
  <c r="AJ23" i="6" s="1"/>
  <c r="AB21" i="6"/>
  <c r="AC21" i="6" s="1"/>
  <c r="AD21" i="6" s="1"/>
  <c r="H27" i="6"/>
  <c r="I26" i="6"/>
  <c r="AF25" i="6"/>
  <c r="AG25" i="6"/>
  <c r="F405" i="3"/>
  <c r="D28" i="10" s="1"/>
  <c r="AL27" i="6"/>
  <c r="AM27" i="6"/>
  <c r="C7" i="18"/>
  <c r="F14" i="6"/>
  <c r="G41" i="4" l="1"/>
  <c r="O6" i="5"/>
  <c r="AN25" i="6"/>
  <c r="AO25" i="6" s="1"/>
  <c r="AP25" i="6" s="1"/>
  <c r="AB22" i="6"/>
  <c r="AC22" i="6" s="1"/>
  <c r="AD22" i="6" s="1"/>
  <c r="P21" i="6"/>
  <c r="Q21" i="6" s="1"/>
  <c r="R21" i="6" s="1"/>
  <c r="H28" i="6"/>
  <c r="I27" i="6"/>
  <c r="Z27" i="6"/>
  <c r="AA27" i="6"/>
  <c r="M7" i="5"/>
  <c r="M9" i="5" s="1"/>
  <c r="I397" i="3"/>
  <c r="L9" i="5"/>
  <c r="K14" i="6"/>
  <c r="D42" i="6"/>
  <c r="B29" i="6"/>
  <c r="C28" i="6"/>
  <c r="AH24" i="6"/>
  <c r="AI24" i="6" s="1"/>
  <c r="AJ24" i="6" s="1"/>
  <c r="T26" i="6"/>
  <c r="U26" i="6"/>
  <c r="V23" i="6"/>
  <c r="W23" i="6" s="1"/>
  <c r="X23" i="6" s="1"/>
  <c r="AL28" i="6"/>
  <c r="AM28" i="6"/>
  <c r="AG26" i="6"/>
  <c r="AF26" i="6"/>
  <c r="F31" i="10"/>
  <c r="D15" i="6"/>
  <c r="N26" i="6"/>
  <c r="O26" i="6"/>
  <c r="H18" i="10"/>
  <c r="H32" i="4" l="1"/>
  <c r="F33" i="4"/>
  <c r="P6" i="5"/>
  <c r="AB23" i="6"/>
  <c r="AC23" i="6" s="1"/>
  <c r="AD23" i="6" s="1"/>
  <c r="V24" i="6"/>
  <c r="W24" i="6" s="1"/>
  <c r="X24" i="6" s="1"/>
  <c r="AN26" i="6"/>
  <c r="AO26" i="6" s="1"/>
  <c r="AP26" i="6" s="1"/>
  <c r="AH25" i="6"/>
  <c r="AI25" i="6" s="1"/>
  <c r="AJ25" i="6" s="1"/>
  <c r="P22" i="6"/>
  <c r="Q22" i="6" s="1"/>
  <c r="R22" i="6" s="1"/>
  <c r="N27" i="6"/>
  <c r="O27" i="6"/>
  <c r="AA28" i="6"/>
  <c r="Z28" i="6"/>
  <c r="E15" i="6"/>
  <c r="AM29" i="6"/>
  <c r="AL29" i="6"/>
  <c r="T27" i="6"/>
  <c r="U27" i="6"/>
  <c r="G19" i="10"/>
  <c r="N7" i="5"/>
  <c r="L14" i="6"/>
  <c r="E42" i="6"/>
  <c r="AG27" i="6"/>
  <c r="AF27" i="6"/>
  <c r="B30" i="6"/>
  <c r="C29" i="6"/>
  <c r="I28" i="6"/>
  <c r="H29" i="6"/>
  <c r="F34" i="4" l="1"/>
  <c r="H41" i="4"/>
  <c r="O7" i="5"/>
  <c r="O9" i="5" s="1"/>
  <c r="V25" i="6"/>
  <c r="W25" i="6" s="1"/>
  <c r="X25" i="6" s="1"/>
  <c r="AH26" i="6"/>
  <c r="AI26" i="6" s="1"/>
  <c r="AJ26" i="6" s="1"/>
  <c r="AN27" i="6"/>
  <c r="AO27" i="6" s="1"/>
  <c r="AP27" i="6" s="1"/>
  <c r="AB24" i="6"/>
  <c r="AC24" i="6" s="1"/>
  <c r="AD24" i="6" s="1"/>
  <c r="F43" i="4"/>
  <c r="G405" i="3"/>
  <c r="E28" i="10" s="1"/>
  <c r="H30" i="6"/>
  <c r="I29" i="6"/>
  <c r="T28" i="6"/>
  <c r="U28" i="6"/>
  <c r="Z29" i="6"/>
  <c r="AA29" i="6"/>
  <c r="N28" i="6"/>
  <c r="O28" i="6"/>
  <c r="H19" i="10"/>
  <c r="N9" i="5"/>
  <c r="P23" i="6"/>
  <c r="Q23" i="6" s="1"/>
  <c r="R23" i="6" s="1"/>
  <c r="AF28" i="6"/>
  <c r="AG28" i="6"/>
  <c r="F32" i="10"/>
  <c r="F38" i="10" s="1"/>
  <c r="J15" i="6"/>
  <c r="F15" i="6"/>
  <c r="B31" i="6"/>
  <c r="C30" i="6"/>
  <c r="AL30" i="6"/>
  <c r="AM30" i="6"/>
  <c r="P7" i="5" l="1"/>
  <c r="P9" i="5" s="1"/>
  <c r="AN28" i="6"/>
  <c r="AO28" i="6" s="1"/>
  <c r="AP28" i="6" s="1"/>
  <c r="AH27" i="6"/>
  <c r="AI27" i="6" s="1"/>
  <c r="AJ27" i="6" s="1"/>
  <c r="P24" i="6"/>
  <c r="Q24" i="6" s="1"/>
  <c r="R24" i="6" s="1"/>
  <c r="AB25" i="6"/>
  <c r="AC25" i="6" s="1"/>
  <c r="AD25" i="6" s="1"/>
  <c r="K15" i="6"/>
  <c r="D43" i="6"/>
  <c r="Z30" i="6"/>
  <c r="AA30" i="6"/>
  <c r="H31" i="6"/>
  <c r="I30" i="6"/>
  <c r="AM31" i="6"/>
  <c r="AL31" i="6"/>
  <c r="B32" i="6"/>
  <c r="C31" i="6"/>
  <c r="D16" i="6"/>
  <c r="G31" i="10"/>
  <c r="T29" i="6"/>
  <c r="U29" i="6"/>
  <c r="V26" i="6"/>
  <c r="W26" i="6" s="1"/>
  <c r="X26" i="6" s="1"/>
  <c r="AF29" i="6"/>
  <c r="AG29" i="6"/>
  <c r="N29" i="6"/>
  <c r="O29" i="6"/>
  <c r="G33" i="4" l="1"/>
  <c r="V27" i="6"/>
  <c r="W27" i="6" s="1"/>
  <c r="X27" i="6" s="1"/>
  <c r="AH28" i="6"/>
  <c r="AI28" i="6" s="1"/>
  <c r="AJ28" i="6" s="1"/>
  <c r="P25" i="6"/>
  <c r="Q25" i="6" s="1"/>
  <c r="R25" i="6" s="1"/>
  <c r="AN29" i="6"/>
  <c r="AO29" i="6" s="1"/>
  <c r="AP29" i="6" s="1"/>
  <c r="N30" i="6"/>
  <c r="O30" i="6"/>
  <c r="T30" i="6"/>
  <c r="U30" i="6"/>
  <c r="E16" i="6"/>
  <c r="AM32" i="6"/>
  <c r="AL32" i="6"/>
  <c r="I31" i="6"/>
  <c r="H32" i="6"/>
  <c r="L15" i="6"/>
  <c r="E43" i="6"/>
  <c r="AF30" i="6"/>
  <c r="AG30" i="6"/>
  <c r="AA31" i="6"/>
  <c r="Z31" i="6"/>
  <c r="AB26" i="6"/>
  <c r="AC26" i="6" s="1"/>
  <c r="AD26" i="6" s="1"/>
  <c r="B33" i="6"/>
  <c r="C32" i="6"/>
  <c r="G34" i="4" l="1"/>
  <c r="AH29" i="6"/>
  <c r="AI29" i="6" s="1"/>
  <c r="AJ29" i="6" s="1"/>
  <c r="P26" i="6"/>
  <c r="Q26" i="6" s="1"/>
  <c r="R26" i="6" s="1"/>
  <c r="V28" i="6"/>
  <c r="W28" i="6" s="1"/>
  <c r="X28" i="6" s="1"/>
  <c r="Z32" i="6"/>
  <c r="AA32" i="6"/>
  <c r="I32" i="6"/>
  <c r="H33" i="6"/>
  <c r="F16" i="6"/>
  <c r="G43" i="4"/>
  <c r="H405" i="3"/>
  <c r="AL33" i="6"/>
  <c r="AM33" i="6"/>
  <c r="AN30" i="6"/>
  <c r="AO30" i="6" s="1"/>
  <c r="AP30" i="6" s="1"/>
  <c r="AB27" i="6"/>
  <c r="AC27" i="6" s="1"/>
  <c r="AD27" i="6" s="1"/>
  <c r="G32" i="10"/>
  <c r="G38" i="10" s="1"/>
  <c r="J16" i="6"/>
  <c r="B34" i="6"/>
  <c r="C33" i="6"/>
  <c r="AG31" i="6"/>
  <c r="AF31" i="6"/>
  <c r="T31" i="6"/>
  <c r="U31" i="6"/>
  <c r="O31" i="6"/>
  <c r="N31" i="6"/>
  <c r="V29" i="6" l="1"/>
  <c r="W29" i="6" s="1"/>
  <c r="X29" i="6" s="1"/>
  <c r="P27" i="6"/>
  <c r="Q27" i="6" s="1"/>
  <c r="R27" i="6" s="1"/>
  <c r="AB28" i="6"/>
  <c r="AC28" i="6" s="1"/>
  <c r="AD28" i="6" s="1"/>
  <c r="AN31" i="6"/>
  <c r="AO31" i="6" s="1"/>
  <c r="AP31" i="6" s="1"/>
  <c r="AH30" i="6"/>
  <c r="AI30" i="6" s="1"/>
  <c r="AJ30" i="6" s="1"/>
  <c r="K16" i="6"/>
  <c r="D44" i="6"/>
  <c r="H33" i="4" s="1"/>
  <c r="AM34" i="6"/>
  <c r="AL34" i="6"/>
  <c r="T32" i="6"/>
  <c r="U32" i="6"/>
  <c r="B35" i="6"/>
  <c r="C34" i="6"/>
  <c r="Z33" i="6"/>
  <c r="AA33" i="6"/>
  <c r="AF32" i="6"/>
  <c r="AG32" i="6"/>
  <c r="F28" i="10"/>
  <c r="I33" i="6"/>
  <c r="H34" i="6"/>
  <c r="N32" i="6"/>
  <c r="O32" i="6"/>
  <c r="D17" i="6"/>
  <c r="H31" i="10"/>
  <c r="H34" i="4" l="1"/>
  <c r="P28" i="6"/>
  <c r="Q28" i="6" s="1"/>
  <c r="R28" i="6" s="1"/>
  <c r="AN32" i="6"/>
  <c r="AO32" i="6" s="1"/>
  <c r="AP32" i="6" s="1"/>
  <c r="I34" i="6"/>
  <c r="H35" i="6"/>
  <c r="L16" i="6"/>
  <c r="E44" i="6"/>
  <c r="AH31" i="6"/>
  <c r="AI31" i="6" s="1"/>
  <c r="AJ31" i="6" s="1"/>
  <c r="AB29" i="6"/>
  <c r="AC29" i="6" s="1"/>
  <c r="AD29" i="6" s="1"/>
  <c r="AG33" i="6"/>
  <c r="AF33" i="6"/>
  <c r="B36" i="6"/>
  <c r="C36" i="6" s="1"/>
  <c r="C35" i="6"/>
  <c r="U33" i="6"/>
  <c r="T33" i="6"/>
  <c r="AM35" i="6"/>
  <c r="AL35" i="6"/>
  <c r="V30" i="6"/>
  <c r="W30" i="6" s="1"/>
  <c r="X30" i="6" s="1"/>
  <c r="E17" i="6"/>
  <c r="N33" i="6"/>
  <c r="O33" i="6"/>
  <c r="Z34" i="6"/>
  <c r="AA34" i="6"/>
  <c r="V31" i="6" l="1"/>
  <c r="W31" i="6" s="1"/>
  <c r="X31" i="6" s="1"/>
  <c r="P29" i="6"/>
  <c r="Q29" i="6" s="1"/>
  <c r="R29" i="6" s="1"/>
  <c r="AL36" i="6"/>
  <c r="AM36" i="6"/>
  <c r="AB30" i="6"/>
  <c r="AC30" i="6" s="1"/>
  <c r="AD30" i="6" s="1"/>
  <c r="J17" i="6"/>
  <c r="H32" i="10"/>
  <c r="H38" i="10" s="1"/>
  <c r="H36" i="6"/>
  <c r="I36" i="6" s="1"/>
  <c r="I35" i="6"/>
  <c r="AN33" i="6"/>
  <c r="AO33" i="6" s="1"/>
  <c r="AP33" i="6" s="1"/>
  <c r="Z35" i="6"/>
  <c r="AA35" i="6"/>
  <c r="O34" i="6"/>
  <c r="N34" i="6"/>
  <c r="F17" i="6"/>
  <c r="AH32" i="6"/>
  <c r="AI32" i="6" s="1"/>
  <c r="AJ32" i="6" s="1"/>
  <c r="T34" i="6"/>
  <c r="U34" i="6"/>
  <c r="AF34" i="6"/>
  <c r="AG34" i="6"/>
  <c r="H43" i="4"/>
  <c r="I405" i="3"/>
  <c r="AH33" i="6" l="1"/>
  <c r="AI33" i="6" s="1"/>
  <c r="AJ33" i="6" s="1"/>
  <c r="AN34" i="6"/>
  <c r="AO34" i="6" s="1"/>
  <c r="AP34" i="6" s="1"/>
  <c r="P30" i="6"/>
  <c r="Q30" i="6" s="1"/>
  <c r="R30" i="6" s="1"/>
  <c r="AB31" i="6"/>
  <c r="AC31" i="6" s="1"/>
  <c r="AD31" i="6" s="1"/>
  <c r="AF35" i="6"/>
  <c r="AG35" i="6"/>
  <c r="T35" i="6"/>
  <c r="U35" i="6"/>
  <c r="V32" i="6"/>
  <c r="W32" i="6" s="1"/>
  <c r="X32" i="6" s="1"/>
  <c r="G28" i="10"/>
  <c r="D18" i="6"/>
  <c r="AA36" i="6"/>
  <c r="Z36" i="6"/>
  <c r="K17" i="6"/>
  <c r="D45" i="6"/>
  <c r="O35" i="6"/>
  <c r="N35" i="6"/>
  <c r="V33" i="6" l="1"/>
  <c r="W33" i="6" s="1"/>
  <c r="X33" i="6" s="1"/>
  <c r="AN35" i="6"/>
  <c r="AO35" i="6" s="1"/>
  <c r="AP35" i="6" s="1"/>
  <c r="AB32" i="6"/>
  <c r="AC32" i="6" s="1"/>
  <c r="AD32" i="6" s="1"/>
  <c r="AH34" i="6"/>
  <c r="AI34" i="6" s="1"/>
  <c r="AJ34" i="6" s="1"/>
  <c r="E18" i="6"/>
  <c r="P31" i="6"/>
  <c r="Q31" i="6" s="1"/>
  <c r="R31" i="6" s="1"/>
  <c r="N36" i="6"/>
  <c r="O36" i="6"/>
  <c r="E45" i="6"/>
  <c r="H28" i="10" s="1"/>
  <c r="H29" i="10" s="1"/>
  <c r="H39" i="10" s="1"/>
  <c r="L17" i="6"/>
  <c r="T36" i="6"/>
  <c r="U36" i="6"/>
  <c r="AF36" i="6"/>
  <c r="AG36" i="6"/>
  <c r="AH35" i="6" l="1"/>
  <c r="AI35" i="6" s="1"/>
  <c r="AJ35" i="6" s="1"/>
  <c r="AB33" i="6"/>
  <c r="AC33" i="6" s="1"/>
  <c r="AD33" i="6" s="1"/>
  <c r="P32" i="6"/>
  <c r="Q32" i="6" s="1"/>
  <c r="R32" i="6" s="1"/>
  <c r="F18" i="6"/>
  <c r="AN36" i="6"/>
  <c r="AO36" i="6" s="1"/>
  <c r="AP36" i="6" s="1"/>
  <c r="J18" i="6"/>
  <c r="V34" i="6"/>
  <c r="W34" i="6" s="1"/>
  <c r="X34" i="6" s="1"/>
  <c r="P33" i="6" l="1"/>
  <c r="Q33" i="6" s="1"/>
  <c r="R33" i="6" s="1"/>
  <c r="AB34" i="6"/>
  <c r="AC34" i="6" s="1"/>
  <c r="AD34" i="6" s="1"/>
  <c r="V35" i="6"/>
  <c r="W35" i="6" s="1"/>
  <c r="X35" i="6" s="1"/>
  <c r="K18" i="6"/>
  <c r="D46" i="6"/>
  <c r="D19" i="6"/>
  <c r="AH36" i="6"/>
  <c r="AI36" i="6" s="1"/>
  <c r="AJ36" i="6" s="1"/>
  <c r="V36" i="6" l="1"/>
  <c r="W36" i="6" s="1"/>
  <c r="X36" i="6" s="1"/>
  <c r="AB35" i="6"/>
  <c r="AC35" i="6" s="1"/>
  <c r="AD35" i="6" s="1"/>
  <c r="E46" i="6"/>
  <c r="L18" i="6"/>
  <c r="P34" i="6"/>
  <c r="Q34" i="6" s="1"/>
  <c r="R34" i="6" s="1"/>
  <c r="E19" i="6"/>
  <c r="P35" i="6" l="1"/>
  <c r="Q35" i="6" s="1"/>
  <c r="R35" i="6" s="1"/>
  <c r="AB36" i="6"/>
  <c r="AC36" i="6" s="1"/>
  <c r="AD36" i="6" s="1"/>
  <c r="F19" i="6"/>
  <c r="J19" i="6"/>
  <c r="D20" i="6" l="1"/>
  <c r="P36" i="6"/>
  <c r="Q36" i="6" s="1"/>
  <c r="R36" i="6" s="1"/>
  <c r="K19" i="6"/>
  <c r="D47" i="6"/>
  <c r="E47" i="6" l="1"/>
  <c r="L19" i="6"/>
  <c r="E20" i="6"/>
  <c r="F20" i="6" l="1"/>
  <c r="J20" i="6"/>
  <c r="K20" i="6" l="1"/>
  <c r="D48" i="6"/>
  <c r="D21" i="6"/>
  <c r="E21" i="6" l="1"/>
  <c r="E48" i="6"/>
  <c r="L20" i="6"/>
  <c r="J21" i="6" l="1"/>
  <c r="F21" i="6"/>
  <c r="K21" i="6" l="1"/>
  <c r="D49" i="6"/>
  <c r="D22" i="6"/>
  <c r="E22" i="6" s="1"/>
  <c r="F22" i="6" s="1"/>
  <c r="D23" i="6" l="1"/>
  <c r="E49" i="6"/>
  <c r="L21" i="6"/>
  <c r="J22" i="6" l="1"/>
  <c r="K22" i="6" s="1"/>
  <c r="L22" i="6" s="1"/>
  <c r="E23" i="6"/>
  <c r="F23" i="6" s="1"/>
  <c r="J23" i="6" l="1"/>
  <c r="D24" i="6"/>
  <c r="E24" i="6" s="1"/>
  <c r="F24" i="6" s="1"/>
  <c r="D25" i="6" l="1"/>
  <c r="E25" i="6" s="1"/>
  <c r="F25" i="6" s="1"/>
  <c r="K23" i="6"/>
  <c r="L23" i="6" s="1"/>
  <c r="D26" i="6" l="1"/>
  <c r="E26" i="6" s="1"/>
  <c r="F26" i="6" s="1"/>
  <c r="J24" i="6"/>
  <c r="K24" i="6" s="1"/>
  <c r="L24" i="6" s="1"/>
  <c r="J25" i="6" l="1"/>
  <c r="K25" i="6" s="1"/>
  <c r="L25" i="6" s="1"/>
  <c r="D27" i="6"/>
  <c r="E27" i="6" s="1"/>
  <c r="F27" i="6" s="1"/>
  <c r="D28" i="6" l="1"/>
  <c r="E28" i="6" s="1"/>
  <c r="F28" i="6" s="1"/>
  <c r="J26" i="6"/>
  <c r="K26" i="6" s="1"/>
  <c r="L26" i="6" s="1"/>
  <c r="J27" i="6" l="1"/>
  <c r="K27" i="6" s="1"/>
  <c r="L27" i="6" s="1"/>
  <c r="D29" i="6"/>
  <c r="E29" i="6" s="1"/>
  <c r="F29" i="6" s="1"/>
  <c r="D30" i="6" l="1"/>
  <c r="E30" i="6" s="1"/>
  <c r="F30" i="6" s="1"/>
  <c r="J28" i="6"/>
  <c r="K28" i="6" s="1"/>
  <c r="L28" i="6" s="1"/>
  <c r="D31" i="6" l="1"/>
  <c r="E31" i="6" s="1"/>
  <c r="F31" i="6" s="1"/>
  <c r="J29" i="6"/>
  <c r="K29" i="6" s="1"/>
  <c r="L29" i="6" s="1"/>
  <c r="J30" i="6" l="1"/>
  <c r="K30" i="6" s="1"/>
  <c r="L30" i="6" s="1"/>
  <c r="D32" i="6"/>
  <c r="E32" i="6" s="1"/>
  <c r="F32" i="6" s="1"/>
  <c r="D33" i="6" l="1"/>
  <c r="E33" i="6" s="1"/>
  <c r="F33" i="6" s="1"/>
  <c r="J31" i="6"/>
  <c r="K31" i="6" s="1"/>
  <c r="L31" i="6" s="1"/>
  <c r="J32" i="6" l="1"/>
  <c r="K32" i="6" s="1"/>
  <c r="L32" i="6" s="1"/>
  <c r="D34" i="6"/>
  <c r="E34" i="6" s="1"/>
  <c r="F34" i="6" s="1"/>
  <c r="D35" i="6" l="1"/>
  <c r="E35" i="6" s="1"/>
  <c r="F35" i="6" s="1"/>
  <c r="J33" i="6"/>
  <c r="K33" i="6" s="1"/>
  <c r="L33" i="6" s="1"/>
  <c r="J34" i="6" l="1"/>
  <c r="K34" i="6" s="1"/>
  <c r="L34" i="6" s="1"/>
  <c r="D36" i="6"/>
  <c r="E36" i="6" s="1"/>
  <c r="F36" i="6" s="1"/>
  <c r="J35" i="6" l="1"/>
  <c r="K35" i="6" s="1"/>
  <c r="L35" i="6" s="1"/>
  <c r="J36" i="6" l="1"/>
  <c r="K36" i="6" s="1"/>
  <c r="L36" i="6" s="1"/>
  <c r="F279" i="3" l="1"/>
  <c r="F298" i="3" s="1"/>
  <c r="F43" i="3"/>
  <c r="Y75" i="8" l="1"/>
  <c r="S75" i="8"/>
  <c r="T75" i="8"/>
  <c r="Z75" i="8"/>
  <c r="U75" i="8"/>
  <c r="AA75" i="8"/>
  <c r="V75" i="8"/>
  <c r="AB75" i="8"/>
  <c r="W75" i="8"/>
  <c r="AC75" i="8"/>
  <c r="R75" i="8"/>
  <c r="R85" i="8" s="1"/>
  <c r="X75" i="8"/>
  <c r="Z84" i="8"/>
  <c r="AC84" i="8"/>
  <c r="V84" i="8"/>
  <c r="AA84" i="8"/>
  <c r="T84" i="8"/>
  <c r="W84" i="8"/>
  <c r="Y84" i="8"/>
  <c r="S84" i="8"/>
  <c r="R84" i="8"/>
  <c r="U84" i="8"/>
  <c r="X84" i="8"/>
  <c r="AB84" i="8"/>
  <c r="E90" i="16"/>
  <c r="E9" i="16" s="1"/>
  <c r="E83" i="16"/>
  <c r="E88" i="16" s="1"/>
  <c r="E82" i="16"/>
  <c r="E87" i="16" s="1"/>
  <c r="AE84" i="8" l="1"/>
  <c r="E24" i="3"/>
  <c r="E313" i="3"/>
  <c r="O87" i="8" l="1"/>
  <c r="Q87" i="8"/>
  <c r="I87" i="8"/>
  <c r="F87" i="8"/>
  <c r="J87" i="8"/>
  <c r="N87" i="8"/>
  <c r="H87" i="8"/>
  <c r="L87" i="8"/>
  <c r="M87" i="8"/>
  <c r="G87" i="8"/>
  <c r="P87" i="8"/>
  <c r="K87" i="8"/>
  <c r="Y71" i="14"/>
  <c r="Y79" i="14"/>
  <c r="Y72" i="14"/>
  <c r="Y80" i="14"/>
  <c r="Y73" i="14"/>
  <c r="Y81" i="14"/>
  <c r="Y75" i="14"/>
  <c r="Y76" i="14"/>
  <c r="Y74" i="14"/>
  <c r="Y82" i="14"/>
  <c r="Y83" i="14"/>
  <c r="Y67" i="14"/>
  <c r="Y68" i="14"/>
  <c r="Y66" i="14"/>
  <c r="Y69" i="14"/>
  <c r="Y77" i="14"/>
  <c r="Y70" i="14"/>
  <c r="Y78" i="14"/>
  <c r="E25" i="3"/>
  <c r="M4" i="8" s="1"/>
  <c r="D154" i="4"/>
  <c r="P30" i="8"/>
  <c r="Q30" i="8"/>
  <c r="I30" i="8"/>
  <c r="M30" i="8"/>
  <c r="J30" i="8"/>
  <c r="N30" i="8"/>
  <c r="G30" i="8"/>
  <c r="K30" i="8"/>
  <c r="O30" i="8"/>
  <c r="H30" i="8"/>
  <c r="L30" i="8"/>
  <c r="F30" i="8"/>
  <c r="E48" i="3"/>
  <c r="E303" i="3"/>
  <c r="E350" i="3" s="1"/>
  <c r="Y54" i="14"/>
  <c r="D50" i="4"/>
  <c r="D102" i="4" s="1"/>
  <c r="Y46" i="14"/>
  <c r="Y50" i="14"/>
  <c r="Y57" i="14"/>
  <c r="Y45" i="14"/>
  <c r="Y56" i="14"/>
  <c r="Y47" i="14"/>
  <c r="Y40" i="14"/>
  <c r="Y42" i="14"/>
  <c r="Y52" i="14"/>
  <c r="Y51" i="14"/>
  <c r="Y41" i="14"/>
  <c r="Y55" i="14"/>
  <c r="Y39" i="14"/>
  <c r="Y44" i="14"/>
  <c r="Y48" i="14"/>
  <c r="Y43" i="14"/>
  <c r="Y59" i="14"/>
  <c r="Y49" i="14"/>
  <c r="Y58" i="14"/>
  <c r="Y53" i="14"/>
  <c r="I4" i="8" l="1"/>
  <c r="Q88" i="8"/>
  <c r="I122" i="8"/>
  <c r="E52" i="3"/>
  <c r="E57" i="3" s="1"/>
  <c r="M122" i="8"/>
  <c r="E27" i="3"/>
  <c r="F16" i="3" s="1"/>
  <c r="E40" i="16" s="1"/>
  <c r="F4" i="8"/>
  <c r="F122" i="8" s="1"/>
  <c r="L4" i="8"/>
  <c r="L122" i="8" s="1"/>
  <c r="N4" i="8"/>
  <c r="N122" i="8" s="1"/>
  <c r="H4" i="8"/>
  <c r="H122" i="8" s="1"/>
  <c r="O4" i="8"/>
  <c r="O122" i="8" s="1"/>
  <c r="K4" i="8"/>
  <c r="K122" i="8" s="1"/>
  <c r="G4" i="8"/>
  <c r="G122" i="8" s="1"/>
  <c r="J4" i="8"/>
  <c r="J122" i="8" s="1"/>
  <c r="Q4" i="8"/>
  <c r="Q122" i="8" s="1"/>
  <c r="P4" i="8"/>
  <c r="P122" i="8" s="1"/>
  <c r="AD30" i="8"/>
  <c r="E348" i="3"/>
  <c r="E356" i="3"/>
  <c r="E354" i="3"/>
  <c r="E341" i="3"/>
  <c r="W26" i="14" l="1"/>
  <c r="W18" i="14"/>
  <c r="W10" i="14"/>
  <c r="W24" i="14"/>
  <c r="W23" i="14"/>
  <c r="W15" i="14"/>
  <c r="W17" i="14"/>
  <c r="W29" i="14"/>
  <c r="W21" i="14"/>
  <c r="W28" i="14"/>
  <c r="W20" i="14"/>
  <c r="W12" i="14"/>
  <c r="W25" i="14"/>
  <c r="W30" i="14"/>
  <c r="W22" i="14"/>
  <c r="W14" i="14"/>
  <c r="W16" i="14"/>
  <c r="W13" i="14"/>
  <c r="W27" i="14"/>
  <c r="W19" i="14"/>
  <c r="W11" i="14"/>
  <c r="F22" i="3"/>
  <c r="U17" i="8" s="1"/>
  <c r="U112" i="8" s="1"/>
  <c r="D158" i="4"/>
  <c r="AK31" i="14" s="1"/>
  <c r="D106" i="4"/>
  <c r="F194" i="3"/>
  <c r="E47" i="4"/>
  <c r="E99" i="4" s="1"/>
  <c r="F391" i="3"/>
  <c r="D16" i="10" s="1"/>
  <c r="D22" i="10" s="1"/>
  <c r="F205" i="3"/>
  <c r="F206" i="3" s="1"/>
  <c r="F202" i="3"/>
  <c r="F207" i="3"/>
  <c r="F208" i="3" s="1"/>
  <c r="F209" i="3" s="1"/>
  <c r="F47" i="3"/>
  <c r="F23" i="3"/>
  <c r="E41" i="16"/>
  <c r="F20" i="3"/>
  <c r="S16" i="8" s="1"/>
  <c r="F196" i="3"/>
  <c r="AD4" i="8"/>
  <c r="G5" i="8"/>
  <c r="H5" i="8" s="1"/>
  <c r="N86" i="8"/>
  <c r="N76" i="8"/>
  <c r="Q86" i="8"/>
  <c r="Q76" i="8"/>
  <c r="G86" i="8"/>
  <c r="G76" i="8"/>
  <c r="F70" i="3"/>
  <c r="S17" i="8"/>
  <c r="S112" i="8" s="1"/>
  <c r="W17" i="8"/>
  <c r="T17" i="8"/>
  <c r="T112" i="8" s="1"/>
  <c r="X17" i="8"/>
  <c r="X112" i="8" s="1"/>
  <c r="AB17" i="8"/>
  <c r="AB112" i="8" s="1"/>
  <c r="Y17" i="8"/>
  <c r="Y112" i="8" s="1"/>
  <c r="AC17" i="8"/>
  <c r="V17" i="8"/>
  <c r="V112" i="8" s="1"/>
  <c r="R17" i="8"/>
  <c r="AL15" i="14" l="1"/>
  <c r="AB15" i="14"/>
  <c r="AL11" i="14"/>
  <c r="AB11" i="14"/>
  <c r="AL24" i="14"/>
  <c r="AB24" i="14"/>
  <c r="AL13" i="14"/>
  <c r="AB13" i="14"/>
  <c r="AL28" i="14"/>
  <c r="AB28" i="14"/>
  <c r="AL18" i="14"/>
  <c r="AB18" i="14"/>
  <c r="AL22" i="14"/>
  <c r="AB22" i="14"/>
  <c r="AL23" i="14"/>
  <c r="AB23" i="14"/>
  <c r="AL19" i="14"/>
  <c r="AB19" i="14"/>
  <c r="AL27" i="14"/>
  <c r="AB27" i="14"/>
  <c r="AL21" i="14"/>
  <c r="AB21" i="14"/>
  <c r="AL26" i="14"/>
  <c r="AB26" i="14"/>
  <c r="AL17" i="14"/>
  <c r="AB17" i="14"/>
  <c r="AL30" i="14"/>
  <c r="AB30" i="14"/>
  <c r="AL25" i="14"/>
  <c r="AB25" i="14"/>
  <c r="AL12" i="14"/>
  <c r="AB12" i="14"/>
  <c r="AL20" i="14"/>
  <c r="AB20" i="14"/>
  <c r="AB10" i="14"/>
  <c r="AL10" i="14"/>
  <c r="AL16" i="14"/>
  <c r="AB16" i="14"/>
  <c r="AL14" i="14"/>
  <c r="AB14" i="14"/>
  <c r="AL29" i="14"/>
  <c r="AB29" i="14"/>
  <c r="X23" i="14"/>
  <c r="X15" i="14"/>
  <c r="X14" i="14"/>
  <c r="X21" i="14"/>
  <c r="X13" i="14"/>
  <c r="X18" i="14"/>
  <c r="X10" i="14"/>
  <c r="X28" i="14"/>
  <c r="X20" i="14"/>
  <c r="X12" i="14"/>
  <c r="X25" i="14"/>
  <c r="X17" i="14"/>
  <c r="X30" i="14"/>
  <c r="X22" i="14"/>
  <c r="X27" i="14"/>
  <c r="X19" i="14"/>
  <c r="X11" i="14"/>
  <c r="X29" i="14"/>
  <c r="X26" i="14"/>
  <c r="X24" i="14"/>
  <c r="X16" i="14"/>
  <c r="D51" i="10"/>
  <c r="D54" i="10" s="1"/>
  <c r="Z17" i="8"/>
  <c r="Z112" i="8" s="1"/>
  <c r="AA17" i="8"/>
  <c r="AA112" i="8" s="1"/>
  <c r="E151" i="4"/>
  <c r="D118" i="4"/>
  <c r="D129" i="4"/>
  <c r="D148" i="4"/>
  <c r="D128" i="4"/>
  <c r="D133" i="4"/>
  <c r="D126" i="4"/>
  <c r="D127" i="4"/>
  <c r="D123" i="4"/>
  <c r="D122" i="4"/>
  <c r="D130" i="4"/>
  <c r="D147" i="4"/>
  <c r="D132" i="4"/>
  <c r="D134" i="4"/>
  <c r="D137" i="4"/>
  <c r="D146" i="4"/>
  <c r="R16" i="8"/>
  <c r="Z16" i="8"/>
  <c r="T16" i="8"/>
  <c r="V16" i="8"/>
  <c r="AB16" i="8"/>
  <c r="X16" i="8"/>
  <c r="AA16" i="8"/>
  <c r="Y16" i="8"/>
  <c r="W16" i="8"/>
  <c r="G7" i="8"/>
  <c r="G36" i="8" s="1"/>
  <c r="G58" i="8" s="1"/>
  <c r="AC16" i="8"/>
  <c r="U16" i="8"/>
  <c r="G8" i="8"/>
  <c r="G38" i="8" s="1"/>
  <c r="G59" i="8" s="1"/>
  <c r="G9" i="8"/>
  <c r="G40" i="8" s="1"/>
  <c r="G60" i="8" s="1"/>
  <c r="G11" i="8"/>
  <c r="G44" i="8" s="1"/>
  <c r="G62" i="8" s="1"/>
  <c r="G10" i="8"/>
  <c r="G42" i="8" s="1"/>
  <c r="G61" i="8" s="1"/>
  <c r="E69" i="4"/>
  <c r="E94" i="4"/>
  <c r="E80" i="4"/>
  <c r="E77" i="4"/>
  <c r="E76" i="4"/>
  <c r="E73" i="4"/>
  <c r="E70" i="4"/>
  <c r="E75" i="4"/>
  <c r="E74" i="4"/>
  <c r="E95" i="4"/>
  <c r="E84" i="4"/>
  <c r="E93" i="4"/>
  <c r="H11" i="8"/>
  <c r="I86" i="8"/>
  <c r="I76" i="8"/>
  <c r="L86" i="8"/>
  <c r="L76" i="8"/>
  <c r="J86" i="8"/>
  <c r="J76" i="8"/>
  <c r="P86" i="8"/>
  <c r="P76" i="8"/>
  <c r="M86" i="8"/>
  <c r="M76" i="8"/>
  <c r="H86" i="8"/>
  <c r="H76" i="8"/>
  <c r="H7" i="8"/>
  <c r="H36" i="8" s="1"/>
  <c r="H9" i="8"/>
  <c r="H40" i="8" s="1"/>
  <c r="H60" i="8" s="1"/>
  <c r="H8" i="8"/>
  <c r="H38" i="8" s="1"/>
  <c r="H59" i="8" s="1"/>
  <c r="H10" i="8"/>
  <c r="H42" i="8" s="1"/>
  <c r="H61" i="8" s="1"/>
  <c r="I5" i="8"/>
  <c r="R112" i="8"/>
  <c r="AE17" i="8"/>
  <c r="AC30" i="14" l="1"/>
  <c r="G46" i="8"/>
  <c r="G65" i="8"/>
  <c r="G118" i="8" s="1"/>
  <c r="H44" i="8"/>
  <c r="H62" i="8" s="1"/>
  <c r="I11" i="8"/>
  <c r="I44" i="8" s="1"/>
  <c r="I62" i="8" s="1"/>
  <c r="H58" i="8"/>
  <c r="K86" i="8"/>
  <c r="K76" i="8"/>
  <c r="F76" i="8"/>
  <c r="O86" i="8"/>
  <c r="O76" i="8"/>
  <c r="I8" i="8"/>
  <c r="I38" i="8" s="1"/>
  <c r="I59" i="8" s="1"/>
  <c r="I10" i="8"/>
  <c r="I42" i="8" s="1"/>
  <c r="I61" i="8" s="1"/>
  <c r="I7" i="8"/>
  <c r="I36" i="8" s="1"/>
  <c r="I9" i="8"/>
  <c r="I40" i="8" s="1"/>
  <c r="I60" i="8" s="1"/>
  <c r="J5" i="8"/>
  <c r="H46" i="8" l="1"/>
  <c r="H65" i="8"/>
  <c r="H118" i="8" s="1"/>
  <c r="J11" i="8"/>
  <c r="J44" i="8" s="1"/>
  <c r="J62" i="8" s="1"/>
  <c r="I58" i="8"/>
  <c r="I46" i="8"/>
  <c r="F86" i="8"/>
  <c r="F118" i="8" s="1"/>
  <c r="AD85" i="8"/>
  <c r="J10" i="8"/>
  <c r="J42" i="8" s="1"/>
  <c r="J61" i="8" s="1"/>
  <c r="J9" i="8"/>
  <c r="J40" i="8" s="1"/>
  <c r="J60" i="8" s="1"/>
  <c r="J8" i="8"/>
  <c r="J38" i="8" s="1"/>
  <c r="J59" i="8" s="1"/>
  <c r="J7" i="8"/>
  <c r="J36" i="8" s="1"/>
  <c r="K5" i="8"/>
  <c r="I14" i="8"/>
  <c r="K11" i="8" l="1"/>
  <c r="K44" i="8" s="1"/>
  <c r="K62" i="8" s="1"/>
  <c r="I49" i="8"/>
  <c r="I63" i="8" s="1"/>
  <c r="I52" i="8"/>
  <c r="I64" i="8" s="1"/>
  <c r="J58" i="8"/>
  <c r="J46" i="8"/>
  <c r="K10" i="8"/>
  <c r="K42" i="8" s="1"/>
  <c r="K61" i="8" s="1"/>
  <c r="K8" i="8"/>
  <c r="K38" i="8" s="1"/>
  <c r="K59" i="8" s="1"/>
  <c r="K9" i="8"/>
  <c r="K40" i="8" s="1"/>
  <c r="K60" i="8" s="1"/>
  <c r="K7" i="8"/>
  <c r="K36" i="8" s="1"/>
  <c r="J14" i="8"/>
  <c r="I65" i="8" l="1"/>
  <c r="I118" i="8" s="1"/>
  <c r="J49" i="8"/>
  <c r="J63" i="8" s="1"/>
  <c r="J52" i="8"/>
  <c r="J64" i="8" s="1"/>
  <c r="K58" i="8"/>
  <c r="K46" i="8"/>
  <c r="K112" i="8"/>
  <c r="J65" i="8" l="1"/>
  <c r="J118" i="8" s="1"/>
  <c r="K14" i="8"/>
  <c r="L13" i="8"/>
  <c r="K49" i="8" l="1"/>
  <c r="K63" i="8" s="1"/>
  <c r="K52" i="8"/>
  <c r="K64" i="8" s="1"/>
  <c r="L14" i="8"/>
  <c r="L52" i="8" s="1"/>
  <c r="L64" i="8" s="1"/>
  <c r="K65" i="8" l="1"/>
  <c r="K118" i="8" s="1"/>
  <c r="M14" i="8"/>
  <c r="M52" i="8" s="1"/>
  <c r="L49" i="8"/>
  <c r="L63" i="8" s="1"/>
  <c r="O13" i="8"/>
  <c r="N14" i="8" l="1"/>
  <c r="O14" i="8" s="1"/>
  <c r="M49" i="8"/>
  <c r="M63" i="8" s="1"/>
  <c r="O49" i="8" l="1"/>
  <c r="O63" i="8" s="1"/>
  <c r="O52" i="8"/>
  <c r="O64" i="8" s="1"/>
  <c r="N49" i="8"/>
  <c r="N63" i="8" s="1"/>
  <c r="N52" i="8"/>
  <c r="N64" i="8" s="1"/>
  <c r="P14" i="8"/>
  <c r="P49" i="8" l="1"/>
  <c r="P63" i="8" s="1"/>
  <c r="P52" i="8"/>
  <c r="P64" i="8" s="1"/>
  <c r="D10" i="4"/>
  <c r="AD27" i="14" l="1"/>
  <c r="AE27" i="14" s="1"/>
  <c r="AD23" i="14"/>
  <c r="AE23" i="14" s="1"/>
  <c r="AD19" i="14"/>
  <c r="AE19" i="14" s="1"/>
  <c r="AD15" i="14"/>
  <c r="AE15" i="14" s="1"/>
  <c r="AD11" i="14"/>
  <c r="AE11" i="14" s="1"/>
  <c r="AD20" i="14"/>
  <c r="AE20" i="14" s="1"/>
  <c r="AD24" i="14"/>
  <c r="AE24" i="14" s="1"/>
  <c r="AD30" i="14"/>
  <c r="AE30" i="14" s="1"/>
  <c r="AD26" i="14"/>
  <c r="AE26" i="14" s="1"/>
  <c r="AD22" i="14"/>
  <c r="AE22" i="14" s="1"/>
  <c r="AD18" i="14"/>
  <c r="AE18" i="14" s="1"/>
  <c r="AD14" i="14"/>
  <c r="AE14" i="14" s="1"/>
  <c r="AD10" i="14"/>
  <c r="AE10" i="14" s="1"/>
  <c r="AD28" i="14"/>
  <c r="AE28" i="14" s="1"/>
  <c r="AD29" i="14"/>
  <c r="AE29" i="14" s="1"/>
  <c r="AD25" i="14"/>
  <c r="AE25" i="14" s="1"/>
  <c r="AD21" i="14"/>
  <c r="AE21" i="14" s="1"/>
  <c r="AD17" i="14"/>
  <c r="AE17" i="14" s="1"/>
  <c r="AD13" i="14"/>
  <c r="AE13" i="14" s="1"/>
  <c r="AD16" i="14"/>
  <c r="AE16" i="14" s="1"/>
  <c r="AD12" i="14"/>
  <c r="AE12" i="14" s="1"/>
  <c r="AD45" i="14"/>
  <c r="AD46" i="14"/>
  <c r="AD41" i="14"/>
  <c r="AD42" i="14"/>
  <c r="AD43" i="14"/>
  <c r="AD51" i="14"/>
  <c r="AD59" i="14"/>
  <c r="AD39" i="14"/>
  <c r="AD54" i="14"/>
  <c r="AD47" i="14"/>
  <c r="AD56" i="14"/>
  <c r="AD49" i="14"/>
  <c r="AD58" i="14"/>
  <c r="AD44" i="14"/>
  <c r="AD52" i="14"/>
  <c r="AD40" i="14"/>
  <c r="AD53" i="14"/>
  <c r="AD55" i="14"/>
  <c r="AD48" i="14"/>
  <c r="AD57" i="14"/>
  <c r="AD50" i="14"/>
  <c r="D62" i="4"/>
  <c r="D115" i="4"/>
  <c r="D19" i="4"/>
  <c r="AD122" i="8"/>
  <c r="AD112" i="8"/>
  <c r="D53" i="4"/>
  <c r="E74" i="3"/>
  <c r="AL74" i="14"/>
  <c r="AL68" i="14"/>
  <c r="AL77" i="14"/>
  <c r="AL70" i="14"/>
  <c r="AL72" i="14"/>
  <c r="AL79" i="14"/>
  <c r="AL76" i="14"/>
  <c r="AL67" i="14"/>
  <c r="AL78" i="14"/>
  <c r="AL73" i="14"/>
  <c r="AL81" i="14"/>
  <c r="AL71" i="14"/>
  <c r="AL69" i="14"/>
  <c r="AL66" i="14"/>
  <c r="AL75" i="14"/>
  <c r="AL82" i="14"/>
  <c r="AL80" i="14"/>
  <c r="AD13" i="8"/>
  <c r="Q14" i="8"/>
  <c r="D157" i="4" l="1"/>
  <c r="D105" i="4"/>
  <c r="D71" i="4"/>
  <c r="D124" i="4"/>
  <c r="E304" i="3"/>
  <c r="E305" i="3" s="1"/>
  <c r="Q49" i="8"/>
  <c r="Q63" i="8" s="1"/>
  <c r="AD63" i="8" s="1"/>
  <c r="Q52" i="8"/>
  <c r="Q64" i="8" s="1"/>
  <c r="R13" i="8"/>
  <c r="F17" i="3"/>
  <c r="F235" i="3" s="1"/>
  <c r="M120" i="8" l="1"/>
  <c r="J120" i="8"/>
  <c r="N120" i="8"/>
  <c r="K120" i="8"/>
  <c r="O120" i="8"/>
  <c r="F120" i="8"/>
  <c r="Q120" i="8"/>
  <c r="G120" i="8"/>
  <c r="P120" i="8"/>
  <c r="H120" i="8"/>
  <c r="L120" i="8"/>
  <c r="I120" i="8"/>
  <c r="F229" i="3"/>
  <c r="F31" i="3"/>
  <c r="R14" i="8"/>
  <c r="F24" i="3"/>
  <c r="R87" i="8" s="1"/>
  <c r="G392" i="3"/>
  <c r="E17" i="10" s="1"/>
  <c r="F80" i="3"/>
  <c r="F381" i="3"/>
  <c r="F383" i="3" s="1"/>
  <c r="E50" i="16"/>
  <c r="E53" i="16" s="1"/>
  <c r="E6" i="16" s="1"/>
  <c r="E51" i="16"/>
  <c r="E54" i="16" s="1"/>
  <c r="E7" i="16" s="1"/>
  <c r="U13" i="8"/>
  <c r="F25" i="3" l="1"/>
  <c r="W4" i="8" s="1"/>
  <c r="E154" i="4"/>
  <c r="R49" i="8"/>
  <c r="R63" i="8" s="1"/>
  <c r="R52" i="8"/>
  <c r="R64" i="8" s="1"/>
  <c r="S4" i="8"/>
  <c r="S14" i="8"/>
  <c r="T14" i="8" s="1"/>
  <c r="AC19" i="8"/>
  <c r="AC112" i="8" s="1"/>
  <c r="W19" i="8"/>
  <c r="U30" i="8"/>
  <c r="Y30" i="8"/>
  <c r="AC30" i="8"/>
  <c r="V30" i="8"/>
  <c r="Z30" i="8"/>
  <c r="R30" i="8"/>
  <c r="S30" i="8"/>
  <c r="W30" i="8"/>
  <c r="AA30" i="8"/>
  <c r="T30" i="8"/>
  <c r="X30" i="8"/>
  <c r="AB30" i="8"/>
  <c r="F48" i="3"/>
  <c r="W18" i="8"/>
  <c r="AC18" i="8"/>
  <c r="F32" i="3"/>
  <c r="T132" i="8"/>
  <c r="X132" i="8"/>
  <c r="AB132" i="8"/>
  <c r="S132" i="8"/>
  <c r="W132" i="8"/>
  <c r="U132" i="8"/>
  <c r="Y132" i="8"/>
  <c r="AC132" i="8"/>
  <c r="AA132" i="8"/>
  <c r="V132" i="8"/>
  <c r="Z132" i="8"/>
  <c r="R132" i="8"/>
  <c r="E50" i="4"/>
  <c r="E102" i="4" s="1"/>
  <c r="F303" i="3"/>
  <c r="AD119" i="8"/>
  <c r="F82" i="3"/>
  <c r="F84" i="3" s="1"/>
  <c r="F27" i="3" l="1"/>
  <c r="G391" i="3" s="1"/>
  <c r="E16" i="10" s="1"/>
  <c r="T4" i="8"/>
  <c r="AC4" i="8"/>
  <c r="F52" i="3"/>
  <c r="F57" i="3" s="1"/>
  <c r="Y4" i="8"/>
  <c r="R4" i="8"/>
  <c r="R122" i="8" s="1"/>
  <c r="AB4" i="8"/>
  <c r="Z4" i="8"/>
  <c r="X4" i="8"/>
  <c r="V4" i="8"/>
  <c r="U4" i="8"/>
  <c r="AA4" i="8"/>
  <c r="S49" i="8"/>
  <c r="S63" i="8" s="1"/>
  <c r="S52" i="8"/>
  <c r="S64" i="8" s="1"/>
  <c r="U14" i="8"/>
  <c r="V14" i="8" s="1"/>
  <c r="T49" i="8"/>
  <c r="T63" i="8" s="1"/>
  <c r="T52" i="8"/>
  <c r="T64" i="8" s="1"/>
  <c r="AC13" i="8"/>
  <c r="W13" i="8"/>
  <c r="AE19" i="8"/>
  <c r="W112" i="8"/>
  <c r="AE18" i="8"/>
  <c r="AE30" i="8"/>
  <c r="AE132" i="8"/>
  <c r="E29" i="4"/>
  <c r="V114" i="8"/>
  <c r="Z114" i="8"/>
  <c r="Y114" i="8"/>
  <c r="U114" i="8"/>
  <c r="W114" i="8"/>
  <c r="AA114" i="8"/>
  <c r="X114" i="8"/>
  <c r="AB114" i="8"/>
  <c r="F356" i="3"/>
  <c r="F341" i="3"/>
  <c r="F350" i="3"/>
  <c r="F348" i="3"/>
  <c r="F354" i="3"/>
  <c r="G16" i="3"/>
  <c r="F87" i="3"/>
  <c r="E27" i="4" s="1"/>
  <c r="E106" i="4" l="1"/>
  <c r="E158" i="4"/>
  <c r="E132" i="4" s="1"/>
  <c r="G205" i="3"/>
  <c r="G202" i="3"/>
  <c r="G207" i="3"/>
  <c r="G208" i="3" s="1"/>
  <c r="G209" i="3" s="1"/>
  <c r="G196" i="3"/>
  <c r="AE4" i="8"/>
  <c r="E79" i="4"/>
  <c r="E81" i="4"/>
  <c r="V52" i="8"/>
  <c r="V64" i="8" s="1"/>
  <c r="V49" i="8"/>
  <c r="V63" i="8" s="1"/>
  <c r="U52" i="8"/>
  <c r="U64" i="8" s="1"/>
  <c r="U49" i="8"/>
  <c r="U63" i="8" s="1"/>
  <c r="R76" i="8"/>
  <c r="AC85" i="8"/>
  <c r="AC76" i="8"/>
  <c r="AB85" i="8"/>
  <c r="AB76" i="8"/>
  <c r="AA85" i="8"/>
  <c r="AA76" i="8"/>
  <c r="V85" i="8"/>
  <c r="V76" i="8"/>
  <c r="Z85" i="8"/>
  <c r="Z76" i="8"/>
  <c r="Y85" i="8"/>
  <c r="Y76" i="8"/>
  <c r="X85" i="8"/>
  <c r="X76" i="8"/>
  <c r="W85" i="8"/>
  <c r="W76" i="8"/>
  <c r="U85" i="8"/>
  <c r="U76" i="8"/>
  <c r="T85" i="8"/>
  <c r="T76" i="8"/>
  <c r="S85" i="8"/>
  <c r="S76" i="8"/>
  <c r="E12" i="4"/>
  <c r="AE114" i="8"/>
  <c r="E51" i="10"/>
  <c r="E54" i="10" s="1"/>
  <c r="E22" i="10"/>
  <c r="G22" i="3"/>
  <c r="G70" i="3" s="1"/>
  <c r="G194" i="3"/>
  <c r="F47" i="4"/>
  <c r="G23" i="3"/>
  <c r="F40" i="16"/>
  <c r="F41" i="16"/>
  <c r="G20" i="3"/>
  <c r="G206" i="3" l="1"/>
  <c r="E134" i="4"/>
  <c r="E122" i="4"/>
  <c r="E147" i="4"/>
  <c r="E148" i="4"/>
  <c r="E130" i="4"/>
  <c r="E137" i="4"/>
  <c r="E133" i="4"/>
  <c r="E146" i="4"/>
  <c r="E129" i="4"/>
  <c r="E126" i="4"/>
  <c r="E127" i="4"/>
  <c r="E123" i="4"/>
  <c r="E128" i="4"/>
  <c r="V86" i="8"/>
  <c r="V87" i="8"/>
  <c r="V122" i="8" s="1"/>
  <c r="X86" i="8"/>
  <c r="X87" i="8"/>
  <c r="X122" i="8" s="1"/>
  <c r="AB86" i="8"/>
  <c r="AB87" i="8"/>
  <c r="AB122" i="8" s="1"/>
  <c r="S86" i="8"/>
  <c r="S87" i="8"/>
  <c r="S122" i="8" s="1"/>
  <c r="Y86" i="8"/>
  <c r="Y87" i="8"/>
  <c r="Y122" i="8" s="1"/>
  <c r="W86" i="8"/>
  <c r="W87" i="8"/>
  <c r="W122" i="8" s="1"/>
  <c r="AA86" i="8"/>
  <c r="AA87" i="8"/>
  <c r="AA122" i="8" s="1"/>
  <c r="T86" i="8"/>
  <c r="T87" i="8"/>
  <c r="T122" i="8" s="1"/>
  <c r="U86" i="8"/>
  <c r="U87" i="8"/>
  <c r="U122" i="8" s="1"/>
  <c r="Z86" i="8"/>
  <c r="Z87" i="8"/>
  <c r="Z122" i="8" s="1"/>
  <c r="AC86" i="8"/>
  <c r="AC87" i="8"/>
  <c r="AC122" i="8" s="1"/>
  <c r="F99" i="4"/>
  <c r="F151" i="4"/>
  <c r="E118" i="4"/>
  <c r="E64" i="4"/>
  <c r="AE85" i="8"/>
  <c r="R86" i="8"/>
  <c r="G239" i="3"/>
  <c r="G254" i="3" s="1"/>
  <c r="AS113" i="14"/>
  <c r="AJ60" i="14"/>
  <c r="W14" i="8"/>
  <c r="W49" i="8" s="1"/>
  <c r="G24" i="3"/>
  <c r="F154" i="4" s="1"/>
  <c r="X13" i="8"/>
  <c r="G255" i="3" l="1"/>
  <c r="F69" i="4"/>
  <c r="G259" i="3"/>
  <c r="F94" i="4"/>
  <c r="F77" i="4"/>
  <c r="F76" i="4"/>
  <c r="F73" i="4"/>
  <c r="F80" i="4"/>
  <c r="F75" i="4"/>
  <c r="F74" i="4"/>
  <c r="F84" i="4"/>
  <c r="F93" i="4"/>
  <c r="F85" i="4"/>
  <c r="F95" i="4"/>
  <c r="W52" i="8"/>
  <c r="W64" i="8" s="1"/>
  <c r="W63" i="8"/>
  <c r="G279" i="3"/>
  <c r="G43" i="3"/>
  <c r="G45" i="3"/>
  <c r="G46" i="3" s="1"/>
  <c r="F54" i="4" s="1"/>
  <c r="G25" i="3"/>
  <c r="F50" i="4"/>
  <c r="F102" i="4" s="1"/>
  <c r="X14" i="8"/>
  <c r="X49" i="8" s="1"/>
  <c r="G297" i="3" l="1"/>
  <c r="G298" i="3"/>
  <c r="F86" i="4"/>
  <c r="X52" i="8"/>
  <c r="X64" i="8" s="1"/>
  <c r="X63" i="8"/>
  <c r="G47" i="3"/>
  <c r="G48" i="3"/>
  <c r="F90" i="16"/>
  <c r="F9" i="16" s="1"/>
  <c r="F83" i="16"/>
  <c r="F88" i="16" s="1"/>
  <c r="F82" i="16"/>
  <c r="F87" i="16" s="1"/>
  <c r="G27" i="3"/>
  <c r="H16" i="3" s="1"/>
  <c r="G303" i="3"/>
  <c r="G313" i="3" s="1"/>
  <c r="F18" i="4" s="1"/>
  <c r="Y14" i="8"/>
  <c r="Y49" i="8" s="1"/>
  <c r="G52" i="3" l="1"/>
  <c r="G57" i="3" s="1"/>
  <c r="F106" i="4"/>
  <c r="H205" i="3"/>
  <c r="H207" i="3"/>
  <c r="H208" i="3" s="1"/>
  <c r="H209" i="3" s="1"/>
  <c r="H202" i="3"/>
  <c r="H196" i="3"/>
  <c r="F70" i="4"/>
  <c r="Y63" i="8"/>
  <c r="Y52" i="8"/>
  <c r="Y64" i="8" s="1"/>
  <c r="H391" i="3"/>
  <c r="F16" i="10" s="1"/>
  <c r="G350" i="3"/>
  <c r="G348" i="3"/>
  <c r="G341" i="3"/>
  <c r="G354" i="3"/>
  <c r="G356" i="3"/>
  <c r="AK60" i="14"/>
  <c r="AT113" i="14"/>
  <c r="H22" i="3"/>
  <c r="H70" i="3" s="1"/>
  <c r="G40" i="16"/>
  <c r="H194" i="3"/>
  <c r="G41" i="16"/>
  <c r="G47" i="4"/>
  <c r="H20" i="3"/>
  <c r="H23" i="3"/>
  <c r="H24" i="3" s="1"/>
  <c r="G154" i="4" s="1"/>
  <c r="Z14" i="8"/>
  <c r="Z49" i="8" s="1"/>
  <c r="AA13" i="8"/>
  <c r="F158" i="4" l="1"/>
  <c r="F130" i="4" s="1"/>
  <c r="H206" i="3"/>
  <c r="G99" i="4"/>
  <c r="G69" i="4" s="1"/>
  <c r="G151" i="4"/>
  <c r="Z63" i="8"/>
  <c r="Z52" i="8"/>
  <c r="Z64" i="8" s="1"/>
  <c r="H25" i="3"/>
  <c r="H41" i="3"/>
  <c r="H42" i="3" s="1"/>
  <c r="H239" i="3"/>
  <c r="H254" i="3" s="1"/>
  <c r="G50" i="4"/>
  <c r="G102" i="4" s="1"/>
  <c r="AA14" i="8"/>
  <c r="AA49" i="8" s="1"/>
  <c r="F146" i="4" l="1"/>
  <c r="F122" i="4"/>
  <c r="F147" i="4"/>
  <c r="F123" i="4"/>
  <c r="F148" i="4"/>
  <c r="F126" i="4"/>
  <c r="F137" i="4"/>
  <c r="F127" i="4"/>
  <c r="F128" i="4"/>
  <c r="F133" i="4"/>
  <c r="F129" i="4"/>
  <c r="F138" i="4"/>
  <c r="H27" i="3"/>
  <c r="I16" i="3" s="1"/>
  <c r="I22" i="3" s="1"/>
  <c r="I70" i="3" s="1"/>
  <c r="I205" i="3"/>
  <c r="I206" i="3" s="1"/>
  <c r="I207" i="3"/>
  <c r="I208" i="3" s="1"/>
  <c r="I209" i="3" s="1"/>
  <c r="I202" i="3"/>
  <c r="I196" i="3"/>
  <c r="H255" i="3"/>
  <c r="G94" i="4"/>
  <c r="G76" i="4"/>
  <c r="G77" i="4"/>
  <c r="G73" i="4"/>
  <c r="G75" i="4"/>
  <c r="G74" i="4"/>
  <c r="G80" i="4"/>
  <c r="G84" i="4"/>
  <c r="G93" i="4"/>
  <c r="G85" i="4"/>
  <c r="G95" i="4"/>
  <c r="H259" i="3"/>
  <c r="AA52" i="8"/>
  <c r="AA64" i="8" s="1"/>
  <c r="AA63" i="8"/>
  <c r="H303" i="3"/>
  <c r="H313" i="3" s="1"/>
  <c r="G18" i="4" s="1"/>
  <c r="H279" i="3"/>
  <c r="H45" i="3"/>
  <c r="H46" i="3" s="1"/>
  <c r="I41" i="3"/>
  <c r="I42" i="3" s="1"/>
  <c r="I279" i="3" s="1"/>
  <c r="I239" i="3"/>
  <c r="I254" i="3" s="1"/>
  <c r="H43" i="3"/>
  <c r="I194" i="3"/>
  <c r="I23" i="3"/>
  <c r="I24" i="3" s="1"/>
  <c r="H154" i="4" s="1"/>
  <c r="AB14" i="8"/>
  <c r="F139" i="4" l="1"/>
  <c r="H47" i="3"/>
  <c r="G54" i="4"/>
  <c r="H40" i="16"/>
  <c r="I20" i="3"/>
  <c r="I391" i="3"/>
  <c r="G16" i="10" s="1"/>
  <c r="H16" i="10" s="1"/>
  <c r="H41" i="16"/>
  <c r="H47" i="4"/>
  <c r="H99" i="4" s="1"/>
  <c r="H69" i="4" s="1"/>
  <c r="H297" i="3"/>
  <c r="H298" i="3"/>
  <c r="I255" i="3"/>
  <c r="G86" i="4"/>
  <c r="G70" i="4"/>
  <c r="H341" i="3"/>
  <c r="I259" i="3"/>
  <c r="H90" i="16" s="1"/>
  <c r="H9" i="16" s="1"/>
  <c r="AB52" i="8"/>
  <c r="AB64" i="8" s="1"/>
  <c r="AB49" i="8"/>
  <c r="AB63" i="8" s="1"/>
  <c r="G83" i="16"/>
  <c r="G88" i="16" s="1"/>
  <c r="H356" i="3"/>
  <c r="H48" i="3"/>
  <c r="I43" i="3"/>
  <c r="H350" i="3"/>
  <c r="G82" i="16"/>
  <c r="G87" i="16" s="1"/>
  <c r="H348" i="3"/>
  <c r="H354" i="3"/>
  <c r="G90" i="16"/>
  <c r="G9" i="16" s="1"/>
  <c r="I45" i="3"/>
  <c r="I46" i="3" s="1"/>
  <c r="H54" i="4" s="1"/>
  <c r="H50" i="4"/>
  <c r="H102" i="4" s="1"/>
  <c r="E53" i="4"/>
  <c r="I25" i="3"/>
  <c r="H151" i="4" l="1"/>
  <c r="H52" i="3"/>
  <c r="H57" i="3" s="1"/>
  <c r="G106" i="4"/>
  <c r="I297" i="3"/>
  <c r="I298" i="3"/>
  <c r="H83" i="16"/>
  <c r="H88" i="16" s="1"/>
  <c r="E105" i="4"/>
  <c r="E157" i="4"/>
  <c r="H94" i="4"/>
  <c r="H76" i="4"/>
  <c r="H77" i="4"/>
  <c r="H73" i="4"/>
  <c r="H74" i="4"/>
  <c r="H80" i="4"/>
  <c r="H75" i="4"/>
  <c r="H84" i="4"/>
  <c r="H93" i="4"/>
  <c r="H85" i="4"/>
  <c r="H95" i="4"/>
  <c r="H82" i="16"/>
  <c r="H87" i="16" s="1"/>
  <c r="I47" i="3"/>
  <c r="I48" i="3"/>
  <c r="F74" i="3"/>
  <c r="AE122" i="8"/>
  <c r="E19" i="4"/>
  <c r="AE112" i="8"/>
  <c r="I303" i="3"/>
  <c r="I313" i="3" s="1"/>
  <c r="H18" i="4" s="1"/>
  <c r="I27" i="3"/>
  <c r="AE13" i="8"/>
  <c r="AC14" i="8"/>
  <c r="G158" i="4" l="1"/>
  <c r="G122" i="4" s="1"/>
  <c r="I52" i="3"/>
  <c r="I57" i="3" s="1"/>
  <c r="H86" i="4"/>
  <c r="H70" i="4"/>
  <c r="E71" i="4"/>
  <c r="E124" i="4"/>
  <c r="AC52" i="8"/>
  <c r="AC64" i="8" s="1"/>
  <c r="AE64" i="8" s="1"/>
  <c r="AC49" i="8"/>
  <c r="AC63" i="8" s="1"/>
  <c r="AE63" i="8" s="1"/>
  <c r="F304" i="3"/>
  <c r="F305" i="3" s="1"/>
  <c r="I341" i="3"/>
  <c r="I350" i="3"/>
  <c r="I356" i="3"/>
  <c r="I348" i="3"/>
  <c r="I354" i="3"/>
  <c r="G17" i="3"/>
  <c r="G29" i="3" s="1"/>
  <c r="G137" i="4" l="1"/>
  <c r="G138" i="4"/>
  <c r="G129" i="4"/>
  <c r="G127" i="4"/>
  <c r="G123" i="4"/>
  <c r="G130" i="4"/>
  <c r="G148" i="4"/>
  <c r="G126" i="4"/>
  <c r="G146" i="4"/>
  <c r="G147" i="4"/>
  <c r="G128" i="4"/>
  <c r="G133" i="4"/>
  <c r="H106" i="4"/>
  <c r="H158" i="4"/>
  <c r="G229" i="3"/>
  <c r="G235" i="3"/>
  <c r="Z120" i="8"/>
  <c r="AA120" i="8"/>
  <c r="AB120" i="8"/>
  <c r="V120" i="8"/>
  <c r="S120" i="8"/>
  <c r="W120" i="8"/>
  <c r="U120" i="8"/>
  <c r="AC120" i="8"/>
  <c r="T120" i="8"/>
  <c r="X120" i="8"/>
  <c r="R120" i="8"/>
  <c r="Y120" i="8"/>
  <c r="G31" i="3"/>
  <c r="F53" i="4" s="1"/>
  <c r="F51" i="16"/>
  <c r="F54" i="16" s="1"/>
  <c r="F7" i="16" s="1"/>
  <c r="G80" i="3"/>
  <c r="G82" i="3" s="1"/>
  <c r="G84" i="3" s="1"/>
  <c r="F12" i="4" s="1"/>
  <c r="G381" i="3"/>
  <c r="G383" i="3" s="1"/>
  <c r="F29" i="4" s="1"/>
  <c r="H392" i="3"/>
  <c r="F17" i="10" s="1"/>
  <c r="F51" i="10" s="1"/>
  <c r="F54" i="10" s="1"/>
  <c r="F50" i="16"/>
  <c r="F53" i="16" s="1"/>
  <c r="F6" i="16" s="1"/>
  <c r="G139" i="4" l="1"/>
  <c r="G16" i="4"/>
  <c r="F16" i="4"/>
  <c r="H16" i="4"/>
  <c r="H122" i="4"/>
  <c r="H128" i="4"/>
  <c r="H147" i="4"/>
  <c r="H146" i="4"/>
  <c r="H123" i="4"/>
  <c r="H129" i="4"/>
  <c r="H138" i="4"/>
  <c r="H127" i="4"/>
  <c r="H148" i="4"/>
  <c r="H137" i="4"/>
  <c r="H126" i="4"/>
  <c r="H133" i="4"/>
  <c r="H130" i="4"/>
  <c r="F105" i="4"/>
  <c r="F157" i="4"/>
  <c r="F64" i="4"/>
  <c r="F118" i="4"/>
  <c r="F134" i="4"/>
  <c r="F81" i="4"/>
  <c r="G74" i="3"/>
  <c r="G32" i="3"/>
  <c r="F19" i="4" s="1"/>
  <c r="F22" i="10"/>
  <c r="G87" i="3"/>
  <c r="F27" i="4" s="1"/>
  <c r="E10" i="4"/>
  <c r="H139" i="4" l="1"/>
  <c r="F10" i="4"/>
  <c r="F132" i="4"/>
  <c r="F79" i="4"/>
  <c r="F124" i="4"/>
  <c r="F71" i="4"/>
  <c r="E62" i="4"/>
  <c r="E115" i="4"/>
  <c r="H17" i="3"/>
  <c r="H29" i="3" s="1"/>
  <c r="G304" i="3"/>
  <c r="G305" i="3" s="1"/>
  <c r="H229" i="3" l="1"/>
  <c r="H235" i="3"/>
  <c r="H80" i="3"/>
  <c r="H82" i="3" s="1"/>
  <c r="H84" i="3" s="1"/>
  <c r="F115" i="4"/>
  <c r="F62" i="4"/>
  <c r="I392" i="3"/>
  <c r="G17" i="10" s="1"/>
  <c r="H17" i="10" s="1"/>
  <c r="F20" i="4"/>
  <c r="G50" i="16"/>
  <c r="G53" i="16" s="1"/>
  <c r="G6" i="16" s="1"/>
  <c r="G51" i="16"/>
  <c r="G54" i="16" s="1"/>
  <c r="G7" i="16" s="1"/>
  <c r="H381" i="3"/>
  <c r="H383" i="3" s="1"/>
  <c r="G29" i="4" s="1"/>
  <c r="H31" i="3"/>
  <c r="H74" i="3" s="1"/>
  <c r="G22" i="10" l="1"/>
  <c r="G51" i="10"/>
  <c r="G54" i="10" s="1"/>
  <c r="G134" i="4"/>
  <c r="G81" i="4"/>
  <c r="F125" i="4"/>
  <c r="F72" i="4"/>
  <c r="G53" i="4"/>
  <c r="H32" i="3"/>
  <c r="G19" i="4" s="1"/>
  <c r="H87" i="3"/>
  <c r="G27" i="4" s="1"/>
  <c r="H22" i="10"/>
  <c r="H51" i="10"/>
  <c r="G10" i="4"/>
  <c r="G12" i="4"/>
  <c r="H54" i="10" l="1"/>
  <c r="G64" i="4"/>
  <c r="G118" i="4"/>
  <c r="G157" i="4"/>
  <c r="G105" i="4"/>
  <c r="G115" i="4"/>
  <c r="G62" i="4"/>
  <c r="G79" i="4"/>
  <c r="G132" i="4"/>
  <c r="G124" i="4"/>
  <c r="G71" i="4"/>
  <c r="I17" i="3"/>
  <c r="I29" i="3" s="1"/>
  <c r="H304" i="3"/>
  <c r="H305" i="3" s="1"/>
  <c r="H51" i="16" l="1"/>
  <c r="H54" i="16" s="1"/>
  <c r="H7" i="16" s="1"/>
  <c r="I235" i="3"/>
  <c r="G20" i="4"/>
  <c r="I80" i="3"/>
  <c r="I82" i="3" s="1"/>
  <c r="I84" i="3" s="1"/>
  <c r="H12" i="4" s="1"/>
  <c r="I229" i="3"/>
  <c r="I381" i="3"/>
  <c r="I383" i="3" s="1"/>
  <c r="H29" i="4" s="1"/>
  <c r="H50" i="16"/>
  <c r="H53" i="16" s="1"/>
  <c r="H6" i="16" s="1"/>
  <c r="I31" i="3"/>
  <c r="H118" i="4" l="1"/>
  <c r="H64" i="4"/>
  <c r="H134" i="4"/>
  <c r="H81" i="4"/>
  <c r="G125" i="4"/>
  <c r="G72" i="4"/>
  <c r="I87" i="3"/>
  <c r="H27" i="4" s="1"/>
  <c r="H53" i="4"/>
  <c r="I74" i="3"/>
  <c r="I32" i="3"/>
  <c r="H19" i="4" s="1"/>
  <c r="H157" i="4" l="1"/>
  <c r="H105" i="4"/>
  <c r="H79" i="4"/>
  <c r="H132" i="4"/>
  <c r="I304" i="3"/>
  <c r="I305" i="3" s="1"/>
  <c r="H20" i="4" s="1"/>
  <c r="H10" i="4"/>
  <c r="H115" i="4" l="1"/>
  <c r="H62" i="4"/>
  <c r="H124" i="4"/>
  <c r="H71" i="4"/>
  <c r="H125" i="4"/>
  <c r="H72" i="4"/>
  <c r="L5" i="8" l="1"/>
  <c r="L11" i="8" l="1"/>
  <c r="L7" i="8"/>
  <c r="L36" i="8" s="1"/>
  <c r="L10" i="8"/>
  <c r="L42" i="8" s="1"/>
  <c r="L61" i="8" s="1"/>
  <c r="L9" i="8"/>
  <c r="L40" i="8" s="1"/>
  <c r="L60" i="8" s="1"/>
  <c r="L8" i="8"/>
  <c r="L38" i="8" s="1"/>
  <c r="L59" i="8" s="1"/>
  <c r="L44" i="8" l="1"/>
  <c r="L62" i="8" s="1"/>
  <c r="L58" i="8"/>
  <c r="M5" i="8"/>
  <c r="L46" i="8" l="1"/>
  <c r="L65" i="8"/>
  <c r="L118" i="8" s="1"/>
  <c r="M11" i="8"/>
  <c r="M44" i="8" s="1"/>
  <c r="M62" i="8" s="1"/>
  <c r="M8" i="8"/>
  <c r="M38" i="8" s="1"/>
  <c r="M59" i="8" s="1"/>
  <c r="M7" i="8"/>
  <c r="M36" i="8" s="1"/>
  <c r="M10" i="8"/>
  <c r="M42" i="8" s="1"/>
  <c r="M61" i="8" s="1"/>
  <c r="M9" i="8"/>
  <c r="M40" i="8" s="1"/>
  <c r="M60" i="8" s="1"/>
  <c r="M58" i="8" l="1"/>
  <c r="M46" i="8"/>
  <c r="N5" i="8"/>
  <c r="N11" i="8" l="1"/>
  <c r="N9" i="8"/>
  <c r="N40" i="8" s="1"/>
  <c r="N60" i="8" s="1"/>
  <c r="N8" i="8"/>
  <c r="N38" i="8" s="1"/>
  <c r="N59" i="8" s="1"/>
  <c r="N7" i="8"/>
  <c r="N36" i="8" s="1"/>
  <c r="N10" i="8"/>
  <c r="N42" i="8" s="1"/>
  <c r="N61" i="8" s="1"/>
  <c r="N44" i="8" l="1"/>
  <c r="N58" i="8"/>
  <c r="O5" i="8"/>
  <c r="N46" i="8" l="1"/>
  <c r="N62" i="8"/>
  <c r="N65" i="8" s="1"/>
  <c r="N118" i="8" s="1"/>
  <c r="O11" i="8"/>
  <c r="O10" i="8"/>
  <c r="O42" i="8" s="1"/>
  <c r="O61" i="8" s="1"/>
  <c r="O9" i="8"/>
  <c r="O40" i="8" s="1"/>
  <c r="O60" i="8" s="1"/>
  <c r="O7" i="8"/>
  <c r="O36" i="8" s="1"/>
  <c r="O8" i="8"/>
  <c r="O38" i="8" s="1"/>
  <c r="O59" i="8" s="1"/>
  <c r="P5" i="8"/>
  <c r="O44" i="8" l="1"/>
  <c r="O62" i="8" s="1"/>
  <c r="P11" i="8"/>
  <c r="P44" i="8" s="1"/>
  <c r="P62" i="8" s="1"/>
  <c r="O58" i="8"/>
  <c r="P7" i="8"/>
  <c r="P36" i="8" s="1"/>
  <c r="P9" i="8"/>
  <c r="P40" i="8" s="1"/>
  <c r="P60" i="8" s="1"/>
  <c r="P10" i="8"/>
  <c r="P42" i="8" s="1"/>
  <c r="P61" i="8" s="1"/>
  <c r="P8" i="8"/>
  <c r="P38" i="8" s="1"/>
  <c r="P59" i="8" s="1"/>
  <c r="O46" i="8" l="1"/>
  <c r="O65" i="8"/>
  <c r="O118" i="8" s="1"/>
  <c r="P58" i="8"/>
  <c r="P46" i="8"/>
  <c r="Q5" i="8"/>
  <c r="P65" i="8" l="1"/>
  <c r="P118" i="8" s="1"/>
  <c r="Q11" i="8"/>
  <c r="Q8" i="8"/>
  <c r="Q7" i="8"/>
  <c r="Q36" i="8" s="1"/>
  <c r="Q10" i="8"/>
  <c r="Q9" i="8"/>
  <c r="AD86" i="8"/>
  <c r="AD88" i="8" s="1"/>
  <c r="Q44" i="8" l="1"/>
  <c r="Q62" i="8" s="1"/>
  <c r="AD62" i="8" s="1"/>
  <c r="Q58" i="8"/>
  <c r="AD58" i="8" s="1"/>
  <c r="Q40" i="8"/>
  <c r="Q60" i="8" s="1"/>
  <c r="AD60" i="8" s="1"/>
  <c r="Q38" i="8"/>
  <c r="Q59" i="8" s="1"/>
  <c r="Q42" i="8"/>
  <c r="Q61" i="8" s="1"/>
  <c r="AD61" i="8" s="1"/>
  <c r="AD120" i="8"/>
  <c r="D20" i="4"/>
  <c r="D125" i="4" l="1"/>
  <c r="D72" i="4"/>
  <c r="Q65" i="8"/>
  <c r="Q118" i="8" s="1"/>
  <c r="Q46" i="8"/>
  <c r="AD59" i="8"/>
  <c r="R5" i="8"/>
  <c r="R11" i="8" l="1"/>
  <c r="R8" i="8"/>
  <c r="R38" i="8" s="1"/>
  <c r="R59" i="8" s="1"/>
  <c r="R10" i="8"/>
  <c r="R42" i="8" s="1"/>
  <c r="R61" i="8" s="1"/>
  <c r="R9" i="8"/>
  <c r="R40" i="8" s="1"/>
  <c r="R60" i="8" s="1"/>
  <c r="R7" i="8"/>
  <c r="R36" i="8" s="1"/>
  <c r="R58" i="8" l="1"/>
  <c r="R44" i="8"/>
  <c r="R46" i="8" l="1"/>
  <c r="R62" i="8"/>
  <c r="R65" i="8" s="1"/>
  <c r="R118" i="8" s="1"/>
  <c r="S5" i="8"/>
  <c r="S11" i="8" l="1"/>
  <c r="S7" i="8"/>
  <c r="S36" i="8" s="1"/>
  <c r="S10" i="8"/>
  <c r="S42" i="8" s="1"/>
  <c r="S61" i="8" s="1"/>
  <c r="S9" i="8"/>
  <c r="S40" i="8" s="1"/>
  <c r="S60" i="8" s="1"/>
  <c r="S8" i="8"/>
  <c r="S38" i="8" s="1"/>
  <c r="S59" i="8" s="1"/>
  <c r="S58" i="8" l="1"/>
  <c r="S44" i="8"/>
  <c r="T5" i="8"/>
  <c r="S46" i="8" l="1"/>
  <c r="S62" i="8"/>
  <c r="S65" i="8" s="1"/>
  <c r="S118" i="8" s="1"/>
  <c r="T11" i="8"/>
  <c r="T7" i="8"/>
  <c r="T36" i="8" s="1"/>
  <c r="T10" i="8"/>
  <c r="T42" i="8" s="1"/>
  <c r="T61" i="8" s="1"/>
  <c r="T9" i="8"/>
  <c r="T40" i="8" s="1"/>
  <c r="T60" i="8" s="1"/>
  <c r="T8" i="8"/>
  <c r="T38" i="8" s="1"/>
  <c r="T59" i="8" s="1"/>
  <c r="T58" i="8" l="1"/>
  <c r="T44" i="8"/>
  <c r="U5" i="8"/>
  <c r="T46" i="8" l="1"/>
  <c r="T62" i="8"/>
  <c r="T65" i="8" s="1"/>
  <c r="T118" i="8" s="1"/>
  <c r="U11" i="8"/>
  <c r="U7" i="8"/>
  <c r="U36" i="8" s="1"/>
  <c r="U10" i="8"/>
  <c r="U42" i="8" s="1"/>
  <c r="U61" i="8" s="1"/>
  <c r="U9" i="8"/>
  <c r="U40" i="8" s="1"/>
  <c r="U60" i="8" s="1"/>
  <c r="U8" i="8"/>
  <c r="U38" i="8" s="1"/>
  <c r="U59" i="8" s="1"/>
  <c r="U58" i="8" l="1"/>
  <c r="U44" i="8"/>
  <c r="AE86" i="8"/>
  <c r="U46" i="8" l="1"/>
  <c r="U62" i="8"/>
  <c r="U65" i="8" s="1"/>
  <c r="U118" i="8" s="1"/>
  <c r="V5" i="8"/>
  <c r="V11" i="8" l="1"/>
  <c r="V7" i="8"/>
  <c r="V36" i="8" s="1"/>
  <c r="V8" i="8"/>
  <c r="V38" i="8" s="1"/>
  <c r="V59" i="8" s="1"/>
  <c r="V10" i="8"/>
  <c r="V42" i="8" s="1"/>
  <c r="V61" i="8" s="1"/>
  <c r="V9" i="8"/>
  <c r="V40" i="8" s="1"/>
  <c r="V60" i="8" s="1"/>
  <c r="V58" i="8" l="1"/>
  <c r="V44" i="8"/>
  <c r="W5" i="8"/>
  <c r="V46" i="8" l="1"/>
  <c r="V62" i="8"/>
  <c r="V65" i="8" s="1"/>
  <c r="V118" i="8" s="1"/>
  <c r="W11" i="8"/>
  <c r="W7" i="8"/>
  <c r="W36" i="8" s="1"/>
  <c r="W10" i="8"/>
  <c r="W42" i="8" s="1"/>
  <c r="W61" i="8" s="1"/>
  <c r="W9" i="8"/>
  <c r="W40" i="8" s="1"/>
  <c r="W60" i="8" s="1"/>
  <c r="W8" i="8"/>
  <c r="W38" i="8" s="1"/>
  <c r="W59" i="8" s="1"/>
  <c r="W58" i="8" l="1"/>
  <c r="W44" i="8"/>
  <c r="X5" i="8"/>
  <c r="W46" i="8" l="1"/>
  <c r="W62" i="8"/>
  <c r="W65" i="8" s="1"/>
  <c r="W118" i="8" s="1"/>
  <c r="D34" i="4"/>
  <c r="D85" i="4"/>
  <c r="D86" i="4" s="1"/>
  <c r="D138" i="4"/>
  <c r="D139" i="4" s="1"/>
  <c r="X11" i="8"/>
  <c r="X8" i="8"/>
  <c r="X38" i="8" s="1"/>
  <c r="X59" i="8" s="1"/>
  <c r="X7" i="8"/>
  <c r="X36" i="8" s="1"/>
  <c r="X10" i="8"/>
  <c r="X42" i="8" s="1"/>
  <c r="X61" i="8" s="1"/>
  <c r="X9" i="8"/>
  <c r="X40" i="8" s="1"/>
  <c r="X60" i="8" s="1"/>
  <c r="AG43" i="14" l="1"/>
  <c r="AG27" i="14"/>
  <c r="AG30" i="14"/>
  <c r="AG26" i="14"/>
  <c r="AG22" i="14"/>
  <c r="AG18" i="14"/>
  <c r="AG14" i="14"/>
  <c r="AG10" i="14"/>
  <c r="AG23" i="14"/>
  <c r="AG15" i="14"/>
  <c r="AG29" i="14"/>
  <c r="AG25" i="14"/>
  <c r="AG21" i="14"/>
  <c r="AG17" i="14"/>
  <c r="AG13" i="14"/>
  <c r="AG11" i="14"/>
  <c r="AG28" i="14"/>
  <c r="AG24" i="14"/>
  <c r="AG20" i="14"/>
  <c r="AG16" i="14"/>
  <c r="AG12" i="14"/>
  <c r="AG19" i="14"/>
  <c r="AQ76" i="14"/>
  <c r="AP109" i="14"/>
  <c r="AG52" i="14"/>
  <c r="AP97" i="14"/>
  <c r="AG51" i="14"/>
  <c r="AG53" i="14"/>
  <c r="AQ67" i="14"/>
  <c r="AP93" i="14"/>
  <c r="AQ81" i="14"/>
  <c r="AG56" i="14"/>
  <c r="AG45" i="14"/>
  <c r="AP108" i="14"/>
  <c r="AQ70" i="14"/>
  <c r="AQ77" i="14"/>
  <c r="AP104" i="14"/>
  <c r="AP94" i="14"/>
  <c r="AQ79" i="14"/>
  <c r="AG44" i="14"/>
  <c r="AP110" i="14"/>
  <c r="AP95" i="14"/>
  <c r="AP92" i="14"/>
  <c r="AP112" i="14"/>
  <c r="AG58" i="14"/>
  <c r="AQ69" i="14"/>
  <c r="AG54" i="14"/>
  <c r="AG59" i="14"/>
  <c r="AQ66" i="14"/>
  <c r="AG47" i="14"/>
  <c r="AQ68" i="14"/>
  <c r="AG46" i="14"/>
  <c r="AQ71" i="14"/>
  <c r="AP98" i="14"/>
  <c r="AQ80" i="14"/>
  <c r="AP106" i="14"/>
  <c r="AP107" i="14"/>
  <c r="AG50" i="14"/>
  <c r="AG39" i="14"/>
  <c r="AP102" i="14"/>
  <c r="AQ82" i="14"/>
  <c r="AQ74" i="14"/>
  <c r="AG55" i="14"/>
  <c r="AG41" i="14"/>
  <c r="AP100" i="14"/>
  <c r="AP111" i="14"/>
  <c r="AP96" i="14"/>
  <c r="AG42" i="14"/>
  <c r="AP101" i="14"/>
  <c r="AP99" i="14"/>
  <c r="AG49" i="14"/>
  <c r="AP105" i="14"/>
  <c r="AQ72" i="14"/>
  <c r="AG57" i="14"/>
  <c r="AG48" i="14"/>
  <c r="AP103" i="14"/>
  <c r="AG40" i="14"/>
  <c r="AQ73" i="14"/>
  <c r="AQ75" i="14"/>
  <c r="AQ78" i="14"/>
  <c r="X58" i="8"/>
  <c r="X44" i="8"/>
  <c r="Y5" i="8"/>
  <c r="X46" i="8" l="1"/>
  <c r="X62" i="8"/>
  <c r="X65" i="8" s="1"/>
  <c r="X118" i="8" s="1"/>
  <c r="Y11" i="8"/>
  <c r="Y8" i="8"/>
  <c r="Y38" i="8" s="1"/>
  <c r="Y59" i="8" s="1"/>
  <c r="Y9" i="8"/>
  <c r="Y40" i="8" s="1"/>
  <c r="Y60" i="8" s="1"/>
  <c r="Y7" i="8"/>
  <c r="Y36" i="8" s="1"/>
  <c r="Y10" i="8"/>
  <c r="Y42" i="8" s="1"/>
  <c r="Y61" i="8" s="1"/>
  <c r="Z5" i="8"/>
  <c r="Y58" i="8" l="1"/>
  <c r="Y44" i="8"/>
  <c r="Z11" i="8"/>
  <c r="Z8" i="8"/>
  <c r="Z38" i="8" s="1"/>
  <c r="Z59" i="8" s="1"/>
  <c r="Z9" i="8"/>
  <c r="Z40" i="8" s="1"/>
  <c r="Z60" i="8" s="1"/>
  <c r="Z7" i="8"/>
  <c r="Z36" i="8" s="1"/>
  <c r="Z10" i="8"/>
  <c r="Z42" i="8" s="1"/>
  <c r="Z61" i="8" s="1"/>
  <c r="Y46" i="8" l="1"/>
  <c r="Y62" i="8"/>
  <c r="Y65" i="8" s="1"/>
  <c r="Y118" i="8" s="1"/>
  <c r="Z58" i="8"/>
  <c r="Z44" i="8"/>
  <c r="AA5" i="8"/>
  <c r="Z46" i="8" l="1"/>
  <c r="Z62" i="8"/>
  <c r="Z65" i="8" s="1"/>
  <c r="Z118" i="8" s="1"/>
  <c r="AA11" i="8"/>
  <c r="AA8" i="8"/>
  <c r="AA38" i="8" s="1"/>
  <c r="AA59" i="8" s="1"/>
  <c r="AA7" i="8"/>
  <c r="AA36" i="8" s="1"/>
  <c r="AA10" i="8"/>
  <c r="AA42" i="8" s="1"/>
  <c r="AA61" i="8" s="1"/>
  <c r="AA9" i="8"/>
  <c r="AA40" i="8" s="1"/>
  <c r="AA60" i="8" s="1"/>
  <c r="AB5" i="8"/>
  <c r="AA58" i="8" l="1"/>
  <c r="AA44" i="8"/>
  <c r="AB11" i="8"/>
  <c r="AB9" i="8"/>
  <c r="AB40" i="8" s="1"/>
  <c r="AB60" i="8" s="1"/>
  <c r="AB8" i="8"/>
  <c r="AB38" i="8" s="1"/>
  <c r="AB59" i="8" s="1"/>
  <c r="AB7" i="8"/>
  <c r="AB36" i="8" s="1"/>
  <c r="AB10" i="8"/>
  <c r="AB42" i="8" s="1"/>
  <c r="AB61" i="8" s="1"/>
  <c r="AA46" i="8" l="1"/>
  <c r="AA62" i="8"/>
  <c r="AA65" i="8" s="1"/>
  <c r="AA118" i="8" s="1"/>
  <c r="AB58" i="8"/>
  <c r="AB44" i="8"/>
  <c r="AE16" i="8"/>
  <c r="AB46" i="8" l="1"/>
  <c r="AB62" i="8"/>
  <c r="AB65" i="8" s="1"/>
  <c r="AB118" i="8" s="1"/>
  <c r="AC5" i="8"/>
  <c r="E20" i="4" l="1"/>
  <c r="AC11" i="8"/>
  <c r="AC9" i="8"/>
  <c r="AC40" i="8" s="1"/>
  <c r="AC60" i="8" s="1"/>
  <c r="AC8" i="8"/>
  <c r="AC38" i="8" s="1"/>
  <c r="AC59" i="8" s="1"/>
  <c r="AC7" i="8"/>
  <c r="AC36" i="8" s="1"/>
  <c r="AC10" i="8"/>
  <c r="AC42" i="8" s="1"/>
  <c r="AC61" i="8" s="1"/>
  <c r="E125" i="4" l="1"/>
  <c r="E72" i="4"/>
  <c r="AC58" i="8"/>
  <c r="AC44" i="8"/>
  <c r="AE120" i="8"/>
  <c r="AE59" i="8"/>
  <c r="AE60" i="8"/>
  <c r="AE61" i="8"/>
  <c r="AC46" i="8" l="1"/>
  <c r="AC62" i="8"/>
  <c r="AE62" i="8" s="1"/>
  <c r="AE58" i="8"/>
  <c r="AC65" i="8" l="1"/>
  <c r="AC118" i="8" s="1"/>
  <c r="AE65" i="8" l="1"/>
  <c r="E16" i="4"/>
  <c r="AE118" i="8"/>
  <c r="E121" i="4" l="1"/>
  <c r="E68" i="4"/>
  <c r="E34" i="4"/>
  <c r="E138" i="4"/>
  <c r="E139" i="4" s="1"/>
  <c r="E85" i="4"/>
  <c r="E86" i="4" s="1"/>
  <c r="M64" i="8"/>
  <c r="M65" i="8" s="1"/>
  <c r="M118" i="8" s="1"/>
  <c r="AD65" i="8" l="1"/>
  <c r="AD64" i="8"/>
  <c r="AD118" i="8" l="1"/>
  <c r="D16" i="4"/>
  <c r="D68" i="4" l="1"/>
  <c r="AN102" i="14"/>
  <c r="D121" i="4"/>
  <c r="AN107" i="14" l="1"/>
  <c r="AN96" i="14"/>
  <c r="AN103" i="14"/>
  <c r="AN97" i="14"/>
  <c r="AN98" i="14"/>
  <c r="AN95" i="14"/>
  <c r="AN101" i="14"/>
  <c r="AN104" i="14"/>
  <c r="AN94" i="14"/>
  <c r="AN111" i="14"/>
  <c r="AN100" i="14"/>
  <c r="AN110" i="14"/>
  <c r="AN112" i="14"/>
  <c r="AN92" i="14"/>
  <c r="AN93" i="14"/>
  <c r="AN105" i="14"/>
  <c r="AN108" i="14"/>
  <c r="AN99" i="14"/>
  <c r="AN106" i="14"/>
  <c r="AN109" i="14"/>
  <c r="W46" i="14" l="1"/>
  <c r="AB46" i="14" s="1"/>
  <c r="W39" i="14"/>
  <c r="AB39" i="14" s="1"/>
  <c r="W56" i="14"/>
  <c r="AB56" i="14" s="1"/>
  <c r="W41" i="14"/>
  <c r="AB41" i="14" s="1"/>
  <c r="W43" i="14"/>
  <c r="AB43" i="14" s="1"/>
  <c r="W50" i="14"/>
  <c r="AB50" i="14" s="1"/>
  <c r="W57" i="14"/>
  <c r="AB57" i="14" s="1"/>
  <c r="W42" i="14"/>
  <c r="AB42" i="14" s="1"/>
  <c r="W47" i="14"/>
  <c r="AB47" i="14" s="1"/>
  <c r="W48" i="14"/>
  <c r="AB48" i="14" s="1"/>
  <c r="W44" i="14"/>
  <c r="AB44" i="14" s="1"/>
  <c r="W54" i="14"/>
  <c r="AB54" i="14" s="1"/>
  <c r="W59" i="14"/>
  <c r="AB59" i="14" s="1"/>
  <c r="W58" i="14"/>
  <c r="AB58" i="14" s="1"/>
  <c r="W55" i="14"/>
  <c r="AB55" i="14" s="1"/>
  <c r="W52" i="14"/>
  <c r="AB52" i="14" s="1"/>
  <c r="W51" i="14"/>
  <c r="AB51" i="14" s="1"/>
  <c r="W40" i="14"/>
  <c r="AB40" i="14" s="1"/>
  <c r="W45" i="14"/>
  <c r="AB45" i="14" s="1"/>
  <c r="W49" i="14"/>
  <c r="AB49" i="14" s="1"/>
  <c r="W53" i="14"/>
  <c r="AB53" i="14" s="1"/>
  <c r="Q28" i="8"/>
  <c r="Q110" i="8" s="1"/>
  <c r="P28" i="8"/>
  <c r="P110" i="8" s="1"/>
  <c r="O28" i="8"/>
  <c r="O110" i="8" s="1"/>
  <c r="N28" i="8"/>
  <c r="N110" i="8" s="1"/>
  <c r="M28" i="8"/>
  <c r="L28" i="8"/>
  <c r="L110" i="8" s="1"/>
  <c r="K28" i="8"/>
  <c r="J28" i="8"/>
  <c r="J110" i="8" s="1"/>
  <c r="I28" i="8"/>
  <c r="I110" i="8" s="1"/>
  <c r="H28" i="8"/>
  <c r="G28" i="8"/>
  <c r="G110" i="8" s="1"/>
  <c r="W74" i="14"/>
  <c r="F28" i="8"/>
  <c r="X54" i="14"/>
  <c r="X50" i="14"/>
  <c r="P29" i="8"/>
  <c r="P111" i="8" s="1"/>
  <c r="AG76" i="14"/>
  <c r="D48" i="4"/>
  <c r="D100" i="4" s="1"/>
  <c r="D152" i="4"/>
  <c r="E362" i="3"/>
  <c r="W83" i="14"/>
  <c r="AC50" i="14" l="1"/>
  <c r="AE50" i="14" s="1"/>
  <c r="AL50" i="14"/>
  <c r="AC54" i="14"/>
  <c r="AE54" i="14" s="1"/>
  <c r="AL54" i="14"/>
  <c r="AD28" i="8"/>
  <c r="J29" i="8"/>
  <c r="W66" i="14"/>
  <c r="W77" i="14"/>
  <c r="W71" i="14"/>
  <c r="W80" i="14"/>
  <c r="W75" i="14"/>
  <c r="W79" i="14"/>
  <c r="W69" i="14"/>
  <c r="W68" i="14"/>
  <c r="W73" i="14"/>
  <c r="AG74" i="14"/>
  <c r="W76" i="14"/>
  <c r="W78" i="14"/>
  <c r="AK74" i="14"/>
  <c r="P116" i="8"/>
  <c r="Q29" i="8"/>
  <c r="W72" i="14"/>
  <c r="H110" i="8"/>
  <c r="D49" i="4"/>
  <c r="D101" i="4" s="1"/>
  <c r="X43" i="14"/>
  <c r="W70" i="14"/>
  <c r="H29" i="8"/>
  <c r="H111" i="8" s="1"/>
  <c r="X48" i="14"/>
  <c r="N29" i="8"/>
  <c r="O29" i="8"/>
  <c r="O111" i="8" s="1"/>
  <c r="O116" i="8" s="1"/>
  <c r="G29" i="8"/>
  <c r="G111" i="8" s="1"/>
  <c r="G116" i="8" s="1"/>
  <c r="AF76" i="14"/>
  <c r="X74" i="14"/>
  <c r="I29" i="8"/>
  <c r="X52" i="14"/>
  <c r="X58" i="14"/>
  <c r="X57" i="14"/>
  <c r="F29" i="8"/>
  <c r="F128" i="8" s="1"/>
  <c r="F150" i="8" s="1"/>
  <c r="F152" i="8" s="1"/>
  <c r="X42" i="14"/>
  <c r="X44" i="14"/>
  <c r="X55" i="14"/>
  <c r="X47" i="14"/>
  <c r="K29" i="8"/>
  <c r="K111" i="8" s="1"/>
  <c r="X45" i="14"/>
  <c r="X39" i="14"/>
  <c r="M29" i="8"/>
  <c r="M111" i="8" s="1"/>
  <c r="X40" i="14"/>
  <c r="E372" i="3"/>
  <c r="L29" i="8"/>
  <c r="L111" i="8" s="1"/>
  <c r="L116" i="8" s="1"/>
  <c r="X49" i="14"/>
  <c r="X41" i="14"/>
  <c r="X56" i="14"/>
  <c r="X51" i="14"/>
  <c r="X59" i="14"/>
  <c r="W67" i="14"/>
  <c r="X46" i="14"/>
  <c r="D153" i="4"/>
  <c r="AK32" i="14" s="1"/>
  <c r="W81" i="14"/>
  <c r="W82" i="14"/>
  <c r="X53" i="14"/>
  <c r="X83" i="14"/>
  <c r="F110" i="8"/>
  <c r="K110" i="8"/>
  <c r="P128" i="8"/>
  <c r="P150" i="8" s="1"/>
  <c r="M110" i="8"/>
  <c r="AC46" i="14" l="1"/>
  <c r="AE46" i="14" s="1"/>
  <c r="AL46" i="14"/>
  <c r="AC44" i="14"/>
  <c r="AE44" i="14" s="1"/>
  <c r="AL44" i="14"/>
  <c r="AC40" i="14"/>
  <c r="AE40" i="14" s="1"/>
  <c r="AL40" i="14"/>
  <c r="AC51" i="14"/>
  <c r="AE51" i="14" s="1"/>
  <c r="AL51" i="14"/>
  <c r="AC39" i="14"/>
  <c r="AE39" i="14" s="1"/>
  <c r="AL39" i="14"/>
  <c r="AC57" i="14"/>
  <c r="AE57" i="14" s="1"/>
  <c r="AL57" i="14"/>
  <c r="AC42" i="14"/>
  <c r="AE42" i="14" s="1"/>
  <c r="AL42" i="14"/>
  <c r="AC59" i="14"/>
  <c r="AE59" i="14" s="1"/>
  <c r="AL59" i="14"/>
  <c r="AC53" i="14"/>
  <c r="AE53" i="14" s="1"/>
  <c r="AL53" i="14"/>
  <c r="AC56" i="14"/>
  <c r="AE56" i="14" s="1"/>
  <c r="AL56" i="14"/>
  <c r="AC45" i="14"/>
  <c r="AE45" i="14" s="1"/>
  <c r="AL45" i="14"/>
  <c r="AC58" i="14"/>
  <c r="AE58" i="14" s="1"/>
  <c r="AL58" i="14"/>
  <c r="AC48" i="14"/>
  <c r="AE48" i="14" s="1"/>
  <c r="AL48" i="14"/>
  <c r="AC41" i="14"/>
  <c r="AE41" i="14" s="1"/>
  <c r="AL41" i="14"/>
  <c r="AC52" i="14"/>
  <c r="AE52" i="14" s="1"/>
  <c r="AL52" i="14"/>
  <c r="AC49" i="14"/>
  <c r="AE49" i="14" s="1"/>
  <c r="AL49" i="14"/>
  <c r="AC47" i="14"/>
  <c r="AE47" i="14" s="1"/>
  <c r="AL47" i="14"/>
  <c r="AT114" i="14"/>
  <c r="AK61" i="14"/>
  <c r="AC55" i="14"/>
  <c r="AE55" i="14" s="1"/>
  <c r="AL55" i="14"/>
  <c r="AC43" i="14"/>
  <c r="AE43" i="14" s="1"/>
  <c r="AL43" i="14"/>
  <c r="AN74" i="14"/>
  <c r="X77" i="14"/>
  <c r="AN77" i="14" s="1"/>
  <c r="X66" i="14"/>
  <c r="AN66" i="14" s="1"/>
  <c r="X68" i="14"/>
  <c r="AN68" i="14" s="1"/>
  <c r="X69" i="14"/>
  <c r="AN69" i="14" s="1"/>
  <c r="X73" i="14"/>
  <c r="AN73" i="14" s="1"/>
  <c r="X78" i="14"/>
  <c r="AN78" i="14" s="1"/>
  <c r="X67" i="14"/>
  <c r="AN67" i="14" s="1"/>
  <c r="X79" i="14"/>
  <c r="AN79" i="14" s="1"/>
  <c r="X80" i="14"/>
  <c r="AN80" i="14" s="1"/>
  <c r="X81" i="14"/>
  <c r="AN81" i="14" s="1"/>
  <c r="X70" i="14"/>
  <c r="AN70" i="14" s="1"/>
  <c r="X82" i="14"/>
  <c r="AN82" i="14" s="1"/>
  <c r="X71" i="14"/>
  <c r="AN71" i="14" s="1"/>
  <c r="X76" i="14"/>
  <c r="AN76" i="14" s="1"/>
  <c r="X72" i="14"/>
  <c r="AN72" i="14" s="1"/>
  <c r="X75" i="14"/>
  <c r="AN75" i="14" s="1"/>
  <c r="AO76" i="14"/>
  <c r="AV76" i="14"/>
  <c r="O128" i="8"/>
  <c r="O150" i="8" s="1"/>
  <c r="G128" i="8"/>
  <c r="G150" i="8" s="1"/>
  <c r="M128" i="8"/>
  <c r="M150" i="8" s="1"/>
  <c r="M116" i="8"/>
  <c r="M149" i="8" s="1"/>
  <c r="K116" i="8"/>
  <c r="K149" i="8" s="1"/>
  <c r="K128" i="8"/>
  <c r="K150" i="8" s="1"/>
  <c r="H116" i="8"/>
  <c r="H149" i="8" s="1"/>
  <c r="L149" i="8"/>
  <c r="O149" i="8"/>
  <c r="AG75" i="14"/>
  <c r="AK75" i="14"/>
  <c r="AG82" i="14"/>
  <c r="AK82" i="14"/>
  <c r="N128" i="8"/>
  <c r="N150" i="8" s="1"/>
  <c r="N111" i="8"/>
  <c r="N116" i="8" s="1"/>
  <c r="AK78" i="14"/>
  <c r="AG78" i="14"/>
  <c r="AG80" i="14"/>
  <c r="AK80" i="14"/>
  <c r="H128" i="8"/>
  <c r="H150" i="8" s="1"/>
  <c r="AK77" i="14"/>
  <c r="AG77" i="14"/>
  <c r="AG72" i="14"/>
  <c r="AK72" i="14"/>
  <c r="AG73" i="14"/>
  <c r="AK73" i="14"/>
  <c r="AK66" i="14"/>
  <c r="AG66" i="14"/>
  <c r="I128" i="8"/>
  <c r="I150" i="8" s="1"/>
  <c r="I111" i="8"/>
  <c r="I116" i="8" s="1"/>
  <c r="L128" i="8"/>
  <c r="L150" i="8" s="1"/>
  <c r="AD110" i="8"/>
  <c r="D8" i="4"/>
  <c r="AG67" i="14"/>
  <c r="AK67" i="14"/>
  <c r="AJ74" i="14"/>
  <c r="AM74" i="14" s="1"/>
  <c r="AF74" i="14"/>
  <c r="AG70" i="14"/>
  <c r="AK70" i="14"/>
  <c r="Q111" i="8"/>
  <c r="Q116" i="8" s="1"/>
  <c r="Q128" i="8"/>
  <c r="Q150" i="8" s="1"/>
  <c r="AG68" i="14"/>
  <c r="AK68" i="14"/>
  <c r="AK71" i="14"/>
  <c r="AG71" i="14"/>
  <c r="Z83" i="14"/>
  <c r="AG69" i="14"/>
  <c r="AK69" i="14"/>
  <c r="J111" i="8"/>
  <c r="J116" i="8" s="1"/>
  <c r="J128" i="8"/>
  <c r="J150" i="8" s="1"/>
  <c r="AD29" i="8"/>
  <c r="F111" i="8"/>
  <c r="F116" i="8" s="1"/>
  <c r="AG81" i="14"/>
  <c r="AK81" i="14"/>
  <c r="AK76" i="14"/>
  <c r="G149" i="8"/>
  <c r="R29" i="8"/>
  <c r="F362" i="3"/>
  <c r="X29" i="8"/>
  <c r="X111" i="8" s="1"/>
  <c r="W29" i="8"/>
  <c r="W111" i="8" s="1"/>
  <c r="T29" i="8"/>
  <c r="T111" i="8" s="1"/>
  <c r="AA29" i="8"/>
  <c r="AA111" i="8" s="1"/>
  <c r="Z29" i="8"/>
  <c r="Z111" i="8" s="1"/>
  <c r="Y29" i="8"/>
  <c r="Y111" i="8" s="1"/>
  <c r="U29" i="8"/>
  <c r="U111" i="8" s="1"/>
  <c r="S29" i="8"/>
  <c r="S111" i="8" s="1"/>
  <c r="AB29" i="8"/>
  <c r="AB111" i="8" s="1"/>
  <c r="V29" i="8"/>
  <c r="V111" i="8" s="1"/>
  <c r="F372" i="3"/>
  <c r="AC29" i="8"/>
  <c r="AC111" i="8" s="1"/>
  <c r="E49" i="4"/>
  <c r="E101" i="4" s="1"/>
  <c r="E153" i="4"/>
  <c r="P149" i="8"/>
  <c r="AG79" i="14"/>
  <c r="AK79" i="14"/>
  <c r="AO74" i="14" l="1"/>
  <c r="AV74" i="14"/>
  <c r="D26" i="4"/>
  <c r="D78" i="4" s="1"/>
  <c r="AD116" i="8"/>
  <c r="F149" i="8"/>
  <c r="I149" i="8"/>
  <c r="J149" i="8"/>
  <c r="AJ73" i="14"/>
  <c r="AM73" i="14" s="1"/>
  <c r="AF73" i="14"/>
  <c r="AO73" i="14" s="1"/>
  <c r="Q149" i="8"/>
  <c r="AJ67" i="14"/>
  <c r="AM67" i="14" s="1"/>
  <c r="AF67" i="14"/>
  <c r="AO67" i="14" s="1"/>
  <c r="G362" i="3"/>
  <c r="F9" i="4"/>
  <c r="F153" i="4"/>
  <c r="G372" i="3"/>
  <c r="G367" i="3"/>
  <c r="F49" i="4"/>
  <c r="F101" i="4" s="1"/>
  <c r="AJ66" i="14"/>
  <c r="AM66" i="14" s="1"/>
  <c r="AF66" i="14"/>
  <c r="AO66" i="14" s="1"/>
  <c r="N149" i="8"/>
  <c r="AJ72" i="14"/>
  <c r="AM72" i="14" s="1"/>
  <c r="AF72" i="14"/>
  <c r="AO72" i="14" s="1"/>
  <c r="AD111" i="8"/>
  <c r="D9" i="4"/>
  <c r="D14" i="4" s="1"/>
  <c r="D113" i="4"/>
  <c r="X28" i="8"/>
  <c r="E152" i="4"/>
  <c r="AB28" i="8"/>
  <c r="S28" i="8"/>
  <c r="W28" i="8"/>
  <c r="V28" i="8"/>
  <c r="E48" i="4"/>
  <c r="E100" i="4" s="1"/>
  <c r="AA28" i="8"/>
  <c r="AC28" i="8"/>
  <c r="Y28" i="8"/>
  <c r="R28" i="8"/>
  <c r="Z28" i="8"/>
  <c r="T28" i="8"/>
  <c r="U28" i="8"/>
  <c r="AJ70" i="14"/>
  <c r="AM70" i="14" s="1"/>
  <c r="AF70" i="14"/>
  <c r="AO70" i="14" s="1"/>
  <c r="AF68" i="14"/>
  <c r="AO68" i="14" s="1"/>
  <c r="AJ68" i="14"/>
  <c r="AM68" i="14" s="1"/>
  <c r="AJ69" i="14"/>
  <c r="AM69" i="14" s="1"/>
  <c r="AF69" i="14"/>
  <c r="AO69" i="14" s="1"/>
  <c r="AE29" i="8"/>
  <c r="R111" i="8"/>
  <c r="AF71" i="14"/>
  <c r="AO71" i="14" s="1"/>
  <c r="AJ71" i="14"/>
  <c r="AM71" i="14" s="1"/>
  <c r="AD128" i="8"/>
  <c r="E367" i="3" s="1"/>
  <c r="AV66" i="14" l="1"/>
  <c r="AV67" i="14"/>
  <c r="AV68" i="14"/>
  <c r="AV69" i="14"/>
  <c r="AV70" i="14"/>
  <c r="AV71" i="14"/>
  <c r="AV72" i="14"/>
  <c r="AV73" i="14"/>
  <c r="E408" i="3"/>
  <c r="D131" i="4"/>
  <c r="AM103" i="14"/>
  <c r="AM94" i="14"/>
  <c r="AM112" i="14"/>
  <c r="AM99" i="14"/>
  <c r="AM93" i="14"/>
  <c r="AM105" i="14"/>
  <c r="AM102" i="14"/>
  <c r="AM101" i="14"/>
  <c r="AM92" i="14"/>
  <c r="AM97" i="14"/>
  <c r="AM95" i="14"/>
  <c r="AM104" i="14"/>
  <c r="AM96" i="14"/>
  <c r="AM111" i="14"/>
  <c r="AM108" i="14"/>
  <c r="AM107" i="14"/>
  <c r="AM98" i="14"/>
  <c r="AM109" i="14"/>
  <c r="D119" i="4"/>
  <c r="AM106" i="14"/>
  <c r="AM100" i="14"/>
  <c r="AM110" i="14"/>
  <c r="D66" i="4"/>
  <c r="Z128" i="8"/>
  <c r="Z150" i="8" s="1"/>
  <c r="Z110" i="8"/>
  <c r="Z116" i="8" s="1"/>
  <c r="S110" i="8"/>
  <c r="S116" i="8" s="1"/>
  <c r="S128" i="8"/>
  <c r="S150" i="8" s="1"/>
  <c r="W128" i="8"/>
  <c r="W150" i="8" s="1"/>
  <c r="W110" i="8"/>
  <c r="W116" i="8" s="1"/>
  <c r="T110" i="8"/>
  <c r="T116" i="8" s="1"/>
  <c r="T128" i="8"/>
  <c r="T150" i="8" s="1"/>
  <c r="R128" i="8"/>
  <c r="R150" i="8" s="1"/>
  <c r="R110" i="8"/>
  <c r="AE28" i="8"/>
  <c r="AB128" i="8"/>
  <c r="AB150" i="8" s="1"/>
  <c r="AB110" i="8"/>
  <c r="AB116" i="8" s="1"/>
  <c r="E9" i="4"/>
  <c r="AE111" i="8"/>
  <c r="Y110" i="8"/>
  <c r="Y116" i="8" s="1"/>
  <c r="Y128" i="8"/>
  <c r="Y150" i="8" s="1"/>
  <c r="G9" i="4"/>
  <c r="H362" i="3"/>
  <c r="G153" i="4"/>
  <c r="G49" i="4"/>
  <c r="G101" i="4" s="1"/>
  <c r="H372" i="3"/>
  <c r="H367" i="3"/>
  <c r="D114" i="4"/>
  <c r="D61" i="4"/>
  <c r="AA110" i="8"/>
  <c r="AA116" i="8" s="1"/>
  <c r="AA128" i="8"/>
  <c r="AA150" i="8" s="1"/>
  <c r="F61" i="4"/>
  <c r="F114" i="4"/>
  <c r="F151" i="8"/>
  <c r="F133" i="8" s="1"/>
  <c r="F134" i="8" s="1"/>
  <c r="F138" i="8" s="1"/>
  <c r="F139" i="8" s="1"/>
  <c r="F141" i="8" s="1"/>
  <c r="X110" i="8"/>
  <c r="X116" i="8" s="1"/>
  <c r="X128" i="8"/>
  <c r="X150" i="8" s="1"/>
  <c r="F26" i="4"/>
  <c r="AC110" i="8"/>
  <c r="AC116" i="8" s="1"/>
  <c r="AC128" i="8"/>
  <c r="AC150" i="8" s="1"/>
  <c r="U128" i="8"/>
  <c r="U150" i="8" s="1"/>
  <c r="U110" i="8"/>
  <c r="U116" i="8" s="1"/>
  <c r="V110" i="8"/>
  <c r="V116" i="8" s="1"/>
  <c r="V128" i="8"/>
  <c r="V150" i="8" s="1"/>
  <c r="F152" i="4"/>
  <c r="F48" i="4"/>
  <c r="F100" i="4" s="1"/>
  <c r="F8" i="4"/>
  <c r="G26" i="4" l="1"/>
  <c r="G78" i="4" s="1"/>
  <c r="E114" i="4"/>
  <c r="E61" i="4"/>
  <c r="F145" i="8"/>
  <c r="V149" i="8"/>
  <c r="AC149" i="8"/>
  <c r="G48" i="4"/>
  <c r="G100" i="4" s="1"/>
  <c r="G152" i="4"/>
  <c r="G8" i="4"/>
  <c r="U149" i="8"/>
  <c r="F78" i="4"/>
  <c r="F131" i="4"/>
  <c r="G61" i="4"/>
  <c r="G114" i="4"/>
  <c r="AB149" i="8"/>
  <c r="T149" i="8"/>
  <c r="S149" i="8"/>
  <c r="D60" i="4"/>
  <c r="F14" i="4"/>
  <c r="F113" i="4"/>
  <c r="AA149" i="8"/>
  <c r="AA151" i="8" s="1"/>
  <c r="R116" i="8"/>
  <c r="AE110" i="8"/>
  <c r="E8" i="4"/>
  <c r="Z149" i="8"/>
  <c r="H9" i="4"/>
  <c r="I362" i="3"/>
  <c r="H153" i="4"/>
  <c r="I367" i="3"/>
  <c r="I372" i="3"/>
  <c r="H49" i="4"/>
  <c r="H101" i="4" s="1"/>
  <c r="X149" i="8"/>
  <c r="Y149" i="8"/>
  <c r="E26" i="4"/>
  <c r="AE128" i="8"/>
  <c r="F367" i="3" s="1"/>
  <c r="W149" i="8"/>
  <c r="V151" i="8" l="1"/>
  <c r="X151" i="8"/>
  <c r="G131" i="4"/>
  <c r="Y151" i="8"/>
  <c r="W151" i="8"/>
  <c r="H61" i="4"/>
  <c r="H114" i="4"/>
  <c r="AE116" i="8"/>
  <c r="R149" i="8"/>
  <c r="R151" i="8" s="1"/>
  <c r="F66" i="4"/>
  <c r="F119" i="4"/>
  <c r="AB151" i="8"/>
  <c r="U151" i="8"/>
  <c r="F146" i="8"/>
  <c r="G152" i="8" s="1"/>
  <c r="T151" i="8"/>
  <c r="E60" i="4"/>
  <c r="G113" i="4"/>
  <c r="G14" i="4"/>
  <c r="E131" i="4"/>
  <c r="E78" i="4"/>
  <c r="F408" i="3"/>
  <c r="H152" i="4"/>
  <c r="H8" i="4"/>
  <c r="H48" i="4"/>
  <c r="H100" i="4" s="1"/>
  <c r="Z151" i="8"/>
  <c r="H26" i="4"/>
  <c r="AC151" i="8"/>
  <c r="E113" i="4"/>
  <c r="E14" i="4"/>
  <c r="S151" i="8"/>
  <c r="G119" i="4" l="1"/>
  <c r="G66" i="4"/>
  <c r="E66" i="4"/>
  <c r="E119" i="4"/>
  <c r="F60" i="4"/>
  <c r="H113" i="4"/>
  <c r="H14" i="4"/>
  <c r="G151" i="8"/>
  <c r="G133" i="8" s="1"/>
  <c r="G134" i="8" s="1"/>
  <c r="G138" i="8" s="1"/>
  <c r="H131" i="4"/>
  <c r="H78" i="4"/>
  <c r="G139" i="8" l="1"/>
  <c r="H119" i="4"/>
  <c r="H66" i="4"/>
  <c r="G141" i="8" l="1"/>
  <c r="G145" i="8" l="1"/>
  <c r="H151" i="8"/>
  <c r="G146" i="8" l="1"/>
  <c r="H152" i="8" s="1"/>
  <c r="H133" i="8" s="1"/>
  <c r="H134" i="8" s="1"/>
  <c r="H138" i="8" s="1"/>
  <c r="H139" i="8" s="1"/>
  <c r="H141" i="8" l="1"/>
  <c r="H145" i="8" l="1"/>
  <c r="I151" i="8"/>
  <c r="H146" i="8" l="1"/>
  <c r="I152" i="8" s="1"/>
  <c r="I133" i="8" s="1"/>
  <c r="I134" i="8" s="1"/>
  <c r="I138" i="8" s="1"/>
  <c r="I139" i="8" s="1"/>
  <c r="I141" i="8" l="1"/>
  <c r="J151" i="8" l="1"/>
  <c r="I145" i="8"/>
  <c r="I146" i="8" l="1"/>
  <c r="J152" i="8" s="1"/>
  <c r="J133" i="8" s="1"/>
  <c r="J134" i="8" s="1"/>
  <c r="J138" i="8" s="1"/>
  <c r="J139" i="8" s="1"/>
  <c r="J141" i="8" s="1"/>
  <c r="J145" i="8" l="1"/>
  <c r="J146" i="8" l="1"/>
  <c r="K152" i="8" s="1"/>
  <c r="K151" i="8"/>
  <c r="K133" i="8" l="1"/>
  <c r="K134" i="8" s="1"/>
  <c r="K138" i="8" s="1"/>
  <c r="K139" i="8" s="1"/>
  <c r="K141" i="8" s="1"/>
  <c r="K145" i="8" s="1"/>
  <c r="K146" i="8" s="1"/>
  <c r="L152" i="8" s="1"/>
  <c r="L151" i="8" l="1"/>
  <c r="L133" i="8" s="1"/>
  <c r="L134" i="8" s="1"/>
  <c r="L138" i="8" s="1"/>
  <c r="L139" i="8" s="1"/>
  <c r="L141" i="8" s="1"/>
  <c r="L145" i="8" s="1"/>
  <c r="L146" i="8" s="1"/>
  <c r="M152" i="8" s="1"/>
  <c r="M151" i="8" l="1"/>
  <c r="M133" i="8" s="1"/>
  <c r="M134" i="8" s="1"/>
  <c r="M138" i="8" s="1"/>
  <c r="M139" i="8" s="1"/>
  <c r="M141" i="8" s="1"/>
  <c r="M145" i="8" s="1"/>
  <c r="M146" i="8" s="1"/>
  <c r="N152" i="8" s="1"/>
  <c r="N151" i="8" l="1"/>
  <c r="N133" i="8" s="1"/>
  <c r="N134" i="8" s="1"/>
  <c r="N138" i="8" s="1"/>
  <c r="N139" i="8" s="1"/>
  <c r="N141" i="8" s="1"/>
  <c r="N145" i="8" s="1"/>
  <c r="N146" i="8" s="1"/>
  <c r="O152" i="8" s="1"/>
  <c r="O151" i="8" l="1"/>
  <c r="O133" i="8" s="1"/>
  <c r="O134" i="8" s="1"/>
  <c r="O138" i="8" s="1"/>
  <c r="O139" i="8" s="1"/>
  <c r="O141" i="8" s="1"/>
  <c r="O145" i="8" s="1"/>
  <c r="O146" i="8" s="1"/>
  <c r="P152" i="8" s="1"/>
  <c r="P151" i="8" l="1"/>
  <c r="P133" i="8" s="1"/>
  <c r="P134" i="8" s="1"/>
  <c r="P138" i="8" s="1"/>
  <c r="P139" i="8" s="1"/>
  <c r="P141" i="8" s="1"/>
  <c r="P145" i="8" s="1"/>
  <c r="P146" i="8" s="1"/>
  <c r="Q152" i="8" s="1"/>
  <c r="Q151" i="8" l="1"/>
  <c r="Q133" i="8" s="1"/>
  <c r="Q134" i="8" l="1"/>
  <c r="D30" i="4"/>
  <c r="AD133" i="8"/>
  <c r="E411" i="3" s="1"/>
  <c r="D82" i="4" l="1"/>
  <c r="D83" i="4" s="1"/>
  <c r="D87" i="4" s="1"/>
  <c r="D88" i="4" s="1"/>
  <c r="D31" i="4"/>
  <c r="D135" i="4"/>
  <c r="AD134" i="8"/>
  <c r="Q138" i="8"/>
  <c r="AF21" i="14" l="1"/>
  <c r="AH21" i="14" s="1"/>
  <c r="AI21" i="14" s="1"/>
  <c r="C21" i="14" s="1"/>
  <c r="AF15" i="14"/>
  <c r="AH15" i="14" s="1"/>
  <c r="AI15" i="14" s="1"/>
  <c r="C15" i="14" s="1"/>
  <c r="AF27" i="14"/>
  <c r="AH27" i="14" s="1"/>
  <c r="AI27" i="14" s="1"/>
  <c r="C27" i="14" s="1"/>
  <c r="AF22" i="14"/>
  <c r="AH22" i="14" s="1"/>
  <c r="AI22" i="14" s="1"/>
  <c r="C22" i="14" s="1"/>
  <c r="AF16" i="14"/>
  <c r="AH16" i="14" s="1"/>
  <c r="AI16" i="14" s="1"/>
  <c r="C16" i="14" s="1"/>
  <c r="AF30" i="14"/>
  <c r="AH30" i="14" s="1"/>
  <c r="AI30" i="14" s="1"/>
  <c r="C30" i="14" s="1"/>
  <c r="AF28" i="14"/>
  <c r="AH28" i="14" s="1"/>
  <c r="AI28" i="14" s="1"/>
  <c r="C28" i="14" s="1"/>
  <c r="AF17" i="14"/>
  <c r="AH17" i="14" s="1"/>
  <c r="AI17" i="14" s="1"/>
  <c r="C17" i="14" s="1"/>
  <c r="AF10" i="14"/>
  <c r="AH10" i="14" s="1"/>
  <c r="AI10" i="14" s="1"/>
  <c r="C10" i="14" s="1"/>
  <c r="AF19" i="14"/>
  <c r="AH19" i="14" s="1"/>
  <c r="AI19" i="14" s="1"/>
  <c r="C19" i="14" s="1"/>
  <c r="AF23" i="14"/>
  <c r="AH23" i="14" s="1"/>
  <c r="AI23" i="14" s="1"/>
  <c r="C23" i="14" s="1"/>
  <c r="AF18" i="14"/>
  <c r="AH18" i="14" s="1"/>
  <c r="AI18" i="14" s="1"/>
  <c r="C18" i="14" s="1"/>
  <c r="AF11" i="14"/>
  <c r="AH11" i="14" s="1"/>
  <c r="AI11" i="14" s="1"/>
  <c r="C11" i="14" s="1"/>
  <c r="AF12" i="14"/>
  <c r="AH12" i="14" s="1"/>
  <c r="AI12" i="14" s="1"/>
  <c r="C12" i="14" s="1"/>
  <c r="AF14" i="14"/>
  <c r="AH14" i="14" s="1"/>
  <c r="AI14" i="14" s="1"/>
  <c r="C14" i="14" s="1"/>
  <c r="AF29" i="14"/>
  <c r="AH29" i="14" s="1"/>
  <c r="AI29" i="14" s="1"/>
  <c r="C29" i="14" s="1"/>
  <c r="AF24" i="14"/>
  <c r="AH24" i="14" s="1"/>
  <c r="AI24" i="14" s="1"/>
  <c r="C24" i="14" s="1"/>
  <c r="AF25" i="14"/>
  <c r="AH25" i="14" s="1"/>
  <c r="AI25" i="14" s="1"/>
  <c r="C25" i="14" s="1"/>
  <c r="AF20" i="14"/>
  <c r="AH20" i="14" s="1"/>
  <c r="AI20" i="14" s="1"/>
  <c r="C20" i="14" s="1"/>
  <c r="AF13" i="14"/>
  <c r="AH13" i="14" s="1"/>
  <c r="AI13" i="14" s="1"/>
  <c r="C13" i="14" s="1"/>
  <c r="AF26" i="14"/>
  <c r="AH26" i="14" s="1"/>
  <c r="AI26" i="14" s="1"/>
  <c r="C26" i="14" s="1"/>
  <c r="AD138" i="8"/>
  <c r="Q139" i="8"/>
  <c r="AF50" i="14"/>
  <c r="AH50" i="14" s="1"/>
  <c r="AI50" i="14" s="1"/>
  <c r="C50" i="14" s="1"/>
  <c r="AO101" i="14"/>
  <c r="AQ101" i="14" s="1"/>
  <c r="AR101" i="14" s="1"/>
  <c r="AF51" i="14"/>
  <c r="AH51" i="14" s="1"/>
  <c r="AI51" i="14" s="1"/>
  <c r="C51" i="14" s="1"/>
  <c r="AF43" i="14"/>
  <c r="AH43" i="14" s="1"/>
  <c r="AI43" i="14" s="1"/>
  <c r="C43" i="14" s="1"/>
  <c r="AP72" i="14"/>
  <c r="AF42" i="14"/>
  <c r="AH42" i="14" s="1"/>
  <c r="AI42" i="14" s="1"/>
  <c r="C42" i="14" s="1"/>
  <c r="AF39" i="14"/>
  <c r="AH39" i="14" s="1"/>
  <c r="AI39" i="14" s="1"/>
  <c r="C39" i="14" s="1"/>
  <c r="AP78" i="14"/>
  <c r="AO110" i="14"/>
  <c r="AQ110" i="14" s="1"/>
  <c r="AR110" i="14" s="1"/>
  <c r="AF53" i="14"/>
  <c r="AH53" i="14" s="1"/>
  <c r="AI53" i="14" s="1"/>
  <c r="C53" i="14" s="1"/>
  <c r="AP71" i="14"/>
  <c r="AO100" i="14"/>
  <c r="AQ100" i="14" s="1"/>
  <c r="AR100" i="14" s="1"/>
  <c r="AP73" i="14"/>
  <c r="AO93" i="14"/>
  <c r="AQ93" i="14" s="1"/>
  <c r="AR93" i="14" s="1"/>
  <c r="AP66" i="14"/>
  <c r="AO104" i="14"/>
  <c r="AQ104" i="14" s="1"/>
  <c r="AR104" i="14" s="1"/>
  <c r="AF54" i="14"/>
  <c r="AH54" i="14" s="1"/>
  <c r="AI54" i="14" s="1"/>
  <c r="C54" i="14" s="1"/>
  <c r="AP75" i="14"/>
  <c r="AF59" i="14"/>
  <c r="AH59" i="14" s="1"/>
  <c r="AI59" i="14" s="1"/>
  <c r="C59" i="14" s="1"/>
  <c r="AO105" i="14"/>
  <c r="AQ105" i="14" s="1"/>
  <c r="AR105" i="14" s="1"/>
  <c r="AF40" i="14"/>
  <c r="AH40" i="14" s="1"/>
  <c r="AI40" i="14" s="1"/>
  <c r="C40" i="14" s="1"/>
  <c r="AO96" i="14"/>
  <c r="AQ96" i="14" s="1"/>
  <c r="AR96" i="14" s="1"/>
  <c r="AP70" i="14"/>
  <c r="AP68" i="14"/>
  <c r="AF56" i="14"/>
  <c r="AH56" i="14" s="1"/>
  <c r="AI56" i="14" s="1"/>
  <c r="C56" i="14" s="1"/>
  <c r="AO106" i="14"/>
  <c r="AQ106" i="14" s="1"/>
  <c r="AR106" i="14" s="1"/>
  <c r="AO95" i="14"/>
  <c r="AQ95" i="14" s="1"/>
  <c r="AR95" i="14" s="1"/>
  <c r="AO109" i="14"/>
  <c r="AQ109" i="14" s="1"/>
  <c r="AR109" i="14" s="1"/>
  <c r="AO92" i="14"/>
  <c r="AQ92" i="14" s="1"/>
  <c r="AR92" i="14" s="1"/>
  <c r="AT92" i="14" s="1"/>
  <c r="AU92" i="14" s="1"/>
  <c r="F92" i="14" s="1"/>
  <c r="AO97" i="14"/>
  <c r="AQ97" i="14" s="1"/>
  <c r="AR97" i="14" s="1"/>
  <c r="AP82" i="14"/>
  <c r="AF57" i="14"/>
  <c r="AH57" i="14" s="1"/>
  <c r="AI57" i="14" s="1"/>
  <c r="C57" i="14" s="1"/>
  <c r="AF44" i="14"/>
  <c r="AH44" i="14" s="1"/>
  <c r="AI44" i="14" s="1"/>
  <c r="C44" i="14" s="1"/>
  <c r="AF55" i="14"/>
  <c r="AH55" i="14" s="1"/>
  <c r="AI55" i="14" s="1"/>
  <c r="C55" i="14" s="1"/>
  <c r="AP77" i="14"/>
  <c r="AP69" i="14"/>
  <c r="AF47" i="14"/>
  <c r="AH47" i="14" s="1"/>
  <c r="AI47" i="14" s="1"/>
  <c r="C47" i="14" s="1"/>
  <c r="AO103" i="14"/>
  <c r="AQ103" i="14" s="1"/>
  <c r="AR103" i="14" s="1"/>
  <c r="D35" i="4"/>
  <c r="AF45" i="14"/>
  <c r="AH45" i="14" s="1"/>
  <c r="AI45" i="14" s="1"/>
  <c r="C45" i="14" s="1"/>
  <c r="AO94" i="14"/>
  <c r="AQ94" i="14" s="1"/>
  <c r="AR94" i="14" s="1"/>
  <c r="AP80" i="14"/>
  <c r="AO99" i="14"/>
  <c r="AQ99" i="14" s="1"/>
  <c r="AR99" i="14" s="1"/>
  <c r="AP74" i="14"/>
  <c r="AF46" i="14"/>
  <c r="AH46" i="14" s="1"/>
  <c r="AI46" i="14" s="1"/>
  <c r="C46" i="14" s="1"/>
  <c r="AF48" i="14"/>
  <c r="AH48" i="14" s="1"/>
  <c r="AI48" i="14" s="1"/>
  <c r="C48" i="14" s="1"/>
  <c r="AP76" i="14"/>
  <c r="AF49" i="14"/>
  <c r="AH49" i="14" s="1"/>
  <c r="AI49" i="14" s="1"/>
  <c r="C49" i="14" s="1"/>
  <c r="AF41" i="14"/>
  <c r="AH41" i="14" s="1"/>
  <c r="AI41" i="14" s="1"/>
  <c r="C41" i="14" s="1"/>
  <c r="AF58" i="14"/>
  <c r="AH58" i="14" s="1"/>
  <c r="AI58" i="14" s="1"/>
  <c r="C58" i="14" s="1"/>
  <c r="AP67" i="14"/>
  <c r="AO102" i="14"/>
  <c r="AQ102" i="14" s="1"/>
  <c r="AR102" i="14" s="1"/>
  <c r="AO98" i="14"/>
  <c r="AQ98" i="14" s="1"/>
  <c r="AR98" i="14" s="1"/>
  <c r="AP79" i="14"/>
  <c r="AO111" i="14"/>
  <c r="AQ111" i="14" s="1"/>
  <c r="AR111" i="14" s="1"/>
  <c r="AO108" i="14"/>
  <c r="AQ108" i="14" s="1"/>
  <c r="AR108" i="14" s="1"/>
  <c r="AO112" i="14"/>
  <c r="AQ112" i="14" s="1"/>
  <c r="AR112" i="14" s="1"/>
  <c r="AP81" i="14"/>
  <c r="AO107" i="14"/>
  <c r="AQ107" i="14" s="1"/>
  <c r="AR107" i="14" s="1"/>
  <c r="AF52" i="14"/>
  <c r="AH52" i="14" s="1"/>
  <c r="AI52" i="14" s="1"/>
  <c r="C52" i="14" s="1"/>
  <c r="D136" i="4"/>
  <c r="AJ28" i="14" l="1"/>
  <c r="D28" i="14" s="1"/>
  <c r="AK28" i="14"/>
  <c r="E28" i="14" s="1"/>
  <c r="AK14" i="14"/>
  <c r="E14" i="14" s="1"/>
  <c r="AJ14" i="14"/>
  <c r="D14" i="14" s="1"/>
  <c r="AJ26" i="14"/>
  <c r="D26" i="14" s="1"/>
  <c r="AK26" i="14"/>
  <c r="E26" i="14" s="1"/>
  <c r="AK22" i="14"/>
  <c r="E22" i="14" s="1"/>
  <c r="AJ22" i="14"/>
  <c r="D22" i="14" s="1"/>
  <c r="AK12" i="14"/>
  <c r="E12" i="14" s="1"/>
  <c r="AJ12" i="14"/>
  <c r="D12" i="14" s="1"/>
  <c r="AK29" i="14"/>
  <c r="E29" i="14" s="1"/>
  <c r="AJ29" i="14"/>
  <c r="D29" i="14" s="1"/>
  <c r="AJ11" i="14"/>
  <c r="D11" i="14" s="1"/>
  <c r="AK11" i="14"/>
  <c r="AK13" i="14"/>
  <c r="E13" i="14" s="1"/>
  <c r="AJ13" i="14"/>
  <c r="D13" i="14" s="1"/>
  <c r="AK20" i="14"/>
  <c r="E20" i="14" s="1"/>
  <c r="AJ20" i="14"/>
  <c r="D20" i="14" s="1"/>
  <c r="AJ27" i="14"/>
  <c r="D27" i="14" s="1"/>
  <c r="AK27" i="14"/>
  <c r="E27" i="14" s="1"/>
  <c r="AJ25" i="14"/>
  <c r="D25" i="14" s="1"/>
  <c r="AK25" i="14"/>
  <c r="E25" i="14" s="1"/>
  <c r="AJ19" i="14"/>
  <c r="D19" i="14" s="1"/>
  <c r="AK19" i="14"/>
  <c r="E19" i="14" s="1"/>
  <c r="AK15" i="14"/>
  <c r="E15" i="14" s="1"/>
  <c r="AJ15" i="14"/>
  <c r="D15" i="14" s="1"/>
  <c r="AJ17" i="14"/>
  <c r="D17" i="14" s="1"/>
  <c r="AK17" i="14"/>
  <c r="E17" i="14" s="1"/>
  <c r="AK30" i="14"/>
  <c r="E30" i="14" s="1"/>
  <c r="AJ30" i="14"/>
  <c r="D30" i="14" s="1"/>
  <c r="AJ16" i="14"/>
  <c r="D16" i="14" s="1"/>
  <c r="AK16" i="14"/>
  <c r="E16" i="14" s="1"/>
  <c r="AJ18" i="14"/>
  <c r="D18" i="14" s="1"/>
  <c r="AK18" i="14"/>
  <c r="E18" i="14" s="1"/>
  <c r="AJ23" i="14"/>
  <c r="D23" i="14" s="1"/>
  <c r="AK23" i="14"/>
  <c r="E23" i="14" s="1"/>
  <c r="AJ24" i="14"/>
  <c r="D24" i="14" s="1"/>
  <c r="AK24" i="14"/>
  <c r="E24" i="14" s="1"/>
  <c r="AK10" i="14"/>
  <c r="AJ10" i="14"/>
  <c r="D10" i="14" s="1"/>
  <c r="AK21" i="14"/>
  <c r="E21" i="14" s="1"/>
  <c r="AJ21" i="14"/>
  <c r="D21" i="14" s="1"/>
  <c r="AT109" i="14"/>
  <c r="AS109" i="14"/>
  <c r="D109" i="14" s="1"/>
  <c r="C109" i="14"/>
  <c r="AK46" i="14"/>
  <c r="E46" i="14" s="1"/>
  <c r="AJ46" i="14"/>
  <c r="D46" i="14" s="1"/>
  <c r="D140" i="4"/>
  <c r="D36" i="4"/>
  <c r="AJ44" i="14"/>
  <c r="D44" i="14" s="1"/>
  <c r="AK44" i="14"/>
  <c r="E44" i="14" s="1"/>
  <c r="AS95" i="14"/>
  <c r="D95" i="14" s="1"/>
  <c r="C95" i="14"/>
  <c r="AT95" i="14"/>
  <c r="AJ40" i="14"/>
  <c r="D40" i="14" s="1"/>
  <c r="AK40" i="14"/>
  <c r="E40" i="14" s="1"/>
  <c r="AS66" i="14"/>
  <c r="AR66" i="14"/>
  <c r="AT110" i="14"/>
  <c r="C110" i="14"/>
  <c r="AS110" i="14"/>
  <c r="D110" i="14" s="1"/>
  <c r="AK51" i="14"/>
  <c r="E51" i="14" s="1"/>
  <c r="AJ51" i="14"/>
  <c r="D51" i="14" s="1"/>
  <c r="AT102" i="14"/>
  <c r="AS102" i="14"/>
  <c r="D102" i="14" s="1"/>
  <c r="C102" i="14"/>
  <c r="AS96" i="14"/>
  <c r="D96" i="14" s="1"/>
  <c r="C96" i="14"/>
  <c r="AT96" i="14"/>
  <c r="AS108" i="14"/>
  <c r="D108" i="14" s="1"/>
  <c r="C108" i="14"/>
  <c r="AT108" i="14"/>
  <c r="AJ58" i="14"/>
  <c r="D58" i="14" s="1"/>
  <c r="AK58" i="14"/>
  <c r="E58" i="14" s="1"/>
  <c r="AS74" i="14"/>
  <c r="AR74" i="14"/>
  <c r="AS103" i="14"/>
  <c r="D103" i="14" s="1"/>
  <c r="AT103" i="14"/>
  <c r="C103" i="14"/>
  <c r="AK57" i="14"/>
  <c r="E57" i="14" s="1"/>
  <c r="AJ57" i="14"/>
  <c r="D57" i="14" s="1"/>
  <c r="AS106" i="14"/>
  <c r="D106" i="14" s="1"/>
  <c r="C106" i="14"/>
  <c r="AT106" i="14"/>
  <c r="AS105" i="14"/>
  <c r="D105" i="14" s="1"/>
  <c r="C105" i="14"/>
  <c r="AT105" i="14"/>
  <c r="AT93" i="14"/>
  <c r="AS93" i="14"/>
  <c r="D93" i="14" s="1"/>
  <c r="C93" i="14"/>
  <c r="C101" i="14"/>
  <c r="AS101" i="14"/>
  <c r="D101" i="14" s="1"/>
  <c r="AT101" i="14"/>
  <c r="AJ55" i="14"/>
  <c r="D55" i="14" s="1"/>
  <c r="AK55" i="14"/>
  <c r="E55" i="14" s="1"/>
  <c r="AS104" i="14"/>
  <c r="D104" i="14" s="1"/>
  <c r="AT104" i="14"/>
  <c r="C104" i="14"/>
  <c r="C112" i="14"/>
  <c r="AS112" i="14"/>
  <c r="D112" i="14" s="1"/>
  <c r="AT112" i="14"/>
  <c r="AT111" i="14"/>
  <c r="AS111" i="14"/>
  <c r="D111" i="14" s="1"/>
  <c r="C111" i="14"/>
  <c r="AK41" i="14"/>
  <c r="E41" i="14" s="1"/>
  <c r="AJ41" i="14"/>
  <c r="D41" i="14" s="1"/>
  <c r="AT99" i="14"/>
  <c r="AS99" i="14"/>
  <c r="D99" i="14" s="1"/>
  <c r="C99" i="14"/>
  <c r="AJ47" i="14"/>
  <c r="D47" i="14" s="1"/>
  <c r="AK47" i="14"/>
  <c r="E47" i="14" s="1"/>
  <c r="AJ56" i="14"/>
  <c r="D56" i="14" s="1"/>
  <c r="AK56" i="14"/>
  <c r="E56" i="14" s="1"/>
  <c r="AK59" i="14"/>
  <c r="E59" i="14" s="1"/>
  <c r="AJ59" i="14"/>
  <c r="D59" i="14" s="1"/>
  <c r="AR73" i="14"/>
  <c r="AS73" i="14"/>
  <c r="AJ39" i="14"/>
  <c r="D39" i="14" s="1"/>
  <c r="AK39" i="14"/>
  <c r="E39" i="14" s="1"/>
  <c r="AJ50" i="14"/>
  <c r="D50" i="14" s="1"/>
  <c r="AK50" i="14"/>
  <c r="E50" i="14" s="1"/>
  <c r="AJ45" i="14"/>
  <c r="D45" i="14" s="1"/>
  <c r="AK45" i="14"/>
  <c r="E45" i="14" s="1"/>
  <c r="AK43" i="14"/>
  <c r="E43" i="14" s="1"/>
  <c r="AJ43" i="14"/>
  <c r="D43" i="14" s="1"/>
  <c r="AR67" i="14"/>
  <c r="AS67" i="14"/>
  <c r="AU67" i="14" s="1"/>
  <c r="AW67" i="14" s="1"/>
  <c r="F67" i="14" s="1"/>
  <c r="AK52" i="14"/>
  <c r="E52" i="14" s="1"/>
  <c r="AJ52" i="14"/>
  <c r="D52" i="14" s="1"/>
  <c r="AJ49" i="14"/>
  <c r="D49" i="14" s="1"/>
  <c r="AK49" i="14"/>
  <c r="E49" i="14" s="1"/>
  <c r="AR69" i="14"/>
  <c r="AS69" i="14"/>
  <c r="AU69" i="14" s="1"/>
  <c r="AW69" i="14" s="1"/>
  <c r="F69" i="14" s="1"/>
  <c r="AS97" i="14"/>
  <c r="D97" i="14" s="1"/>
  <c r="C97" i="14"/>
  <c r="AT97" i="14"/>
  <c r="AR68" i="14"/>
  <c r="AS68" i="14"/>
  <c r="AU68" i="14" s="1"/>
  <c r="AW68" i="14" s="1"/>
  <c r="F68" i="14" s="1"/>
  <c r="AT100" i="14"/>
  <c r="C100" i="14"/>
  <c r="AS100" i="14"/>
  <c r="D100" i="14" s="1"/>
  <c r="AJ42" i="14"/>
  <c r="D42" i="14" s="1"/>
  <c r="AK42" i="14"/>
  <c r="E42" i="14" s="1"/>
  <c r="AD139" i="8"/>
  <c r="Q141" i="8"/>
  <c r="AJ48" i="14"/>
  <c r="D48" i="14" s="1"/>
  <c r="AK48" i="14"/>
  <c r="E48" i="14" s="1"/>
  <c r="AK53" i="14"/>
  <c r="E53" i="14" s="1"/>
  <c r="AJ53" i="14"/>
  <c r="D53" i="14" s="1"/>
  <c r="C107" i="14"/>
  <c r="AS107" i="14"/>
  <c r="D107" i="14" s="1"/>
  <c r="AT107" i="14"/>
  <c r="C98" i="14"/>
  <c r="AS98" i="14"/>
  <c r="D98" i="14" s="1"/>
  <c r="AT98" i="14"/>
  <c r="AS94" i="14"/>
  <c r="D94" i="14" s="1"/>
  <c r="AT94" i="14"/>
  <c r="C94" i="14"/>
  <c r="C92" i="14"/>
  <c r="AS92" i="14"/>
  <c r="D92" i="14" s="1"/>
  <c r="AS70" i="14"/>
  <c r="AU70" i="14" s="1"/>
  <c r="AW70" i="14" s="1"/>
  <c r="F70" i="14" s="1"/>
  <c r="AR70" i="14"/>
  <c r="AJ54" i="14"/>
  <c r="D54" i="14" s="1"/>
  <c r="AK54" i="14"/>
  <c r="E54" i="14" s="1"/>
  <c r="AR71" i="14"/>
  <c r="AS71" i="14"/>
  <c r="AS72" i="14"/>
  <c r="AR72" i="14"/>
  <c r="AM12" i="14" l="1"/>
  <c r="F12" i="14" s="1"/>
  <c r="AM10" i="14"/>
  <c r="F10" i="14" s="1"/>
  <c r="E10" i="14"/>
  <c r="AM11" i="14"/>
  <c r="F11" i="14" s="1"/>
  <c r="E11" i="14"/>
  <c r="AM25" i="14"/>
  <c r="F25" i="14" s="1"/>
  <c r="AM20" i="14"/>
  <c r="F20" i="14" s="1"/>
  <c r="AM16" i="14"/>
  <c r="F16" i="14" s="1"/>
  <c r="AM14" i="14"/>
  <c r="F14" i="14" s="1"/>
  <c r="AM24" i="14"/>
  <c r="F24" i="14" s="1"/>
  <c r="AM30" i="14"/>
  <c r="F30" i="14" s="1"/>
  <c r="AM15" i="14"/>
  <c r="F15" i="14" s="1"/>
  <c r="AM27" i="14"/>
  <c r="F27" i="14" s="1"/>
  <c r="AM26" i="14"/>
  <c r="F26" i="14" s="1"/>
  <c r="AM17" i="14"/>
  <c r="F17" i="14" s="1"/>
  <c r="AM22" i="14"/>
  <c r="F22" i="14" s="1"/>
  <c r="AM18" i="14"/>
  <c r="F18" i="14" s="1"/>
  <c r="AM23" i="14"/>
  <c r="F23" i="14" s="1"/>
  <c r="AM28" i="14"/>
  <c r="F28" i="14" s="1"/>
  <c r="AM21" i="14"/>
  <c r="F21" i="14" s="1"/>
  <c r="AM19" i="14"/>
  <c r="F19" i="14" s="1"/>
  <c r="AM13" i="14"/>
  <c r="F13" i="14" s="1"/>
  <c r="AM29" i="14"/>
  <c r="F29" i="14" s="1"/>
  <c r="E107" i="14"/>
  <c r="AU107" i="14"/>
  <c r="F107" i="14" s="1"/>
  <c r="E112" i="14"/>
  <c r="AU112" i="14"/>
  <c r="F112" i="14" s="1"/>
  <c r="E102" i="14"/>
  <c r="AU102" i="14"/>
  <c r="F102" i="14" s="1"/>
  <c r="E94" i="14"/>
  <c r="AU94" i="14"/>
  <c r="F94" i="14" s="1"/>
  <c r="AM42" i="14"/>
  <c r="F42" i="14" s="1"/>
  <c r="E97" i="14"/>
  <c r="AU97" i="14"/>
  <c r="F97" i="14" s="1"/>
  <c r="AM45" i="14"/>
  <c r="F45" i="14" s="1"/>
  <c r="E96" i="14"/>
  <c r="AU96" i="14"/>
  <c r="F96" i="14" s="1"/>
  <c r="AM51" i="14"/>
  <c r="F51" i="14" s="1"/>
  <c r="AM48" i="14"/>
  <c r="F48" i="14" s="1"/>
  <c r="AM49" i="14"/>
  <c r="F49" i="14" s="1"/>
  <c r="AM39" i="14"/>
  <c r="F39" i="14" s="1"/>
  <c r="E106" i="14"/>
  <c r="AU106" i="14"/>
  <c r="F106" i="14" s="1"/>
  <c r="AM54" i="14"/>
  <c r="F54" i="14" s="1"/>
  <c r="AM52" i="14"/>
  <c r="F52" i="14" s="1"/>
  <c r="AM47" i="14"/>
  <c r="F47" i="14" s="1"/>
  <c r="AM41" i="14"/>
  <c r="F41" i="14" s="1"/>
  <c r="E104" i="14"/>
  <c r="AU104" i="14"/>
  <c r="F104" i="14" s="1"/>
  <c r="E95" i="14"/>
  <c r="AU95" i="14"/>
  <c r="F95" i="14" s="1"/>
  <c r="AM43" i="14"/>
  <c r="F43" i="14" s="1"/>
  <c r="E98" i="14"/>
  <c r="AU98" i="14"/>
  <c r="F98" i="14" s="1"/>
  <c r="AM53" i="14"/>
  <c r="F53" i="14" s="1"/>
  <c r="AM58" i="14"/>
  <c r="F58" i="14" s="1"/>
  <c r="AM55" i="14"/>
  <c r="F55" i="14" s="1"/>
  <c r="E93" i="14"/>
  <c r="AU93" i="14"/>
  <c r="F93" i="14" s="1"/>
  <c r="AM57" i="14"/>
  <c r="F57" i="14" s="1"/>
  <c r="E110" i="14"/>
  <c r="AU110" i="14"/>
  <c r="F110" i="14" s="1"/>
  <c r="AM46" i="14"/>
  <c r="F46" i="14" s="1"/>
  <c r="AM50" i="14"/>
  <c r="F50" i="14" s="1"/>
  <c r="E111" i="14"/>
  <c r="AU111" i="14"/>
  <c r="F111" i="14" s="1"/>
  <c r="E105" i="14"/>
  <c r="AU105" i="14"/>
  <c r="F105" i="14" s="1"/>
  <c r="AM44" i="14"/>
  <c r="F44" i="14" s="1"/>
  <c r="E100" i="14"/>
  <c r="AU100" i="14"/>
  <c r="F100" i="14" s="1"/>
  <c r="AM59" i="14"/>
  <c r="F59" i="14" s="1"/>
  <c r="E108" i="14"/>
  <c r="AU108" i="14"/>
  <c r="F108" i="14" s="1"/>
  <c r="AM56" i="14"/>
  <c r="F56" i="14" s="1"/>
  <c r="E99" i="14"/>
  <c r="AU99" i="14"/>
  <c r="F99" i="14" s="1"/>
  <c r="E101" i="14"/>
  <c r="AU101" i="14"/>
  <c r="F101" i="14" s="1"/>
  <c r="E103" i="14"/>
  <c r="AU103" i="14"/>
  <c r="F103" i="14" s="1"/>
  <c r="AM40" i="14"/>
  <c r="F40" i="14" s="1"/>
  <c r="E109" i="14"/>
  <c r="AU109" i="14"/>
  <c r="F109" i="14" s="1"/>
  <c r="E68" i="14"/>
  <c r="AT68" i="14"/>
  <c r="D68" i="14" s="1"/>
  <c r="C68" i="14"/>
  <c r="E67" i="14"/>
  <c r="AT67" i="14"/>
  <c r="D67" i="14" s="1"/>
  <c r="C67" i="14"/>
  <c r="AT66" i="14"/>
  <c r="D66" i="14" s="1"/>
  <c r="C66" i="14"/>
  <c r="AU66" i="14"/>
  <c r="C70" i="14"/>
  <c r="E70" i="14"/>
  <c r="AT70" i="14"/>
  <c r="D70" i="14" s="1"/>
  <c r="AT73" i="14"/>
  <c r="D73" i="14" s="1"/>
  <c r="AU73" i="14"/>
  <c r="C73" i="14"/>
  <c r="C74" i="14"/>
  <c r="AT74" i="14"/>
  <c r="D74" i="14" s="1"/>
  <c r="AU74" i="14"/>
  <c r="D141" i="4"/>
  <c r="D40" i="4"/>
  <c r="D37" i="4"/>
  <c r="E69" i="14"/>
  <c r="AT69" i="14"/>
  <c r="D69" i="14" s="1"/>
  <c r="C69" i="14"/>
  <c r="C72" i="14"/>
  <c r="AU72" i="14"/>
  <c r="AT72" i="14"/>
  <c r="D72" i="14" s="1"/>
  <c r="C71" i="14"/>
  <c r="AU71" i="14"/>
  <c r="AT71" i="14"/>
  <c r="D71" i="14" s="1"/>
  <c r="Q145" i="8"/>
  <c r="AD141" i="8"/>
  <c r="E71" i="14" l="1"/>
  <c r="AW71" i="14"/>
  <c r="F71" i="14" s="1"/>
  <c r="E72" i="14"/>
  <c r="AW72" i="14"/>
  <c r="F72" i="14" s="1"/>
  <c r="E73" i="14"/>
  <c r="AW73" i="14"/>
  <c r="F73" i="14" s="1"/>
  <c r="E74" i="14"/>
  <c r="AW74" i="14"/>
  <c r="F74" i="14" s="1"/>
  <c r="E66" i="14"/>
  <c r="AW66" i="14"/>
  <c r="F66" i="14" s="1"/>
  <c r="C10" i="18"/>
  <c r="C11" i="18" s="1"/>
  <c r="D89" i="4"/>
  <c r="D142" i="4"/>
  <c r="D145" i="4"/>
  <c r="D44" i="4"/>
  <c r="D149" i="4" s="1"/>
  <c r="D92" i="4"/>
  <c r="D96" i="4" s="1"/>
  <c r="AD145" i="8"/>
  <c r="Q146" i="8"/>
  <c r="R152" i="8" s="1"/>
  <c r="R133" i="8" s="1"/>
  <c r="R134" i="8" s="1"/>
  <c r="R138" i="8" s="1"/>
  <c r="R139" i="8" s="1"/>
  <c r="R141" i="8" s="1"/>
  <c r="R145" i="8" s="1"/>
  <c r="Q147" i="8" l="1"/>
  <c r="E409" i="3" s="1"/>
  <c r="D45" i="4"/>
  <c r="F402" i="3"/>
  <c r="R146" i="8"/>
  <c r="S152" i="8" s="1"/>
  <c r="S133" i="8" l="1"/>
  <c r="S134" i="8" s="1"/>
  <c r="S138" i="8" s="1"/>
  <c r="S139" i="8" s="1"/>
  <c r="S141" i="8" s="1"/>
  <c r="S145" i="8" s="1"/>
  <c r="S146" i="8" s="1"/>
  <c r="T152" i="8" s="1"/>
  <c r="D25" i="10"/>
  <c r="D29" i="10" s="1"/>
  <c r="D39" i="10" s="1"/>
  <c r="D6" i="18" s="1"/>
  <c r="F406" i="3"/>
  <c r="F388" i="3"/>
  <c r="E46" i="4"/>
  <c r="T133" i="8" l="1"/>
  <c r="T134" i="8" s="1"/>
  <c r="T138" i="8" s="1"/>
  <c r="T139" i="8" s="1"/>
  <c r="T141" i="8" s="1"/>
  <c r="T145" i="8" s="1"/>
  <c r="T146" i="8" s="1"/>
  <c r="U152" i="8" s="1"/>
  <c r="D9" i="10"/>
  <c r="D14" i="10" s="1"/>
  <c r="D23" i="10" s="1"/>
  <c r="F399" i="3"/>
  <c r="U133" i="8" l="1"/>
  <c r="U134" i="8" s="1"/>
  <c r="U138" i="8" s="1"/>
  <c r="U139" i="8" s="1"/>
  <c r="U141" i="8" s="1"/>
  <c r="U145" i="8" s="1"/>
  <c r="U146" i="8" s="1"/>
  <c r="V152" i="8" s="1"/>
  <c r="D5" i="18"/>
  <c r="D7" i="18" s="1"/>
  <c r="D40" i="10"/>
  <c r="V133" i="8" l="1"/>
  <c r="V134" i="8" s="1"/>
  <c r="V138" i="8" s="1"/>
  <c r="V139" i="8" s="1"/>
  <c r="V141" i="8" s="1"/>
  <c r="V145" i="8" s="1"/>
  <c r="V146" i="8" s="1"/>
  <c r="W152" i="8" s="1"/>
  <c r="W133" i="8" l="1"/>
  <c r="W134" i="8" s="1"/>
  <c r="W138" i="8" s="1"/>
  <c r="W139" i="8" s="1"/>
  <c r="W141" i="8" s="1"/>
  <c r="W145" i="8" s="1"/>
  <c r="W146" i="8" s="1"/>
  <c r="X152" i="8" s="1"/>
  <c r="X133" i="8" l="1"/>
  <c r="X134" i="8" s="1"/>
  <c r="X138" i="8" s="1"/>
  <c r="X139" i="8" s="1"/>
  <c r="X141" i="8" s="1"/>
  <c r="X145" i="8" s="1"/>
  <c r="X146" i="8" s="1"/>
  <c r="Y152" i="8" s="1"/>
  <c r="Y133" i="8" l="1"/>
  <c r="Y134" i="8" l="1"/>
  <c r="Y138" i="8" l="1"/>
  <c r="Y139" i="8" l="1"/>
  <c r="Y141" i="8" l="1"/>
  <c r="Y145" i="8" l="1"/>
  <c r="Y146" i="8" l="1"/>
  <c r="Z152" i="8" s="1"/>
  <c r="Z133" i="8" s="1"/>
  <c r="Z134" i="8" l="1"/>
  <c r="Z138" i="8" l="1"/>
  <c r="Z139" i="8" l="1"/>
  <c r="Z141" i="8" l="1"/>
  <c r="Z145" i="8" l="1"/>
  <c r="Z146" i="8" s="1"/>
  <c r="AA152" i="8" l="1"/>
  <c r="AA133" i="8" s="1"/>
  <c r="AA134" i="8" l="1"/>
  <c r="AA138" i="8" l="1"/>
  <c r="AA139" i="8" l="1"/>
  <c r="AA141" i="8" l="1"/>
  <c r="AA145" i="8" l="1"/>
  <c r="AA146" i="8" l="1"/>
  <c r="AB152" i="8" l="1"/>
  <c r="AB133" i="8" s="1"/>
  <c r="AB134" i="8" l="1"/>
  <c r="AB138" i="8" l="1"/>
  <c r="AB139" i="8" l="1"/>
  <c r="AB141" i="8" l="1"/>
  <c r="AB145" i="8" l="1"/>
  <c r="AB146" i="8" l="1"/>
  <c r="AC152" i="8" l="1"/>
  <c r="AC133" i="8" s="1"/>
  <c r="AC134" i="8" l="1"/>
  <c r="AE133" i="8"/>
  <c r="F411" i="3" s="1"/>
  <c r="E30" i="4"/>
  <c r="E135" i="4" l="1"/>
  <c r="E31" i="4"/>
  <c r="E82" i="4"/>
  <c r="E83" i="4" s="1"/>
  <c r="E87" i="4" s="1"/>
  <c r="E88" i="4" s="1"/>
  <c r="AC138" i="8"/>
  <c r="AE134" i="8"/>
  <c r="AC139" i="8" l="1"/>
  <c r="AE138" i="8"/>
  <c r="E136" i="4"/>
  <c r="E35" i="4"/>
  <c r="E36" i="4" l="1"/>
  <c r="E140" i="4"/>
  <c r="AC141" i="8"/>
  <c r="AE139" i="8"/>
  <c r="AC145" i="8" l="1"/>
  <c r="AE141" i="8"/>
  <c r="E37" i="4"/>
  <c r="E40" i="4"/>
  <c r="E141" i="4"/>
  <c r="E44" i="4" l="1"/>
  <c r="E149" i="4" s="1"/>
  <c r="E145" i="4"/>
  <c r="E92" i="4"/>
  <c r="E96" i="4" s="1"/>
  <c r="E142" i="4"/>
  <c r="E89" i="4"/>
  <c r="D10" i="18"/>
  <c r="AE145" i="8"/>
  <c r="AC146" i="8"/>
  <c r="D11" i="18" l="1"/>
  <c r="G402" i="3"/>
  <c r="E45" i="4"/>
  <c r="AC147" i="8"/>
  <c r="F409" i="3" s="1"/>
  <c r="G388" i="3" l="1"/>
  <c r="E25" i="10"/>
  <c r="E29" i="10" s="1"/>
  <c r="E39" i="10" s="1"/>
  <c r="E6" i="18" s="1"/>
  <c r="G406" i="3"/>
  <c r="G399" i="3" l="1"/>
  <c r="E9" i="10"/>
  <c r="E14" i="10" s="1"/>
  <c r="E23" i="10" s="1"/>
  <c r="E40" i="10" l="1"/>
  <c r="E5" i="18"/>
  <c r="E7" i="18" l="1"/>
  <c r="F68" i="4"/>
  <c r="G121" i="4" l="1"/>
  <c r="G68" i="4"/>
  <c r="H408" i="3"/>
  <c r="H121" i="4"/>
  <c r="H68" i="4"/>
  <c r="I408" i="3"/>
  <c r="F46" i="4"/>
  <c r="G409" i="3" s="1"/>
  <c r="G411" i="3" s="1"/>
  <c r="F30" i="4" s="1"/>
  <c r="F31" i="4" s="1"/>
  <c r="G408" i="3"/>
  <c r="F121" i="4"/>
  <c r="F35" i="4" l="1"/>
  <c r="F136" i="4"/>
  <c r="F135" i="4"/>
  <c r="F82" i="4"/>
  <c r="F83" i="4" s="1"/>
  <c r="F87" i="4" s="1"/>
  <c r="F88" i="4" s="1"/>
  <c r="F36" i="4" l="1"/>
  <c r="F140" i="4"/>
  <c r="F40" i="4" l="1"/>
  <c r="F141" i="4"/>
  <c r="F37" i="4"/>
  <c r="E10" i="18" l="1"/>
  <c r="F142" i="4"/>
  <c r="F89" i="4"/>
  <c r="F92" i="4"/>
  <c r="F96" i="4" s="1"/>
  <c r="F145" i="4"/>
  <c r="F44" i="4"/>
  <c r="F45" i="4" l="1"/>
  <c r="F149" i="4"/>
  <c r="E11" i="18"/>
  <c r="H388" i="3" l="1"/>
  <c r="G46" i="4"/>
  <c r="H409" i="3" s="1"/>
  <c r="H411" i="3" s="1"/>
  <c r="G30" i="4" s="1"/>
  <c r="G31" i="4" s="1"/>
  <c r="H402" i="3"/>
  <c r="G35" i="4" l="1"/>
  <c r="G136" i="4"/>
  <c r="G82" i="4"/>
  <c r="G83" i="4" s="1"/>
  <c r="G87" i="4" s="1"/>
  <c r="G88" i="4" s="1"/>
  <c r="G135" i="4"/>
  <c r="F25" i="10"/>
  <c r="F29" i="10" s="1"/>
  <c r="F39" i="10" s="1"/>
  <c r="F6" i="18" s="1"/>
  <c r="H406" i="3"/>
  <c r="F9" i="10"/>
  <c r="F14" i="10" s="1"/>
  <c r="F23" i="10" s="1"/>
  <c r="H399" i="3"/>
  <c r="G140" i="4" l="1"/>
  <c r="G36" i="4"/>
  <c r="F5" i="18"/>
  <c r="F40" i="10"/>
  <c r="G40" i="4" l="1"/>
  <c r="G141" i="4"/>
  <c r="G37" i="4"/>
  <c r="F7" i="18"/>
  <c r="F10" i="18" l="1"/>
  <c r="F11" i="18" s="1"/>
  <c r="G142" i="4"/>
  <c r="G89" i="4"/>
  <c r="G44" i="4"/>
  <c r="G145" i="4"/>
  <c r="G92" i="4"/>
  <c r="G96" i="4" s="1"/>
  <c r="G149" i="4" l="1"/>
  <c r="G45" i="4"/>
  <c r="H46" i="4" l="1"/>
  <c r="I409" i="3" s="1"/>
  <c r="I411" i="3" s="1"/>
  <c r="H30" i="4" s="1"/>
  <c r="I388" i="3"/>
  <c r="I402" i="3"/>
  <c r="I406" i="3" l="1"/>
  <c r="G25" i="10"/>
  <c r="G29" i="10" s="1"/>
  <c r="G39" i="10" s="1"/>
  <c r="G6" i="18" s="1"/>
  <c r="H6" i="18" s="1"/>
  <c r="I399" i="3"/>
  <c r="G9" i="10"/>
  <c r="H31" i="4"/>
  <c r="H135" i="4"/>
  <c r="H82" i="4"/>
  <c r="H83" i="4" s="1"/>
  <c r="H87" i="4" s="1"/>
  <c r="H88" i="4" s="1"/>
  <c r="H35" i="4" l="1"/>
  <c r="H136" i="4"/>
  <c r="G14" i="10"/>
  <c r="G23" i="10" s="1"/>
  <c r="G40" i="10" l="1"/>
  <c r="G5" i="18"/>
  <c r="H140" i="4"/>
  <c r="H36" i="4"/>
  <c r="H37" i="4" l="1"/>
  <c r="H40" i="4"/>
  <c r="H141" i="4"/>
  <c r="G7" i="18"/>
  <c r="H7" i="18" s="1"/>
  <c r="H5" i="18"/>
  <c r="H145" i="4" l="1"/>
  <c r="H92" i="4"/>
  <c r="H96" i="4" s="1"/>
  <c r="H44" i="4"/>
  <c r="H89" i="4"/>
  <c r="H142" i="4"/>
  <c r="G10" i="18"/>
  <c r="H149" i="4" l="1"/>
  <c r="H45" i="4"/>
  <c r="H9" i="10"/>
  <c r="H14" i="10" s="1"/>
  <c r="H23" i="10" s="1"/>
  <c r="H40" i="10" s="1"/>
  <c r="H10" i="18"/>
  <c r="G11" i="18"/>
  <c r="H11" i="18" s="1"/>
  <c r="AF75" i="14"/>
  <c r="AJ75" i="14"/>
  <c r="AM75" i="14" s="1"/>
  <c r="AO75" i="14" l="1"/>
  <c r="AR75" i="14" s="1"/>
  <c r="AV75" i="14"/>
  <c r="AF78" i="14"/>
  <c r="AF77" i="14"/>
  <c r="AR76" i="14"/>
  <c r="AF80" i="14"/>
  <c r="AJ82" i="14"/>
  <c r="AM82" i="14" s="1"/>
  <c r="AF79" i="14"/>
  <c r="AJ76" i="14"/>
  <c r="AM76" i="14" s="1"/>
  <c r="AJ77" i="14"/>
  <c r="AM77" i="14" s="1"/>
  <c r="AJ81" i="14"/>
  <c r="AM81" i="14" s="1"/>
  <c r="X84" i="14"/>
  <c r="W84" i="14"/>
  <c r="AJ80" i="14"/>
  <c r="AM80" i="14" s="1"/>
  <c r="AJ79" i="14"/>
  <c r="AM79" i="14" s="1"/>
  <c r="AF82" i="14"/>
  <c r="AF81" i="14"/>
  <c r="AJ78" i="14"/>
  <c r="AM78" i="14" s="1"/>
  <c r="AO79" i="14" l="1"/>
  <c r="AR79" i="14" s="1"/>
  <c r="AV79" i="14"/>
  <c r="AO78" i="14"/>
  <c r="AS78" i="14" s="1"/>
  <c r="AV78" i="14"/>
  <c r="AO80" i="14"/>
  <c r="AR80" i="14" s="1"/>
  <c r="AV80" i="14"/>
  <c r="AO82" i="14"/>
  <c r="AR82" i="14" s="1"/>
  <c r="AV82" i="14"/>
  <c r="AO77" i="14"/>
  <c r="AS77" i="14" s="1"/>
  <c r="AT77" i="14" s="1"/>
  <c r="D77" i="14" s="1"/>
  <c r="AV77" i="14"/>
  <c r="AO81" i="14"/>
  <c r="AS81" i="14" s="1"/>
  <c r="AT81" i="14" s="1"/>
  <c r="D81" i="14" s="1"/>
  <c r="AV81" i="14"/>
  <c r="AS75" i="14"/>
  <c r="AU75" i="14" s="1"/>
  <c r="AS76" i="14"/>
  <c r="C76" i="14" s="1"/>
  <c r="E75" i="14" l="1"/>
  <c r="AW75" i="14"/>
  <c r="F75" i="14" s="1"/>
  <c r="AR77" i="14"/>
  <c r="AS79" i="14"/>
  <c r="C79" i="14" s="1"/>
  <c r="AR81" i="14"/>
  <c r="AR78" i="14"/>
  <c r="C75" i="14"/>
  <c r="AT75" i="14"/>
  <c r="D75" i="14" s="1"/>
  <c r="AT78" i="14"/>
  <c r="D78" i="14" s="1"/>
  <c r="AU78" i="14"/>
  <c r="AS82" i="14"/>
  <c r="AT82" i="14" s="1"/>
  <c r="D82" i="14" s="1"/>
  <c r="AS80" i="14"/>
  <c r="AT80" i="14" s="1"/>
  <c r="D80" i="14" s="1"/>
  <c r="C78" i="14"/>
  <c r="AU76" i="14"/>
  <c r="AT76" i="14"/>
  <c r="D76" i="14" s="1"/>
  <c r="C81" i="14"/>
  <c r="AU81" i="14"/>
  <c r="AU77" i="14"/>
  <c r="C77" i="14"/>
  <c r="AT79" i="14" l="1"/>
  <c r="D79" i="14" s="1"/>
  <c r="E76" i="14"/>
  <c r="AW76" i="14"/>
  <c r="F76" i="14" s="1"/>
  <c r="E77" i="14"/>
  <c r="AW77" i="14"/>
  <c r="F77" i="14" s="1"/>
  <c r="E78" i="14"/>
  <c r="AW78" i="14"/>
  <c r="F78" i="14" s="1"/>
  <c r="E81" i="14"/>
  <c r="AW81" i="14"/>
  <c r="F81" i="14" s="1"/>
  <c r="AU79" i="14"/>
  <c r="C80" i="14"/>
  <c r="AU80" i="14"/>
  <c r="AU82" i="14"/>
  <c r="C82" i="14"/>
  <c r="E82" i="14" l="1"/>
  <c r="AW82" i="14"/>
  <c r="F82" i="14" s="1"/>
  <c r="E80" i="14"/>
  <c r="AW80" i="14"/>
  <c r="F80" i="14" s="1"/>
  <c r="E79" i="14"/>
  <c r="AW79" i="14"/>
  <c r="F79" i="14" s="1"/>
  <c r="E92"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Brad Marceniuk</author>
  </authors>
  <commentList>
    <comment ref="D69" authorId="0" shapeId="0" xr:uid="{00000000-0006-0000-0200-000001000000}">
      <text>
        <r>
          <rPr>
            <b/>
            <sz val="8"/>
            <color indexed="81"/>
            <rFont val="Tahoma"/>
            <family val="2"/>
          </rPr>
          <t>Brad Marceniuk:</t>
        </r>
        <r>
          <rPr>
            <sz val="8"/>
            <color indexed="81"/>
            <rFont val="Tahoma"/>
            <family val="2"/>
          </rPr>
          <t xml:space="preserve">
Units can be per
- bushel,
- ton,
- tonne;
depending on the feed item.</t>
        </r>
      </text>
    </comment>
    <comment ref="E69" authorId="0" shapeId="0" xr:uid="{00000000-0006-0000-0200-000002000000}">
      <text>
        <r>
          <rPr>
            <b/>
            <sz val="8"/>
            <color indexed="81"/>
            <rFont val="Tahoma"/>
            <family val="2"/>
          </rPr>
          <t>Brad Marceniuk:</t>
        </r>
        <r>
          <rPr>
            <sz val="8"/>
            <color indexed="81"/>
            <rFont val="Tahoma"/>
            <family val="2"/>
          </rPr>
          <t xml:space="preserve">
Cost per unit should correlate with the type  of units in the previous column used.</t>
        </r>
      </text>
    </comment>
    <comment ref="F69" authorId="0" shapeId="0" xr:uid="{00000000-0006-0000-0200-000003000000}">
      <text>
        <r>
          <rPr>
            <b/>
            <sz val="8"/>
            <color indexed="81"/>
            <rFont val="Tahoma"/>
            <family val="2"/>
          </rPr>
          <t>Brad Marceniuk:</t>
        </r>
        <r>
          <rPr>
            <sz val="8"/>
            <color indexed="81"/>
            <rFont val="Tahoma"/>
            <family val="2"/>
          </rPr>
          <t xml:space="preserve">
Sum of total feed costs for that specific commodity or feed. </t>
        </r>
      </text>
    </comment>
    <comment ref="G69" authorId="0" shapeId="0" xr:uid="{00000000-0006-0000-0200-000004000000}">
      <text>
        <r>
          <rPr>
            <b/>
            <sz val="8"/>
            <color indexed="81"/>
            <rFont val="Tahoma"/>
            <family val="2"/>
          </rPr>
          <t>Brad Marceniuk:</t>
        </r>
        <r>
          <rPr>
            <sz val="8"/>
            <color indexed="81"/>
            <rFont val="Tahoma"/>
            <family val="2"/>
          </rPr>
          <t xml:space="preserve">
Units can be per
- bushel,
- ton,
- tonne;
depending on the feed item.</t>
        </r>
      </text>
    </comment>
    <comment ref="H69" authorId="0" shapeId="0" xr:uid="{00000000-0006-0000-0200-000005000000}">
      <text>
        <r>
          <rPr>
            <b/>
            <sz val="8"/>
            <color indexed="81"/>
            <rFont val="Tahoma"/>
            <family val="2"/>
          </rPr>
          <t>Brad Marceniuk:</t>
        </r>
        <r>
          <rPr>
            <sz val="8"/>
            <color indexed="81"/>
            <rFont val="Tahoma"/>
            <family val="2"/>
          </rPr>
          <t xml:space="preserve">
Cost per unit should correlate with the type  of units in the previous column used.</t>
        </r>
      </text>
    </comment>
    <comment ref="I69" authorId="0" shapeId="0" xr:uid="{00000000-0006-0000-0200-000006000000}">
      <text>
        <r>
          <rPr>
            <b/>
            <sz val="8"/>
            <color indexed="81"/>
            <rFont val="Tahoma"/>
            <family val="2"/>
          </rPr>
          <t>Brad Marceniuk:</t>
        </r>
        <r>
          <rPr>
            <sz val="8"/>
            <color indexed="81"/>
            <rFont val="Tahoma"/>
            <family val="2"/>
          </rPr>
          <t xml:space="preserve">
Sum of total feed costs for that specific commodity or feed. </t>
        </r>
      </text>
    </comment>
    <comment ref="C70" authorId="0" shapeId="0" xr:uid="{00000000-0006-0000-0200-000007000000}">
      <text>
        <r>
          <rPr>
            <b/>
            <sz val="8"/>
            <color indexed="81"/>
            <rFont val="Tahoma"/>
            <family val="2"/>
          </rPr>
          <t>Brad Marceniuk:</t>
        </r>
        <r>
          <rPr>
            <sz val="8"/>
            <color indexed="81"/>
            <rFont val="Tahoma"/>
            <family val="2"/>
          </rPr>
          <t xml:space="preserve">
-Grains Produced would include all the costs to produce the grain including seed, fertilizer, chemical, field work, swathing, combining, trucking, etc.
-If grain produced from the previous year was in inventory at the start of this year, grain usage can be calculated by taking the production inventory at the start of the year, add new crop production, and subtract the year ending grain inventory/value.</t>
        </r>
      </text>
    </comment>
    <comment ref="C73" authorId="0" shapeId="0" xr:uid="{00000000-0006-0000-0200-000008000000}">
      <text>
        <r>
          <rPr>
            <b/>
            <sz val="8"/>
            <color indexed="81"/>
            <rFont val="Tahoma"/>
            <family val="2"/>
          </rPr>
          <t>Brad Marceniuk:</t>
        </r>
        <r>
          <rPr>
            <sz val="8"/>
            <color indexed="81"/>
            <rFont val="Tahoma"/>
            <family val="2"/>
          </rPr>
          <t xml:space="preserve">
-Grains/Vitamin/Supplement costs would be the total costs for the year the feed was used. 
-If feed was carried forward from the previous year, the feed amount/cost would be calculated by taking the amount/value of starting inventory at the beginning of the year, add feed purchases during the year, and subtract the year ending feed amount/value.</t>
        </r>
      </text>
    </comment>
    <comment ref="C76" authorId="0" shapeId="0" xr:uid="{00000000-0006-0000-0200-000009000000}">
      <text>
        <r>
          <rPr>
            <b/>
            <sz val="8"/>
            <color indexed="81"/>
            <rFont val="Tahoma"/>
            <family val="2"/>
          </rPr>
          <t>Brad Marceniuk:</t>
        </r>
        <r>
          <rPr>
            <sz val="8"/>
            <color indexed="81"/>
            <rFont val="Tahoma"/>
            <family val="2"/>
          </rPr>
          <t xml:space="preserve">
-Pasture production costs would include the costs to produce and maintain the pasture such as seed, fert., water, fencing, etc.</t>
        </r>
      </text>
    </comment>
    <comment ref="C77" authorId="0" shapeId="0" xr:uid="{00000000-0006-0000-0200-00000A000000}">
      <text>
        <r>
          <rPr>
            <b/>
            <sz val="8"/>
            <color indexed="81"/>
            <rFont val="Tahoma"/>
            <family val="2"/>
          </rPr>
          <t>Brad Marceniuk:</t>
        </r>
        <r>
          <rPr>
            <sz val="8"/>
            <color indexed="81"/>
            <rFont val="Tahoma"/>
            <family val="2"/>
          </rPr>
          <t xml:space="preserve">
-Cost to rent or lease pasture for the animals during the year.</t>
        </r>
      </text>
    </comment>
    <comment ref="C78" authorId="0" shapeId="0" xr:uid="{00000000-0006-0000-0200-00000B000000}">
      <text>
        <r>
          <rPr>
            <b/>
            <sz val="8"/>
            <color indexed="81"/>
            <rFont val="Tahoma"/>
            <family val="2"/>
          </rPr>
          <t>Brad Marceniuk:</t>
        </r>
        <r>
          <rPr>
            <sz val="8"/>
            <color indexed="81"/>
            <rFont val="Tahoma"/>
            <family val="2"/>
          </rPr>
          <t xml:space="preserve">
-Cost to produce the hay including seed, fertilizer, cutting, baling, hauling, etc. 
-If hay produced from the previous year was in inventory at the beginning of the year, actual hay usage can be calculated by taking hay production inventory at the start of year, add new hay production during the year, and subtract the year ending hay inventory/value.</t>
        </r>
      </text>
    </comment>
    <comment ref="C79" authorId="0" shapeId="0" xr:uid="{00000000-0006-0000-0200-00000C000000}">
      <text>
        <r>
          <rPr>
            <b/>
            <sz val="8"/>
            <color indexed="81"/>
            <rFont val="Tahoma"/>
            <family val="2"/>
          </rPr>
          <t>Brad Marceniuk:</t>
        </r>
        <r>
          <rPr>
            <sz val="8"/>
            <color indexed="81"/>
            <rFont val="Tahoma"/>
            <family val="2"/>
          </rPr>
          <t xml:space="preserve">
-Hay purchase costs are the costs of feeding hay that was purchased during the year.
-If hay was carried forward from the previous year, actual hay usage can be calculated by taking the beginning hay inventory amount/value, add the new hay purchases, and subtract ending hay inventory amount/value.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Brad Marceniuk</author>
    <author>Marceniuk, Brad AG</author>
    <author>tc={B1C59C9E-A3DF-4ADC-85B9-396D3E5FB508}</author>
    <author>tc={FF9D462B-E13A-468E-A02D-FFD002A30154}</author>
  </authors>
  <commentList>
    <comment ref="E16" authorId="0" shapeId="0" xr:uid="{00000000-0006-0000-0300-000001000000}">
      <text>
        <r>
          <rPr>
            <b/>
            <sz val="8"/>
            <color indexed="81"/>
            <rFont val="Tahoma"/>
            <family val="2"/>
          </rPr>
          <t>Brad Marceniuk:</t>
        </r>
        <r>
          <rPr>
            <sz val="8"/>
            <color indexed="81"/>
            <rFont val="Tahoma"/>
            <family val="2"/>
          </rPr>
          <t xml:space="preserve">
-</t>
        </r>
        <r>
          <rPr>
            <sz val="9"/>
            <color indexed="81"/>
            <rFont val="Tahoma"/>
            <family val="2"/>
          </rPr>
          <t>Number of ewes in the flock at the beginning of the year.</t>
        </r>
      </text>
    </comment>
    <comment ref="F16" authorId="1" shapeId="0" xr:uid="{00000000-0006-0000-0300-000002000000}">
      <text>
        <r>
          <rPr>
            <b/>
            <sz val="9"/>
            <color indexed="81"/>
            <rFont val="Tahoma"/>
            <family val="2"/>
          </rPr>
          <t>Marceniuk, Brad AG:</t>
        </r>
        <r>
          <rPr>
            <sz val="9"/>
            <color indexed="81"/>
            <rFont val="Tahoma"/>
            <family val="2"/>
          </rPr>
          <t xml:space="preserve">
</t>
        </r>
        <r>
          <rPr>
            <sz val="9"/>
            <color indexed="81"/>
            <rFont val="Tahoma"/>
            <family val="2"/>
          </rPr>
          <t>Year 1 numbers will be transferred through to year 5 automatically, but numbers can be changed for individual years.</t>
        </r>
      </text>
    </comment>
    <comment ref="E17" authorId="1" shapeId="0" xr:uid="{00000000-0006-0000-0300-000003000000}">
      <text>
        <r>
          <rPr>
            <b/>
            <sz val="9"/>
            <color indexed="81"/>
            <rFont val="Tahoma"/>
            <family val="2"/>
          </rPr>
          <t>Marceniuk, Brad AG:</t>
        </r>
        <r>
          <rPr>
            <sz val="9"/>
            <color indexed="81"/>
            <rFont val="Tahoma"/>
            <family val="2"/>
          </rPr>
          <t xml:space="preserve">
-Number of rams in the flock at the start of the year.</t>
        </r>
      </text>
    </comment>
    <comment ref="E18" authorId="1" shapeId="0" xr:uid="{00000000-0006-0000-0300-000004000000}">
      <text>
        <r>
          <rPr>
            <b/>
            <sz val="9"/>
            <color indexed="81"/>
            <rFont val="Tahoma"/>
            <family val="2"/>
          </rPr>
          <t>Marceniuk, Brad AG:</t>
        </r>
        <r>
          <rPr>
            <sz val="9"/>
            <color indexed="81"/>
            <rFont val="Tahoma"/>
            <family val="2"/>
          </rPr>
          <t xml:space="preserve">
Number of open ewes held at start of the year.</t>
        </r>
      </text>
    </comment>
    <comment ref="E19" authorId="1" shapeId="0" xr:uid="{00000000-0006-0000-0300-000005000000}">
      <text>
        <r>
          <rPr>
            <b/>
            <sz val="9"/>
            <color indexed="81"/>
            <rFont val="Tahoma"/>
            <family val="2"/>
          </rPr>
          <t>Marceniuk, Brad AG:</t>
        </r>
        <r>
          <rPr>
            <sz val="9"/>
            <color indexed="81"/>
            <rFont val="Tahoma"/>
            <family val="2"/>
          </rPr>
          <t xml:space="preserve">
Percent of the ewes estimated will die over the year.</t>
        </r>
      </text>
    </comment>
    <comment ref="D20" authorId="0" shapeId="0" xr:uid="{00000000-0006-0000-0300-000006000000}">
      <text>
        <r>
          <rPr>
            <b/>
            <sz val="8"/>
            <color indexed="81"/>
            <rFont val="Tahoma"/>
            <family val="2"/>
          </rPr>
          <t>Brad Marceniuk:</t>
        </r>
        <r>
          <rPr>
            <sz val="8"/>
            <color indexed="81"/>
            <rFont val="Tahoma"/>
            <family val="2"/>
          </rPr>
          <t xml:space="preserve">
Calculated from ewe flock at the start of the year.</t>
        </r>
      </text>
    </comment>
    <comment ref="E21" authorId="1" shapeId="0" xr:uid="{00000000-0006-0000-0300-000007000000}">
      <text>
        <r>
          <rPr>
            <b/>
            <sz val="9"/>
            <color indexed="81"/>
            <rFont val="Tahoma"/>
            <family val="2"/>
          </rPr>
          <t>Marceniuk, Brad AG:</t>
        </r>
        <r>
          <rPr>
            <sz val="9"/>
            <color indexed="81"/>
            <rFont val="Tahoma"/>
            <family val="2"/>
          </rPr>
          <t xml:space="preserve">
Percent of the ewes estimated will be culled over the year.
</t>
        </r>
      </text>
    </comment>
    <comment ref="E26" authorId="1" shapeId="0" xr:uid="{00000000-0006-0000-0300-000008000000}">
      <text>
        <r>
          <rPr>
            <b/>
            <sz val="9"/>
            <color indexed="81"/>
            <rFont val="Tahoma"/>
            <family val="2"/>
          </rPr>
          <t>Marceniuk, Brad AG:</t>
        </r>
        <r>
          <rPr>
            <sz val="9"/>
            <color indexed="81"/>
            <rFont val="Tahoma"/>
            <family val="2"/>
          </rPr>
          <t xml:space="preserve">
-Average estimated purchase price or estimated market value of ewes.</t>
        </r>
      </text>
    </comment>
    <comment ref="E28" authorId="1" shapeId="0" xr:uid="{00000000-0006-0000-0300-000009000000}">
      <text>
        <r>
          <rPr>
            <b/>
            <sz val="9"/>
            <color indexed="81"/>
            <rFont val="Tahoma"/>
            <family val="2"/>
          </rPr>
          <t>Marceniuk, Brad AG:</t>
        </r>
        <r>
          <rPr>
            <sz val="9"/>
            <color indexed="81"/>
            <rFont val="Tahoma"/>
            <family val="2"/>
          </rPr>
          <t xml:space="preserve">
Percent of the rams estimated will die during the year.</t>
        </r>
      </text>
    </comment>
    <comment ref="D29" authorId="0" shapeId="0" xr:uid="{00000000-0006-0000-0300-00000A000000}">
      <text>
        <r>
          <rPr>
            <b/>
            <sz val="8"/>
            <color indexed="81"/>
            <rFont val="Tahoma"/>
            <family val="2"/>
          </rPr>
          <t>Brad Marceniuk:</t>
        </r>
        <r>
          <rPr>
            <sz val="8"/>
            <color indexed="81"/>
            <rFont val="Tahoma"/>
            <family val="2"/>
          </rPr>
          <t xml:space="preserve">
Calculated from herd sires at the start of the cycle.</t>
        </r>
      </text>
    </comment>
    <comment ref="E30" authorId="1" shapeId="0" xr:uid="{00000000-0006-0000-0300-00000B000000}">
      <text>
        <r>
          <rPr>
            <b/>
            <sz val="9"/>
            <color indexed="81"/>
            <rFont val="Tahoma"/>
            <family val="2"/>
          </rPr>
          <t>Marceniuk, Brad AG:</t>
        </r>
        <r>
          <rPr>
            <sz val="9"/>
            <color indexed="81"/>
            <rFont val="Tahoma"/>
            <family val="2"/>
          </rPr>
          <t xml:space="preserve">
Percent of the rams estimated will be culled in the year.</t>
        </r>
      </text>
    </comment>
    <comment ref="E33" authorId="1" shapeId="0" xr:uid="{00000000-0006-0000-0300-00000C000000}">
      <text>
        <r>
          <rPr>
            <b/>
            <sz val="9"/>
            <color indexed="81"/>
            <rFont val="Tahoma"/>
            <family val="2"/>
          </rPr>
          <t>Marceniuk, Brad AG:</t>
        </r>
        <r>
          <rPr>
            <sz val="9"/>
            <color indexed="81"/>
            <rFont val="Tahoma"/>
            <family val="2"/>
          </rPr>
          <t xml:space="preserve">
Average estimated purchase price of rams.</t>
        </r>
      </text>
    </comment>
    <comment ref="E36" authorId="2" shapeId="0" xr:uid="{B1C59C9E-A3DF-4ADC-85B9-396D3E5FB508}">
      <text>
        <t>[Threaded comment]
Your version of Excel allows you to read this threaded comment; however, any edits to it will get removed if the file is opened in a newer version of Excel. Learn more: https://go.microsoft.com/fwlink/?linkid=870924
Comment:
    Estimated average number of ewes lambing per month.</t>
      </text>
    </comment>
    <comment ref="E37" authorId="1" shapeId="0" xr:uid="{00000000-0006-0000-0300-00000D000000}">
      <text>
        <r>
          <rPr>
            <b/>
            <sz val="9"/>
            <color indexed="81"/>
            <rFont val="Tahoma"/>
            <family val="2"/>
          </rPr>
          <t>Marceniuk, Brad AG:</t>
        </r>
        <r>
          <rPr>
            <sz val="9"/>
            <color indexed="81"/>
            <rFont val="Tahoma"/>
            <family val="2"/>
          </rPr>
          <t xml:space="preserve">
Average estimated lambing rate for the year. Lambing rates will vary with type of breeding stock.</t>
        </r>
      </text>
    </comment>
    <comment ref="D38" authorId="0" shapeId="0" xr:uid="{00000000-0006-0000-0300-00000E000000}">
      <text>
        <r>
          <rPr>
            <b/>
            <sz val="8"/>
            <color indexed="81"/>
            <rFont val="Tahoma"/>
            <family val="2"/>
          </rPr>
          <t>Brad Marceniuk:</t>
        </r>
        <r>
          <rPr>
            <sz val="8"/>
            <color indexed="81"/>
            <rFont val="Tahoma"/>
            <family val="2"/>
          </rPr>
          <t xml:space="preserve">
Calculated from herd sires at the start of the year.</t>
        </r>
      </text>
    </comment>
    <comment ref="D39" authorId="0" shapeId="0" xr:uid="{00000000-0006-0000-0300-00000F000000}">
      <text>
        <r>
          <rPr>
            <b/>
            <sz val="8"/>
            <color indexed="81"/>
            <rFont val="Tahoma"/>
            <family val="2"/>
          </rPr>
          <t>Brad Marceniuk:</t>
        </r>
        <r>
          <rPr>
            <sz val="8"/>
            <color indexed="81"/>
            <rFont val="Tahoma"/>
            <family val="2"/>
          </rPr>
          <t xml:space="preserve">
Calculated from herd sires at the start of the year.</t>
        </r>
      </text>
    </comment>
    <comment ref="E40" authorId="1" shapeId="0" xr:uid="{00000000-0006-0000-0300-000010000000}">
      <text>
        <r>
          <rPr>
            <b/>
            <sz val="9"/>
            <color indexed="81"/>
            <rFont val="Tahoma"/>
            <family val="2"/>
          </rPr>
          <t>Marceniuk, Brad AG:</t>
        </r>
        <r>
          <rPr>
            <sz val="9"/>
            <color indexed="81"/>
            <rFont val="Tahoma"/>
            <family val="2"/>
          </rPr>
          <t xml:space="preserve">
Estimated percent of lamb death loss from birth to weaning. </t>
        </r>
      </text>
    </comment>
    <comment ref="E44" authorId="1" shapeId="0" xr:uid="{00000000-0006-0000-0300-000011000000}">
      <text>
        <r>
          <rPr>
            <b/>
            <sz val="9"/>
            <color indexed="81"/>
            <rFont val="Tahoma"/>
            <family val="2"/>
          </rPr>
          <t>Marceniuk, Brad AG:</t>
        </r>
        <r>
          <rPr>
            <sz val="9"/>
            <color indexed="81"/>
            <rFont val="Tahoma"/>
            <family val="2"/>
          </rPr>
          <t xml:space="preserve">
Percent of lamb death loss estimated from wean to market.</t>
        </r>
      </text>
    </comment>
    <comment ref="E51" authorId="1" shapeId="0" xr:uid="{00000000-0006-0000-0300-000013000000}">
      <text>
        <r>
          <rPr>
            <b/>
            <sz val="9"/>
            <color indexed="81"/>
            <rFont val="Tahoma"/>
            <family val="2"/>
          </rPr>
          <t>Marceniuk, Brad AG:</t>
        </r>
        <r>
          <rPr>
            <sz val="9"/>
            <color indexed="81"/>
            <rFont val="Tahoma"/>
            <family val="2"/>
          </rPr>
          <t xml:space="preserve">
Average selling weight of feeder lambs (&lt;90Lb.)</t>
        </r>
      </text>
    </comment>
    <comment ref="E52" authorId="1" shapeId="0" xr:uid="{00000000-0006-0000-0300-000012000000}">
      <text>
        <r>
          <rPr>
            <b/>
            <sz val="9"/>
            <color indexed="81"/>
            <rFont val="Tahoma"/>
            <family val="2"/>
          </rPr>
          <t>Marceniuk, Brad AG:</t>
        </r>
        <r>
          <rPr>
            <sz val="9"/>
            <color indexed="81"/>
            <rFont val="Tahoma"/>
            <family val="2"/>
          </rPr>
          <t xml:space="preserve">
Number of feeder lambs sold from the cycle (&lt;90lb.). 
Will automatically put number of lambs available for sale above if there is a weight in Input#17.  </t>
        </r>
      </text>
    </comment>
    <comment ref="E53" authorId="1" shapeId="0" xr:uid="{00000000-0006-0000-0300-000014000000}">
      <text>
        <r>
          <rPr>
            <b/>
            <sz val="9"/>
            <color indexed="81"/>
            <rFont val="Tahoma"/>
            <family val="2"/>
          </rPr>
          <t>Marceniuk, Brad AG:</t>
        </r>
        <r>
          <rPr>
            <sz val="9"/>
            <color indexed="81"/>
            <rFont val="Tahoma"/>
            <family val="2"/>
          </rPr>
          <t xml:space="preserve">
Average selling price in $/lb. for feeder lambs.</t>
        </r>
      </text>
    </comment>
    <comment ref="E56" authorId="1" shapeId="0" xr:uid="{00000000-0006-0000-0300-000016000000}">
      <text>
        <r>
          <rPr>
            <b/>
            <sz val="9"/>
            <color indexed="81"/>
            <rFont val="Tahoma"/>
            <family val="2"/>
          </rPr>
          <t>Marceniuk, Brad AG:</t>
        </r>
        <r>
          <rPr>
            <sz val="9"/>
            <color indexed="81"/>
            <rFont val="Tahoma"/>
            <family val="2"/>
          </rPr>
          <t xml:space="preserve">
Average weight of slaughter weight lambs sold over the year.</t>
        </r>
      </text>
    </comment>
    <comment ref="E58" authorId="1" shapeId="0" xr:uid="{00000000-0006-0000-0300-000017000000}">
      <text>
        <r>
          <rPr>
            <b/>
            <sz val="9"/>
            <color indexed="81"/>
            <rFont val="Tahoma"/>
            <family val="2"/>
          </rPr>
          <t>Marceniuk, Brad AG:</t>
        </r>
        <r>
          <rPr>
            <sz val="9"/>
            <color indexed="81"/>
            <rFont val="Tahoma"/>
            <family val="2"/>
          </rPr>
          <t xml:space="preserve">
Average slaughter weight selling price, $/lb.</t>
        </r>
      </text>
    </comment>
    <comment ref="E62" authorId="1" shapeId="0" xr:uid="{00000000-0006-0000-0300-000018000000}">
      <text>
        <r>
          <rPr>
            <b/>
            <sz val="9"/>
            <color indexed="81"/>
            <rFont val="Tahoma"/>
            <family val="2"/>
          </rPr>
          <t>Marceniuk, Brad AG:</t>
        </r>
        <r>
          <rPr>
            <sz val="9"/>
            <color indexed="81"/>
            <rFont val="Tahoma"/>
            <family val="2"/>
          </rPr>
          <t xml:space="preserve">
Number of breeding ewes sold from the year.</t>
        </r>
      </text>
    </comment>
    <comment ref="E63" authorId="1" shapeId="0" xr:uid="{00000000-0006-0000-0300-000019000000}">
      <text>
        <r>
          <rPr>
            <b/>
            <sz val="9"/>
            <color indexed="81"/>
            <rFont val="Tahoma"/>
            <family val="2"/>
          </rPr>
          <t>Marceniuk, Brad AG:</t>
        </r>
        <r>
          <rPr>
            <sz val="9"/>
            <color indexed="81"/>
            <rFont val="Tahoma"/>
            <family val="2"/>
          </rPr>
          <t xml:space="preserve">
Average selling price of breeding ewes, $/head.</t>
        </r>
      </text>
    </comment>
    <comment ref="E64" authorId="1" shapeId="0" xr:uid="{00000000-0006-0000-0300-00001A000000}">
      <text>
        <r>
          <rPr>
            <b/>
            <sz val="9"/>
            <color indexed="81"/>
            <rFont val="Tahoma"/>
            <family val="2"/>
          </rPr>
          <t>Marceniuk, Brad AG:</t>
        </r>
        <r>
          <rPr>
            <sz val="9"/>
            <color indexed="81"/>
            <rFont val="Tahoma"/>
            <family val="2"/>
          </rPr>
          <t xml:space="preserve">
Number of breeding rams sold from the year.</t>
        </r>
      </text>
    </comment>
    <comment ref="E65" authorId="1" shapeId="0" xr:uid="{00000000-0006-0000-0300-00001B000000}">
      <text>
        <r>
          <rPr>
            <b/>
            <sz val="9"/>
            <color indexed="81"/>
            <rFont val="Tahoma"/>
            <family val="2"/>
          </rPr>
          <t>Marceniuk, Brad AG:</t>
        </r>
        <r>
          <rPr>
            <sz val="9"/>
            <color indexed="81"/>
            <rFont val="Tahoma"/>
            <family val="2"/>
          </rPr>
          <t xml:space="preserve">
Average selling price of breeding rams, $/head.</t>
        </r>
      </text>
    </comment>
    <comment ref="E66" authorId="1" shapeId="0" xr:uid="{00000000-0006-0000-0300-00001C000000}">
      <text>
        <r>
          <rPr>
            <b/>
            <sz val="9"/>
            <color indexed="81"/>
            <rFont val="Tahoma"/>
            <family val="2"/>
          </rPr>
          <t>Marceniuk, Brad AG:</t>
        </r>
        <r>
          <rPr>
            <sz val="9"/>
            <color indexed="81"/>
            <rFont val="Tahoma"/>
            <family val="2"/>
          </rPr>
          <t xml:space="preserve">
Number of breeding ewe lamb sales.</t>
        </r>
      </text>
    </comment>
    <comment ref="E67" authorId="1" shapeId="0" xr:uid="{00000000-0006-0000-0300-00001D000000}">
      <text>
        <r>
          <rPr>
            <b/>
            <sz val="9"/>
            <color indexed="81"/>
            <rFont val="Tahoma"/>
            <family val="2"/>
          </rPr>
          <t>Marceniuk, Brad AG:</t>
        </r>
        <r>
          <rPr>
            <sz val="9"/>
            <color indexed="81"/>
            <rFont val="Tahoma"/>
            <family val="2"/>
          </rPr>
          <t xml:space="preserve">
Average selling price of breeding lamb sales, $/head.</t>
        </r>
      </text>
    </comment>
    <comment ref="E70" authorId="1" shapeId="0" xr:uid="{00000000-0006-0000-0300-00001E000000}">
      <text>
        <r>
          <rPr>
            <b/>
            <sz val="9"/>
            <color indexed="81"/>
            <rFont val="Tahoma"/>
            <family val="2"/>
          </rPr>
          <t>Marceniuk, Brad AG:</t>
        </r>
        <r>
          <rPr>
            <sz val="9"/>
            <color indexed="81"/>
            <rFont val="Tahoma"/>
            <family val="2"/>
          </rPr>
          <t xml:space="preserve">
Calculated based on multiplying input#1 by input#5.</t>
        </r>
      </text>
    </comment>
    <comment ref="E71" authorId="1" shapeId="0" xr:uid="{00000000-0006-0000-0300-00001F000000}">
      <text>
        <r>
          <rPr>
            <b/>
            <sz val="9"/>
            <color indexed="81"/>
            <rFont val="Tahoma"/>
            <family val="2"/>
          </rPr>
          <t>Marceniuk, Brad AG:</t>
        </r>
        <r>
          <rPr>
            <sz val="9"/>
            <color indexed="81"/>
            <rFont val="Tahoma"/>
            <family val="2"/>
          </rPr>
          <t xml:space="preserve">
Average culling weight of ewes in pounds.</t>
        </r>
      </text>
    </comment>
    <comment ref="E72" authorId="1" shapeId="0" xr:uid="{00000000-0006-0000-0300-000020000000}">
      <text>
        <r>
          <rPr>
            <b/>
            <sz val="9"/>
            <color indexed="81"/>
            <rFont val="Tahoma"/>
            <family val="2"/>
          </rPr>
          <t>Marceniuk, Brad AG:</t>
        </r>
        <r>
          <rPr>
            <sz val="9"/>
            <color indexed="81"/>
            <rFont val="Tahoma"/>
            <family val="2"/>
          </rPr>
          <t xml:space="preserve">
Average ewe culling price, $/lb.</t>
        </r>
      </text>
    </comment>
    <comment ref="E75" authorId="1" shapeId="0" xr:uid="{00000000-0006-0000-0300-000021000000}">
      <text>
        <r>
          <rPr>
            <b/>
            <sz val="9"/>
            <color indexed="81"/>
            <rFont val="Tahoma"/>
            <family val="2"/>
          </rPr>
          <t>Marceniuk, Brad AG:</t>
        </r>
        <r>
          <rPr>
            <sz val="9"/>
            <color indexed="81"/>
            <rFont val="Tahoma"/>
            <family val="2"/>
          </rPr>
          <t xml:space="preserve">
Average culling weight of rams in pounds.</t>
        </r>
      </text>
    </comment>
    <comment ref="E76" authorId="1" shapeId="0" xr:uid="{00000000-0006-0000-0300-000022000000}">
      <text>
        <r>
          <rPr>
            <b/>
            <sz val="9"/>
            <color indexed="81"/>
            <rFont val="Tahoma"/>
            <family val="2"/>
          </rPr>
          <t>Marceniuk, Brad AG:</t>
        </r>
        <r>
          <rPr>
            <sz val="9"/>
            <color indexed="81"/>
            <rFont val="Tahoma"/>
            <family val="2"/>
          </rPr>
          <t xml:space="preserve">
Average ram culling price, $/lb.</t>
        </r>
      </text>
    </comment>
    <comment ref="E80" authorId="1" shapeId="0" xr:uid="{00000000-0006-0000-0300-000023000000}">
      <text>
        <r>
          <rPr>
            <b/>
            <sz val="9"/>
            <color indexed="81"/>
            <rFont val="Tahoma"/>
            <family val="2"/>
          </rPr>
          <t>Marceniuk, Brad AG:</t>
        </r>
        <r>
          <rPr>
            <sz val="9"/>
            <color indexed="81"/>
            <rFont val="Tahoma"/>
            <family val="2"/>
          </rPr>
          <t xml:space="preserve">
Number of animals sheared annually (ewes and rams).</t>
        </r>
      </text>
    </comment>
    <comment ref="E81" authorId="1" shapeId="0" xr:uid="{00000000-0006-0000-0300-000024000000}">
      <text>
        <r>
          <rPr>
            <b/>
            <sz val="9"/>
            <color indexed="81"/>
            <rFont val="Tahoma"/>
            <family val="2"/>
          </rPr>
          <t>Marceniuk, Brad AG:</t>
        </r>
        <r>
          <rPr>
            <sz val="9"/>
            <color indexed="81"/>
            <rFont val="Tahoma"/>
            <family val="2"/>
          </rPr>
          <t xml:space="preserve">
Average pounds of wool sheared per animal.</t>
        </r>
      </text>
    </comment>
    <comment ref="E83" authorId="1" shapeId="0" xr:uid="{00000000-0006-0000-0300-000025000000}">
      <text>
        <r>
          <rPr>
            <b/>
            <sz val="9"/>
            <color indexed="81"/>
            <rFont val="Tahoma"/>
            <family val="2"/>
          </rPr>
          <t>Marceniuk, Brad AG:</t>
        </r>
        <r>
          <rPr>
            <sz val="9"/>
            <color indexed="81"/>
            <rFont val="Tahoma"/>
            <family val="2"/>
          </rPr>
          <t xml:space="preserve">
Average value of wool per pound.</t>
        </r>
      </text>
    </comment>
    <comment ref="E85" authorId="1" shapeId="0" xr:uid="{00000000-0006-0000-0300-000026000000}">
      <text>
        <r>
          <rPr>
            <b/>
            <sz val="9"/>
            <color indexed="81"/>
            <rFont val="Tahoma"/>
            <family val="2"/>
          </rPr>
          <t>Marceniuk, Brad AG:</t>
        </r>
        <r>
          <rPr>
            <sz val="9"/>
            <color indexed="81"/>
            <rFont val="Tahoma"/>
            <family val="2"/>
          </rPr>
          <t xml:space="preserve">
Average shearing cost per animal, $/head.</t>
        </r>
      </text>
    </comment>
    <comment ref="E86" authorId="1" shapeId="0" xr:uid="{00000000-0006-0000-0300-000027000000}">
      <text>
        <r>
          <rPr>
            <b/>
            <sz val="9"/>
            <color indexed="81"/>
            <rFont val="Tahoma"/>
            <family val="2"/>
          </rPr>
          <t>Marceniuk, Brad AG:</t>
        </r>
        <r>
          <rPr>
            <sz val="9"/>
            <color indexed="81"/>
            <rFont val="Tahoma"/>
            <family val="2"/>
          </rPr>
          <t xml:space="preserve">
Average packing, bagging, and transportation cost of wool. $/lb.</t>
        </r>
      </text>
    </comment>
    <comment ref="E90" authorId="1" shapeId="0" xr:uid="{00000000-0006-0000-0300-000028000000}">
      <text>
        <r>
          <rPr>
            <b/>
            <sz val="9"/>
            <color indexed="81"/>
            <rFont val="Tahoma"/>
            <family val="2"/>
          </rPr>
          <t>Marceniuk, Brad AG:</t>
        </r>
        <r>
          <rPr>
            <sz val="9"/>
            <color indexed="81"/>
            <rFont val="Tahoma"/>
            <family val="2"/>
          </rPr>
          <t xml:space="preserve">
Number of butcher lambs slaughtered for sale.</t>
        </r>
      </text>
    </comment>
    <comment ref="E91" authorId="1" shapeId="0" xr:uid="{00000000-0006-0000-0300-000029000000}">
      <text>
        <r>
          <rPr>
            <b/>
            <sz val="9"/>
            <color indexed="81"/>
            <rFont val="Tahoma"/>
            <family val="2"/>
          </rPr>
          <t>Marceniuk, Brad AG:</t>
        </r>
        <r>
          <rPr>
            <sz val="9"/>
            <color indexed="81"/>
            <rFont val="Tahoma"/>
            <family val="2"/>
          </rPr>
          <t xml:space="preserve">
Average dressed weight of slaughtered animals in pounds. </t>
        </r>
      </text>
    </comment>
    <comment ref="E93" authorId="1" shapeId="0" xr:uid="{00000000-0006-0000-0300-00002A000000}">
      <text>
        <r>
          <rPr>
            <b/>
            <sz val="9"/>
            <color indexed="81"/>
            <rFont val="Tahoma"/>
            <family val="2"/>
          </rPr>
          <t>Marceniuk, Brad AG:</t>
        </r>
        <r>
          <rPr>
            <sz val="9"/>
            <color indexed="81"/>
            <rFont val="Tahoma"/>
            <family val="2"/>
          </rPr>
          <t xml:space="preserve">
Average sale value of dressed meat per pound. ($/lb.)</t>
        </r>
      </text>
    </comment>
    <comment ref="E95" authorId="1" shapeId="0" xr:uid="{00000000-0006-0000-0300-00002B000000}">
      <text>
        <r>
          <rPr>
            <b/>
            <sz val="9"/>
            <color indexed="81"/>
            <rFont val="Tahoma"/>
            <family val="2"/>
          </rPr>
          <t>Marceniuk, Brad AG:</t>
        </r>
        <r>
          <rPr>
            <sz val="9"/>
            <color indexed="81"/>
            <rFont val="Tahoma"/>
            <family val="2"/>
          </rPr>
          <t xml:space="preserve">
Average slaughter and packaging costs per Lb.. </t>
        </r>
      </text>
    </comment>
    <comment ref="E101" authorId="1" shapeId="0" xr:uid="{00000000-0006-0000-0300-000031000000}">
      <text>
        <r>
          <rPr>
            <b/>
            <sz val="9"/>
            <color indexed="81"/>
            <rFont val="Tahoma"/>
            <family val="2"/>
          </rPr>
          <t>Marceniuk, Brad AG:</t>
        </r>
        <r>
          <rPr>
            <sz val="9"/>
            <color indexed="81"/>
            <rFont val="Tahoma"/>
            <family val="2"/>
          </rPr>
          <t xml:space="preserve">
Average hay price per tonne will vary if grass or alfalfa or mixed.
$/tonne (2,204 lb.)</t>
        </r>
      </text>
    </comment>
    <comment ref="E102" authorId="1" shapeId="0" xr:uid="{00000000-0006-0000-0300-000032000000}">
      <text>
        <r>
          <rPr>
            <b/>
            <sz val="9"/>
            <color indexed="81"/>
            <rFont val="Tahoma"/>
            <family val="2"/>
          </rPr>
          <t>Marceniuk, Brad AG:</t>
        </r>
        <r>
          <rPr>
            <sz val="9"/>
            <color indexed="81"/>
            <rFont val="Tahoma"/>
            <family val="2"/>
          </rPr>
          <t xml:space="preserve">
Average price of silage, $/tonne (2,204 lb.)</t>
        </r>
      </text>
    </comment>
    <comment ref="E103" authorId="1" shapeId="0" xr:uid="{00000000-0006-0000-0300-000033000000}">
      <text>
        <r>
          <rPr>
            <b/>
            <sz val="9"/>
            <color indexed="81"/>
            <rFont val="Tahoma"/>
            <family val="2"/>
          </rPr>
          <t>Marceniuk, Brad AG:</t>
        </r>
        <r>
          <rPr>
            <sz val="9"/>
            <color indexed="81"/>
            <rFont val="Tahoma"/>
            <family val="2"/>
          </rPr>
          <t xml:space="preserve">
Average price of feed pellets, $/tonne (2,204 lb.)</t>
        </r>
      </text>
    </comment>
    <comment ref="E104" authorId="1" shapeId="0" xr:uid="{00000000-0006-0000-0300-000034000000}">
      <text>
        <r>
          <rPr>
            <b/>
            <sz val="9"/>
            <color indexed="81"/>
            <rFont val="Tahoma"/>
            <family val="2"/>
          </rPr>
          <t>Marceniuk, Brad AG:</t>
        </r>
        <r>
          <rPr>
            <sz val="9"/>
            <color indexed="81"/>
            <rFont val="Tahoma"/>
            <family val="2"/>
          </rPr>
          <t xml:space="preserve">
Average price of straw, $/tonne (2,204 lb.)</t>
        </r>
      </text>
    </comment>
    <comment ref="E105" authorId="1" shapeId="0" xr:uid="{00000000-0006-0000-0300-000035000000}">
      <text>
        <r>
          <rPr>
            <b/>
            <sz val="9"/>
            <color indexed="81"/>
            <rFont val="Tahoma"/>
            <family val="2"/>
          </rPr>
          <t>Marceniuk, Brad AG:</t>
        </r>
        <r>
          <rPr>
            <sz val="9"/>
            <color indexed="81"/>
            <rFont val="Tahoma"/>
            <family val="2"/>
          </rPr>
          <t xml:space="preserve">
Average price of feed supplements, $/tonne (2,204 lb.)</t>
        </r>
      </text>
    </comment>
    <comment ref="E106" authorId="1" shapeId="0" xr:uid="{00000000-0006-0000-0300-000036000000}">
      <text>
        <r>
          <rPr>
            <b/>
            <sz val="9"/>
            <color indexed="81"/>
            <rFont val="Tahoma"/>
            <family val="2"/>
          </rPr>
          <t>Marceniuk, Brad AG:</t>
        </r>
        <r>
          <rPr>
            <sz val="9"/>
            <color indexed="81"/>
            <rFont val="Tahoma"/>
            <family val="2"/>
          </rPr>
          <t xml:space="preserve">
Average price of salt or mineral mix, $/tonne</t>
        </r>
      </text>
    </comment>
    <comment ref="E107" authorId="1" shapeId="0" xr:uid="{00000000-0006-0000-0300-000037000000}">
      <text>
        <r>
          <rPr>
            <b/>
            <sz val="9"/>
            <color indexed="81"/>
            <rFont val="Tahoma"/>
            <family val="2"/>
          </rPr>
          <t>Marceniuk, Brad AG:</t>
        </r>
        <r>
          <rPr>
            <sz val="9"/>
            <color indexed="81"/>
            <rFont val="Tahoma"/>
            <family val="2"/>
          </rPr>
          <t xml:space="preserve">
Average price of vitamins, $/tonne</t>
        </r>
      </text>
    </comment>
    <comment ref="E108" authorId="1" shapeId="0" xr:uid="{00000000-0006-0000-0300-000038000000}">
      <text>
        <r>
          <rPr>
            <b/>
            <sz val="9"/>
            <color indexed="81"/>
            <rFont val="Tahoma"/>
            <family val="2"/>
          </rPr>
          <t>Marceniuk, Brad AG:</t>
        </r>
        <r>
          <rPr>
            <sz val="9"/>
            <color indexed="81"/>
            <rFont val="Tahoma"/>
            <family val="2"/>
          </rPr>
          <t xml:space="preserve">
Average price of milk replacer, $/tonne (2,204 lb.)</t>
        </r>
      </text>
    </comment>
    <comment ref="E109" authorId="1" shapeId="0" xr:uid="{00000000-0006-0000-0300-000039000000}">
      <text>
        <r>
          <rPr>
            <b/>
            <sz val="9"/>
            <color indexed="81"/>
            <rFont val="Tahoma"/>
            <family val="2"/>
          </rPr>
          <t>Marceniuk, Brad AG:</t>
        </r>
        <r>
          <rPr>
            <sz val="9"/>
            <color indexed="81"/>
            <rFont val="Tahoma"/>
            <family val="2"/>
          </rPr>
          <t xml:space="preserve">
Average price of "Other 1" ingredients, $/tonne. 
Actual ingredient name can be changed where says "Other 1".</t>
        </r>
      </text>
    </comment>
    <comment ref="E110" authorId="1" shapeId="0" xr:uid="{00000000-0006-0000-0300-00003A000000}">
      <text>
        <r>
          <rPr>
            <b/>
            <sz val="9"/>
            <color indexed="81"/>
            <rFont val="Tahoma"/>
            <family val="2"/>
          </rPr>
          <t>Marceniuk, Brad AG:</t>
        </r>
        <r>
          <rPr>
            <sz val="9"/>
            <color indexed="81"/>
            <rFont val="Tahoma"/>
            <family val="2"/>
          </rPr>
          <t xml:space="preserve">
Average price of "Other 2" ingredients, $/tonne. 
Actual ingredient name can be changed where says "Other - 2".</t>
        </r>
      </text>
    </comment>
    <comment ref="E111" authorId="1" shapeId="0" xr:uid="{00000000-0006-0000-0300-00003B000000}">
      <text>
        <r>
          <rPr>
            <b/>
            <sz val="9"/>
            <color indexed="81"/>
            <rFont val="Tahoma"/>
            <family val="2"/>
          </rPr>
          <t>Marceniuk, Brad AG:</t>
        </r>
        <r>
          <rPr>
            <sz val="9"/>
            <color indexed="81"/>
            <rFont val="Tahoma"/>
            <family val="2"/>
          </rPr>
          <t xml:space="preserve">
Average price of "Other 3" ingredients, $/tonne.
Actual ingredient name can be changed where says "Other - 3". </t>
        </r>
      </text>
    </comment>
    <comment ref="E112" authorId="1" shapeId="0" xr:uid="{00000000-0006-0000-0300-00003C000000}">
      <text>
        <r>
          <rPr>
            <b/>
            <sz val="9"/>
            <color indexed="81"/>
            <rFont val="Tahoma"/>
            <family val="2"/>
          </rPr>
          <t>Marceniuk, Brad AG:</t>
        </r>
        <r>
          <rPr>
            <sz val="9"/>
            <color indexed="81"/>
            <rFont val="Tahoma"/>
            <family val="2"/>
          </rPr>
          <t xml:space="preserve">
Average price of "Other 4" ingredients, $/tonne. 
Actual name of ingredients can be changed in "Other - 4".</t>
        </r>
      </text>
    </comment>
    <comment ref="E115" authorId="0" shapeId="0" xr:uid="{00000000-0006-0000-0300-00003D000000}">
      <text>
        <r>
          <rPr>
            <b/>
            <sz val="8"/>
            <color indexed="81"/>
            <rFont val="Tahoma"/>
            <family val="2"/>
          </rPr>
          <t>Brad Marceniuk:</t>
        </r>
        <r>
          <rPr>
            <sz val="8"/>
            <color indexed="81"/>
            <rFont val="Tahoma"/>
            <family val="2"/>
          </rPr>
          <t xml:space="preserve">
-G</t>
        </r>
        <r>
          <rPr>
            <sz val="9"/>
            <color indexed="81"/>
            <rFont val="Tahoma"/>
            <family val="2"/>
          </rPr>
          <t>rain production operating costs include the total variable costs to get the grain produced (seed, fertilizer, chem., field work - seeding/swath/comb./haul., etc.).
-Fixed costs (equipment) and fuel/utilities can be included here or included in the other input areas.</t>
        </r>
      </text>
    </comment>
    <comment ref="E116" authorId="0" shapeId="0" xr:uid="{00000000-0006-0000-0300-00003E000000}">
      <text>
        <r>
          <rPr>
            <b/>
            <sz val="8"/>
            <color indexed="81"/>
            <rFont val="Tahoma"/>
            <family val="2"/>
          </rPr>
          <t>Brad Marceniuk:</t>
        </r>
        <r>
          <rPr>
            <sz val="8"/>
            <color indexed="81"/>
            <rFont val="Tahoma"/>
            <family val="2"/>
          </rPr>
          <t xml:space="preserve">
-</t>
        </r>
        <r>
          <rPr>
            <sz val="9"/>
            <color indexed="81"/>
            <rFont val="Tahoma"/>
            <family val="2"/>
          </rPr>
          <t>Hay production costs include all the total variable inputs required to produce the hay (seed, fertilizer, cutting, baling, hauling, etc.).
-Fixed costs (equipment) and fuel/utilities can be included here or in the other input areas.</t>
        </r>
      </text>
    </comment>
    <comment ref="E117" authorId="0" shapeId="0" xr:uid="{00000000-0006-0000-0300-00003F000000}">
      <text>
        <r>
          <rPr>
            <b/>
            <sz val="8"/>
            <color indexed="81"/>
            <rFont val="Tahoma"/>
            <family val="2"/>
          </rPr>
          <t>Brad Marceniuk:</t>
        </r>
        <r>
          <rPr>
            <sz val="8"/>
            <color indexed="81"/>
            <rFont val="Tahoma"/>
            <family val="2"/>
          </rPr>
          <t xml:space="preserve">
-</t>
        </r>
        <r>
          <rPr>
            <sz val="9"/>
            <color indexed="81"/>
            <rFont val="Tahoma"/>
            <family val="2"/>
          </rPr>
          <t>Pasture operating costs include the total variable inputs required to grow and maintain the pasture (seed, fertilizer, water, fencing, etc.).
-Fixed costs (equipment) and fuel/utility costs can be included here or in the other input areas.</t>
        </r>
      </text>
    </comment>
    <comment ref="E122" authorId="1" shapeId="0" xr:uid="{00000000-0006-0000-0300-000040000000}">
      <text>
        <r>
          <rPr>
            <b/>
            <sz val="9"/>
            <color indexed="81"/>
            <rFont val="Tahoma"/>
            <family val="2"/>
          </rPr>
          <t>Marceniuk, Brad AG:</t>
        </r>
        <r>
          <rPr>
            <sz val="9"/>
            <color indexed="81"/>
            <rFont val="Tahoma"/>
            <family val="2"/>
          </rPr>
          <t xml:space="preserve">
Number of ewe feeding days in ration#1. Feeding ration name can be changed in grey box from original name - Flushing and Pre-lambing Ration (#1).</t>
        </r>
      </text>
    </comment>
    <comment ref="E124" authorId="1" shapeId="0" xr:uid="{00000000-0006-0000-0300-000041000000}">
      <text>
        <r>
          <rPr>
            <b/>
            <sz val="9"/>
            <color indexed="81"/>
            <rFont val="Tahoma"/>
            <family val="2"/>
          </rPr>
          <t>Marceniuk, Brad AG:</t>
        </r>
        <r>
          <rPr>
            <sz val="9"/>
            <color indexed="81"/>
            <rFont val="Tahoma"/>
            <family val="2"/>
          </rPr>
          <t xml:space="preserve">
Daily pounds of barley fed to ewes in ration 1.</t>
        </r>
      </text>
    </comment>
    <comment ref="E125" authorId="1" shapeId="0" xr:uid="{00000000-0006-0000-0300-000042000000}">
      <text>
        <r>
          <rPr>
            <b/>
            <sz val="9"/>
            <color indexed="81"/>
            <rFont val="Tahoma"/>
            <family val="2"/>
          </rPr>
          <t>Marceniuk, Brad AG:</t>
        </r>
        <r>
          <rPr>
            <sz val="9"/>
            <color indexed="81"/>
            <rFont val="Tahoma"/>
            <family val="2"/>
          </rPr>
          <t xml:space="preserve">
Daily pounds of hay fed to ewes in ration 1.</t>
        </r>
      </text>
    </comment>
    <comment ref="E126" authorId="1" shapeId="0" xr:uid="{00000000-0006-0000-0300-000043000000}">
      <text>
        <r>
          <rPr>
            <b/>
            <sz val="9"/>
            <color indexed="81"/>
            <rFont val="Tahoma"/>
            <family val="2"/>
          </rPr>
          <t>Marceniuk, Brad AG:</t>
        </r>
        <r>
          <rPr>
            <sz val="9"/>
            <color indexed="81"/>
            <rFont val="Tahoma"/>
            <family val="2"/>
          </rPr>
          <t xml:space="preserve">
Daily pounds of silage fed to ewes in ration 1.</t>
        </r>
      </text>
    </comment>
    <comment ref="E127" authorId="1" shapeId="0" xr:uid="{00000000-0006-0000-0300-000044000000}">
      <text>
        <r>
          <rPr>
            <b/>
            <sz val="9"/>
            <color indexed="81"/>
            <rFont val="Tahoma"/>
            <family val="2"/>
          </rPr>
          <t>Marceniuk, Brad AG:</t>
        </r>
        <r>
          <rPr>
            <sz val="9"/>
            <color indexed="81"/>
            <rFont val="Tahoma"/>
            <family val="2"/>
          </rPr>
          <t xml:space="preserve">
Daily pounds of feed pellents fed to ewes in ration 1.</t>
        </r>
      </text>
    </comment>
    <comment ref="E128" authorId="1" shapeId="0" xr:uid="{00000000-0006-0000-0300-000045000000}">
      <text>
        <r>
          <rPr>
            <b/>
            <sz val="9"/>
            <color indexed="81"/>
            <rFont val="Tahoma"/>
            <family val="2"/>
          </rPr>
          <t>Marceniuk, Brad AG:</t>
        </r>
        <r>
          <rPr>
            <sz val="9"/>
            <color indexed="81"/>
            <rFont val="Tahoma"/>
            <family val="2"/>
          </rPr>
          <t xml:space="preserve">
Daily pounds of straw fed to ewes in ration 1.</t>
        </r>
      </text>
    </comment>
    <comment ref="E129" authorId="1" shapeId="0" xr:uid="{00000000-0006-0000-0300-000046000000}">
      <text>
        <r>
          <rPr>
            <b/>
            <sz val="9"/>
            <color indexed="81"/>
            <rFont val="Tahoma"/>
            <family val="2"/>
          </rPr>
          <t>Marceniuk, Brad AG:</t>
        </r>
        <r>
          <rPr>
            <sz val="9"/>
            <color indexed="81"/>
            <rFont val="Tahoma"/>
            <family val="2"/>
          </rPr>
          <t xml:space="preserve">
Daily pounds of feed supplements fed to ewes in ration 1.</t>
        </r>
      </text>
    </comment>
    <comment ref="E130" authorId="1" shapeId="0" xr:uid="{00000000-0006-0000-0300-000047000000}">
      <text>
        <r>
          <rPr>
            <b/>
            <sz val="9"/>
            <color indexed="81"/>
            <rFont val="Tahoma"/>
            <family val="2"/>
          </rPr>
          <t>Marceniuk, Brad AG:</t>
        </r>
        <r>
          <rPr>
            <sz val="9"/>
            <color indexed="81"/>
            <rFont val="Tahoma"/>
            <family val="2"/>
          </rPr>
          <t xml:space="preserve">
Daily pounds of salt or mineral fed to ewes in ration 1.</t>
        </r>
      </text>
    </comment>
    <comment ref="E131" authorId="1" shapeId="0" xr:uid="{00000000-0006-0000-0300-000048000000}">
      <text>
        <r>
          <rPr>
            <b/>
            <sz val="9"/>
            <color indexed="81"/>
            <rFont val="Tahoma"/>
            <family val="2"/>
          </rPr>
          <t>Marceniuk, Brad AG:</t>
        </r>
        <r>
          <rPr>
            <sz val="9"/>
            <color indexed="81"/>
            <rFont val="Tahoma"/>
            <family val="2"/>
          </rPr>
          <t xml:space="preserve">
Daily pounds of vitamins fed to ewes in ration 1.</t>
        </r>
      </text>
    </comment>
    <comment ref="E132" authorId="1" shapeId="0" xr:uid="{00000000-0006-0000-0300-000049000000}">
      <text>
        <r>
          <rPr>
            <b/>
            <sz val="9"/>
            <color indexed="81"/>
            <rFont val="Tahoma"/>
            <family val="2"/>
          </rPr>
          <t>Marceniuk, Brad AG:</t>
        </r>
        <r>
          <rPr>
            <sz val="9"/>
            <color indexed="81"/>
            <rFont val="Tahoma"/>
            <family val="2"/>
          </rPr>
          <t xml:space="preserve">
Daily pounds of feed ingredients "Other 1" fed to ewes in ration 1.</t>
        </r>
      </text>
    </comment>
    <comment ref="E133" authorId="1" shapeId="0" xr:uid="{00000000-0006-0000-0300-00004A000000}">
      <text>
        <r>
          <rPr>
            <b/>
            <sz val="9"/>
            <color indexed="81"/>
            <rFont val="Tahoma"/>
            <family val="2"/>
          </rPr>
          <t>Marceniuk, Brad AG:</t>
        </r>
        <r>
          <rPr>
            <sz val="9"/>
            <color indexed="81"/>
            <rFont val="Tahoma"/>
            <family val="2"/>
          </rPr>
          <t xml:space="preserve">
Daily pounds of feed ingredients "Other 2" fed to ewes in ration 1.</t>
        </r>
      </text>
    </comment>
    <comment ref="E134" authorId="1" shapeId="0" xr:uid="{00000000-0006-0000-0300-00004B000000}">
      <text>
        <r>
          <rPr>
            <b/>
            <sz val="9"/>
            <color indexed="81"/>
            <rFont val="Tahoma"/>
            <family val="2"/>
          </rPr>
          <t>Marceniuk, Brad AG:</t>
        </r>
        <r>
          <rPr>
            <sz val="9"/>
            <color indexed="81"/>
            <rFont val="Tahoma"/>
            <family val="2"/>
          </rPr>
          <t xml:space="preserve">
Daily pounds of feed ingredients "Other 3", fed to ewes in ration 1.</t>
        </r>
      </text>
    </comment>
    <comment ref="E135" authorId="1" shapeId="0" xr:uid="{00000000-0006-0000-0300-00004C000000}">
      <text>
        <r>
          <rPr>
            <b/>
            <sz val="9"/>
            <color indexed="81"/>
            <rFont val="Tahoma"/>
            <family val="2"/>
          </rPr>
          <t>Marceniuk, Brad AG:</t>
        </r>
        <r>
          <rPr>
            <sz val="9"/>
            <color indexed="81"/>
            <rFont val="Tahoma"/>
            <family val="2"/>
          </rPr>
          <t xml:space="preserve">
Daily pounds of feed ingredients "Other 4" fed to ewes in ration 1.</t>
        </r>
      </text>
    </comment>
    <comment ref="E136" authorId="1" shapeId="0" xr:uid="{00000000-0006-0000-0300-00004D000000}">
      <text>
        <r>
          <rPr>
            <b/>
            <sz val="9"/>
            <color indexed="81"/>
            <rFont val="Tahoma"/>
            <family val="2"/>
          </rPr>
          <t>Marceniuk, Brad AG:</t>
        </r>
        <r>
          <rPr>
            <sz val="9"/>
            <color indexed="81"/>
            <rFont val="Tahoma"/>
            <family val="2"/>
          </rPr>
          <t xml:space="preserve">
Cost per day/per ewe of feed ration#1. </t>
        </r>
      </text>
    </comment>
    <comment ref="E137" authorId="1" shapeId="0" xr:uid="{00000000-0006-0000-0300-00004E000000}">
      <text>
        <r>
          <rPr>
            <b/>
            <sz val="9"/>
            <color indexed="81"/>
            <rFont val="Tahoma"/>
            <family val="2"/>
          </rPr>
          <t>Marceniuk, Brad AG:</t>
        </r>
        <r>
          <rPr>
            <sz val="9"/>
            <color indexed="81"/>
            <rFont val="Tahoma"/>
            <family val="2"/>
          </rPr>
          <t xml:space="preserve">
Total cost per ewe over period to feed ration#1.</t>
        </r>
      </text>
    </comment>
    <comment ref="E140" authorId="1" shapeId="0" xr:uid="{00000000-0006-0000-0300-00004F000000}">
      <text>
        <r>
          <rPr>
            <b/>
            <sz val="9"/>
            <color indexed="81"/>
            <rFont val="Tahoma"/>
            <family val="2"/>
          </rPr>
          <t>Marceniuk, Brad AG:</t>
        </r>
        <r>
          <rPr>
            <sz val="9"/>
            <color indexed="81"/>
            <rFont val="Tahoma"/>
            <family val="2"/>
          </rPr>
          <t xml:space="preserve">
Number of ewe feeding days in ration #2. Feeding ration name can be changed in grey box from original name - Gestation Ration (#2).</t>
        </r>
      </text>
    </comment>
    <comment ref="E158" authorId="1" shapeId="0" xr:uid="{C36A72EB-9C67-414C-A4C7-0B88AF6AABD7}">
      <text>
        <r>
          <rPr>
            <b/>
            <sz val="9"/>
            <color indexed="81"/>
            <rFont val="Tahoma"/>
            <family val="2"/>
          </rPr>
          <t>Marceniuk, Brad AG:</t>
        </r>
        <r>
          <rPr>
            <sz val="9"/>
            <color indexed="81"/>
            <rFont val="Tahoma"/>
            <family val="2"/>
          </rPr>
          <t xml:space="preserve">
-Number of ewe feeding days in ration#3. 
-Feeding ration name can be changed in grey box from original name - Lactation Ration (#3).</t>
        </r>
      </text>
    </comment>
    <comment ref="E176" authorId="1" shapeId="0" xr:uid="{00000000-0006-0000-0300-000050000000}">
      <text>
        <r>
          <rPr>
            <b/>
            <sz val="9"/>
            <color indexed="81"/>
            <rFont val="Tahoma"/>
            <family val="2"/>
          </rPr>
          <t>Marceniuk, Brad AG:</t>
        </r>
        <r>
          <rPr>
            <sz val="9"/>
            <color indexed="81"/>
            <rFont val="Tahoma"/>
            <family val="2"/>
          </rPr>
          <t xml:space="preserve">
-Number of ewe feeding days in ration#4. 
-Feeding ration name can be changed in grey box from original name - Low Maintenance Ration (#4).</t>
        </r>
      </text>
    </comment>
    <comment ref="E192" authorId="1" shapeId="0" xr:uid="{00000000-0006-0000-0300-000051000000}">
      <text>
        <r>
          <rPr>
            <b/>
            <sz val="9"/>
            <color indexed="81"/>
            <rFont val="Tahoma"/>
            <family val="2"/>
          </rPr>
          <t>Marceniuk, Brad AG:</t>
        </r>
        <r>
          <rPr>
            <sz val="9"/>
            <color indexed="81"/>
            <rFont val="Tahoma"/>
            <family val="2"/>
          </rPr>
          <t xml:space="preserve">
Total days ewes on feed grain, hay, and silage during one cycle.</t>
        </r>
      </text>
    </comment>
    <comment ref="E193" authorId="1" shapeId="0" xr:uid="{00000000-0006-0000-0300-000052000000}">
      <text>
        <r>
          <rPr>
            <b/>
            <sz val="9"/>
            <color indexed="81"/>
            <rFont val="Tahoma"/>
            <family val="2"/>
          </rPr>
          <t>Marceniuk, Brad AG:</t>
        </r>
        <r>
          <rPr>
            <sz val="9"/>
            <color indexed="81"/>
            <rFont val="Tahoma"/>
            <family val="2"/>
          </rPr>
          <t xml:space="preserve">
Total cost to feed ewes per head, over one feeding period or cycle.</t>
        </r>
      </text>
    </comment>
    <comment ref="E194" authorId="1" shapeId="0" xr:uid="{00000000-0006-0000-0300-000053000000}">
      <text>
        <r>
          <rPr>
            <b/>
            <sz val="9"/>
            <color indexed="81"/>
            <rFont val="Tahoma"/>
            <family val="2"/>
          </rPr>
          <t>Marceniuk, Brad AG:</t>
        </r>
        <r>
          <rPr>
            <sz val="9"/>
            <color indexed="81"/>
            <rFont val="Tahoma"/>
            <family val="2"/>
          </rPr>
          <t xml:space="preserve">
Total cost to feed the ewe flock over one cycle over the year.</t>
        </r>
      </text>
    </comment>
    <comment ref="E199" authorId="1" shapeId="0" xr:uid="{00000000-0006-0000-0300-000054000000}">
      <text>
        <r>
          <rPr>
            <b/>
            <sz val="9"/>
            <color indexed="81"/>
            <rFont val="Tahoma"/>
            <family val="2"/>
          </rPr>
          <t>Marceniuk, Brad AG:</t>
        </r>
        <r>
          <rPr>
            <sz val="9"/>
            <color indexed="81"/>
            <rFont val="Tahoma"/>
            <family val="2"/>
          </rPr>
          <t xml:space="preserve">
Number of days ewes are grazed on pasture over the year. </t>
        </r>
      </text>
    </comment>
    <comment ref="E200" authorId="0" shapeId="0" xr:uid="{00000000-0006-0000-0300-000055000000}">
      <text>
        <r>
          <rPr>
            <b/>
            <sz val="8"/>
            <color indexed="81"/>
            <rFont val="Tahoma"/>
            <family val="2"/>
          </rPr>
          <t>Brad Marceniuk:</t>
        </r>
        <r>
          <rPr>
            <sz val="8"/>
            <color indexed="81"/>
            <rFont val="Tahoma"/>
            <family val="2"/>
          </rPr>
          <t xml:space="preserve">
-</t>
        </r>
        <r>
          <rPr>
            <sz val="9"/>
            <color indexed="81"/>
            <rFont val="Tahoma"/>
            <family val="2"/>
          </rPr>
          <t>Grazing costs would be the cost per day per ewe; if the ewes were sent to a rented pasture or if the owners want to use an opportunity cost of the pasture. 
-Estimates just prior to the 2021 summer drought had pasture prices from $0.12 to $0.18 per day depending on the area and services provided in the pasture.</t>
        </r>
      </text>
    </comment>
    <comment ref="E201" authorId="1" shapeId="0" xr:uid="{00000000-0006-0000-0300-000056000000}">
      <text>
        <r>
          <rPr>
            <b/>
            <sz val="9"/>
            <color indexed="81"/>
            <rFont val="Tahoma"/>
            <family val="2"/>
          </rPr>
          <t>Marceniuk, Brad AG:</t>
        </r>
        <r>
          <rPr>
            <sz val="9"/>
            <color indexed="81"/>
            <rFont val="Tahoma"/>
            <family val="2"/>
          </rPr>
          <t xml:space="preserve">
Total cost per ewe of rented pasture over the total period.</t>
        </r>
      </text>
    </comment>
    <comment ref="E213" authorId="1" shapeId="0" xr:uid="{00000000-0006-0000-0300-000058000000}">
      <text>
        <r>
          <rPr>
            <b/>
            <sz val="9"/>
            <color indexed="81"/>
            <rFont val="Tahoma"/>
            <family val="2"/>
          </rPr>
          <t>Marceniuk, Brad AG:</t>
        </r>
        <r>
          <rPr>
            <sz val="9"/>
            <color indexed="81"/>
            <rFont val="Tahoma"/>
            <family val="2"/>
          </rPr>
          <t xml:space="preserve">
Number of ram feeding days in ration#4. </t>
        </r>
      </text>
    </comment>
    <comment ref="E215" authorId="0" shapeId="0" xr:uid="{C05C375A-F62B-42CE-B18B-6BFF0BED609D}">
      <text>
        <r>
          <rPr>
            <b/>
            <sz val="9"/>
            <color indexed="81"/>
            <rFont val="Tahoma"/>
            <family val="2"/>
          </rPr>
          <t>Brad Marceniuk:</t>
        </r>
        <r>
          <rPr>
            <sz val="9"/>
            <color indexed="81"/>
            <rFont val="Tahoma"/>
            <family val="2"/>
          </rPr>
          <t xml:space="preserve">
Daily lb. of feed barley required to feed ram in Ration#5.</t>
        </r>
      </text>
    </comment>
    <comment ref="E232" authorId="1" shapeId="0" xr:uid="{00000000-0006-0000-0300-000059000000}">
      <text>
        <r>
          <rPr>
            <b/>
            <sz val="9"/>
            <color indexed="81"/>
            <rFont val="Tahoma"/>
            <family val="2"/>
          </rPr>
          <t>Marceniuk, Brad AG:</t>
        </r>
        <r>
          <rPr>
            <sz val="9"/>
            <color indexed="81"/>
            <rFont val="Tahoma"/>
            <family val="2"/>
          </rPr>
          <t xml:space="preserve">
-Number of days rams are grazed in a pasture over the year. 
-The program automatically calculates the difference between 365 and feeding days in ration#4. The number can be changed manually. </t>
        </r>
      </text>
    </comment>
    <comment ref="E233" authorId="0" shapeId="0" xr:uid="{00000000-0006-0000-0300-00005A000000}">
      <text>
        <r>
          <rPr>
            <b/>
            <sz val="8"/>
            <color indexed="81"/>
            <rFont val="Tahoma"/>
            <family val="2"/>
          </rPr>
          <t>Brad Marceniuk:</t>
        </r>
        <r>
          <rPr>
            <sz val="8"/>
            <color indexed="81"/>
            <rFont val="Tahoma"/>
            <family val="2"/>
          </rPr>
          <t xml:space="preserve">
</t>
        </r>
        <r>
          <rPr>
            <sz val="9"/>
            <color indexed="81"/>
            <rFont val="Tahoma"/>
            <family val="2"/>
          </rPr>
          <t xml:space="preserve">Grazing costs per ram per day are the grazing costs if the rams are sent to a pasture, or can be an opportunity cost of of owner for the pasture. These costs can also be a total of pasture costs that are put into "Input 60", instead of here. </t>
        </r>
      </text>
    </comment>
    <comment ref="E235" authorId="1" shapeId="0" xr:uid="{00000000-0006-0000-0300-00005B000000}">
      <text>
        <r>
          <rPr>
            <b/>
            <sz val="9"/>
            <color indexed="81"/>
            <rFont val="Tahoma"/>
            <family val="2"/>
          </rPr>
          <t>Marceniuk, Brad AG:</t>
        </r>
        <r>
          <rPr>
            <sz val="9"/>
            <color indexed="81"/>
            <rFont val="Tahoma"/>
            <family val="2"/>
          </rPr>
          <t xml:space="preserve">
Estimated daily grass/hay in take in pounds by rams. Can be a hard number to estimate and not mandatory.</t>
        </r>
      </text>
    </comment>
    <comment ref="E238" authorId="1" shapeId="0" xr:uid="{00000000-0006-0000-0300-00005C000000}">
      <text>
        <r>
          <rPr>
            <b/>
            <sz val="9"/>
            <color indexed="81"/>
            <rFont val="Tahoma"/>
            <family val="2"/>
          </rPr>
          <t>Marceniuk, Brad AG:</t>
        </r>
        <r>
          <rPr>
            <sz val="9"/>
            <color indexed="81"/>
            <rFont val="Tahoma"/>
            <family val="2"/>
          </rPr>
          <t xml:space="preserve">
Number of lamb feeding days in ration#5.</t>
        </r>
      </text>
    </comment>
    <comment ref="E239" authorId="1" shapeId="0" xr:uid="{00000000-0006-0000-0300-00005D000000}">
      <text>
        <r>
          <rPr>
            <b/>
            <sz val="9"/>
            <color indexed="81"/>
            <rFont val="Tahoma"/>
            <family val="2"/>
          </rPr>
          <t>Marceniuk, Brad AG:</t>
        </r>
        <r>
          <rPr>
            <sz val="9"/>
            <color indexed="81"/>
            <rFont val="Tahoma"/>
            <family val="2"/>
          </rPr>
          <t xml:space="preserve">
Number of lambs in ration#5; including lambs kept back for breeding replacements. </t>
        </r>
      </text>
    </comment>
    <comment ref="E258" authorId="1" shapeId="0" xr:uid="{00000000-0006-0000-0300-00005E000000}">
      <text>
        <r>
          <rPr>
            <b/>
            <sz val="9"/>
            <color indexed="81"/>
            <rFont val="Tahoma"/>
            <family val="2"/>
          </rPr>
          <t>Marceniuk, Brad AG:</t>
        </r>
        <r>
          <rPr>
            <sz val="9"/>
            <color indexed="81"/>
            <rFont val="Tahoma"/>
            <family val="2"/>
          </rPr>
          <t xml:space="preserve">
Number of lamb feeding days in feeding ration#6.</t>
        </r>
      </text>
    </comment>
    <comment ref="E259" authorId="1" shapeId="0" xr:uid="{00000000-0006-0000-0300-00005F000000}">
      <text>
        <r>
          <rPr>
            <b/>
            <sz val="9"/>
            <color indexed="81"/>
            <rFont val="Tahoma"/>
            <family val="2"/>
          </rPr>
          <t>Marceniuk, Brad AG:</t>
        </r>
        <r>
          <rPr>
            <sz val="9"/>
            <color indexed="81"/>
            <rFont val="Tahoma"/>
            <family val="2"/>
          </rPr>
          <t xml:space="preserve">
Number of lambs in feeding ration#6; including lambs kept for breeding replacements.</t>
        </r>
      </text>
    </comment>
    <comment ref="E278" authorId="1" shapeId="0" xr:uid="{00000000-0006-0000-0300-000060000000}">
      <text>
        <r>
          <rPr>
            <b/>
            <sz val="9"/>
            <color indexed="81"/>
            <rFont val="Tahoma"/>
            <family val="2"/>
          </rPr>
          <t>Marceniuk, Brad AG:</t>
        </r>
        <r>
          <rPr>
            <sz val="9"/>
            <color indexed="81"/>
            <rFont val="Tahoma"/>
            <family val="2"/>
          </rPr>
          <t xml:space="preserve">
-Number of lamb feeding days in Ration#7. 
-Includes lambs kept for breeding stock.
</t>
        </r>
      </text>
    </comment>
    <comment ref="E279" authorId="1" shapeId="0" xr:uid="{00000000-0006-0000-0300-000061000000}">
      <text>
        <r>
          <rPr>
            <b/>
            <sz val="9"/>
            <color indexed="81"/>
            <rFont val="Tahoma"/>
            <family val="2"/>
          </rPr>
          <t>Marceniuk, Brad AG:</t>
        </r>
        <r>
          <rPr>
            <sz val="9"/>
            <color indexed="81"/>
            <rFont val="Tahoma"/>
            <family val="2"/>
          </rPr>
          <t xml:space="preserve">
-Number of lambs in feeding Ration#7; includes lambs kept for breeding replacements.</t>
        </r>
      </text>
    </comment>
    <comment ref="E302" authorId="1" shapeId="0" xr:uid="{00000000-0006-0000-0300-000065000000}">
      <text>
        <r>
          <rPr>
            <b/>
            <sz val="9"/>
            <color indexed="81"/>
            <rFont val="Tahoma"/>
            <family val="2"/>
          </rPr>
          <t>Marceniuk, Brad AG:</t>
        </r>
        <r>
          <rPr>
            <sz val="9"/>
            <color indexed="81"/>
            <rFont val="Tahoma"/>
            <family val="2"/>
          </rPr>
          <t xml:space="preserve">
Average estimated medication and vet services per ewe/ram over the year.</t>
        </r>
      </text>
    </comment>
    <comment ref="E309" authorId="1" shapeId="0" xr:uid="{00000000-0006-0000-0300-000067000000}">
      <text>
        <r>
          <rPr>
            <b/>
            <sz val="9"/>
            <color indexed="81"/>
            <rFont val="Tahoma"/>
            <family val="2"/>
          </rPr>
          <t>Marceniuk, Brad AG:</t>
        </r>
        <r>
          <rPr>
            <sz val="9"/>
            <color indexed="81"/>
            <rFont val="Tahoma"/>
            <family val="2"/>
          </rPr>
          <t xml:space="preserve">
Average ultra sound costs per ewe over the year. Typically $2-$3 plus milage.</t>
        </r>
      </text>
    </comment>
    <comment ref="E310" authorId="1" shapeId="0" xr:uid="{00000000-0006-0000-0300-000068000000}">
      <text>
        <r>
          <rPr>
            <b/>
            <sz val="9"/>
            <color indexed="81"/>
            <rFont val="Tahoma"/>
            <family val="2"/>
          </rPr>
          <t>Marceniuk, Brad AG:</t>
        </r>
        <r>
          <rPr>
            <sz val="9"/>
            <color indexed="81"/>
            <rFont val="Tahoma"/>
            <family val="2"/>
          </rPr>
          <t xml:space="preserve">
Average cost of lambing supplies per ewe over the year.</t>
        </r>
      </text>
    </comment>
    <comment ref="E317" authorId="3" shapeId="0" xr:uid="{FF9D462B-E13A-468E-A02D-FFD002A30154}">
      <text>
        <t>[Threaded comment]
Your version of Excel allows you to read this threaded comment; however, any edits to it will get removed if the file is opened in a newer version of Excel. Learn more: https://go.microsoft.com/fwlink/?linkid=870924
Comment:
    Average number of lambs a ewe can service at one time before a milk replacer is required.</t>
      </text>
    </comment>
    <comment ref="E325" authorId="1" shapeId="0" xr:uid="{00000000-0006-0000-0300-000069000000}">
      <text>
        <r>
          <rPr>
            <b/>
            <sz val="9"/>
            <color indexed="81"/>
            <rFont val="Tahoma"/>
            <family val="2"/>
          </rPr>
          <t>Marceniuk, Brad AG:</t>
        </r>
        <r>
          <rPr>
            <sz val="9"/>
            <color indexed="81"/>
            <rFont val="Tahoma"/>
            <family val="2"/>
          </rPr>
          <t xml:space="preserve">
Total annual guardian dog purchase costs over the year.</t>
        </r>
      </text>
    </comment>
    <comment ref="E326" authorId="1" shapeId="0" xr:uid="{00000000-0006-0000-0300-00006A000000}">
      <text>
        <r>
          <rPr>
            <b/>
            <sz val="9"/>
            <color indexed="81"/>
            <rFont val="Tahoma"/>
            <family val="2"/>
          </rPr>
          <t>Marceniuk, Brad AG:</t>
        </r>
        <r>
          <rPr>
            <sz val="9"/>
            <color indexed="81"/>
            <rFont val="Tahoma"/>
            <family val="2"/>
          </rPr>
          <t xml:space="preserve">
Total annual guardian dog operating costs over the year; such as vet and feed. </t>
        </r>
      </text>
    </comment>
    <comment ref="E329" authorId="1" shapeId="0" xr:uid="{00000000-0006-0000-0300-00006B000000}">
      <text>
        <r>
          <rPr>
            <b/>
            <sz val="9"/>
            <color indexed="81"/>
            <rFont val="Tahoma"/>
            <family val="2"/>
          </rPr>
          <t>Marceniuk, Brad AG:</t>
        </r>
        <r>
          <rPr>
            <sz val="9"/>
            <color indexed="81"/>
            <rFont val="Tahoma"/>
            <family val="2"/>
          </rPr>
          <t xml:space="preserve">
Total annual herding dog purchase costs over the year.</t>
        </r>
      </text>
    </comment>
    <comment ref="E330" authorId="1" shapeId="0" xr:uid="{00000000-0006-0000-0300-00006C000000}">
      <text>
        <r>
          <rPr>
            <b/>
            <sz val="9"/>
            <color indexed="81"/>
            <rFont val="Tahoma"/>
            <family val="2"/>
          </rPr>
          <t>Marceniuk, Brad AG:</t>
        </r>
        <r>
          <rPr>
            <sz val="9"/>
            <color indexed="81"/>
            <rFont val="Tahoma"/>
            <family val="2"/>
          </rPr>
          <t xml:space="preserve">
Total annual herding dog purchase costs over the year; such as vet and feed.</t>
        </r>
      </text>
    </comment>
    <comment ref="E333" authorId="1" shapeId="0" xr:uid="{00000000-0006-0000-0300-00006D000000}">
      <text>
        <r>
          <rPr>
            <b/>
            <sz val="9"/>
            <color indexed="81"/>
            <rFont val="Tahoma"/>
            <family val="2"/>
          </rPr>
          <t>Marceniuk, Brad AG:</t>
        </r>
        <r>
          <rPr>
            <sz val="9"/>
            <color indexed="81"/>
            <rFont val="Tahoma"/>
            <family val="2"/>
          </rPr>
          <t xml:space="preserve">
Total weekly hours required to operate the sheep farm. Would include daily chores such as feeding and general animal care.</t>
        </r>
      </text>
    </comment>
    <comment ref="E334" authorId="0" shapeId="0" xr:uid="{43E57E0A-198D-4E86-B264-63D1F7FCFF51}">
      <text>
        <r>
          <rPr>
            <b/>
            <sz val="9"/>
            <color indexed="81"/>
            <rFont val="Tahoma"/>
            <family val="2"/>
          </rPr>
          <t>Brad Marceniuk:</t>
        </r>
        <r>
          <rPr>
            <sz val="9"/>
            <color indexed="81"/>
            <rFont val="Tahoma"/>
            <family val="2"/>
          </rPr>
          <t xml:space="preserve">
Monthly hours specific for lambing, marketing and other monthly duties which are not daily or weekly.</t>
        </r>
      </text>
    </comment>
    <comment ref="E335" authorId="1" shapeId="0" xr:uid="{00000000-0006-0000-0300-00006E000000}">
      <text>
        <r>
          <rPr>
            <b/>
            <sz val="9"/>
            <color indexed="81"/>
            <rFont val="Tahoma"/>
            <family val="2"/>
          </rPr>
          <t>Marceniuk, Brad AG:</t>
        </r>
        <r>
          <rPr>
            <sz val="9"/>
            <color indexed="81"/>
            <rFont val="Tahoma"/>
            <family val="2"/>
          </rPr>
          <t xml:space="preserve">
Total annual hours required to operate the sheep farm. Would include daily chores or animal care, lambing season hours, and marketing hours. Could potentially include feed preparation and feed harvesting if not included in feed costs already.</t>
        </r>
      </text>
    </comment>
    <comment ref="E336" authorId="1" shapeId="0" xr:uid="{00000000-0006-0000-0300-00006F000000}">
      <text>
        <r>
          <rPr>
            <b/>
            <sz val="9"/>
            <color indexed="81"/>
            <rFont val="Tahoma"/>
            <family val="2"/>
          </rPr>
          <t>Marceniuk, Brad AG:</t>
        </r>
        <r>
          <rPr>
            <sz val="9"/>
            <color indexed="81"/>
            <rFont val="Tahoma"/>
            <family val="2"/>
          </rPr>
          <t xml:space="preserve">
Average labour rate or value per hour ($/hour); of labour required to operate sheep farm. </t>
        </r>
      </text>
    </comment>
    <comment ref="E337" authorId="1" shapeId="0" xr:uid="{00000000-0006-0000-0300-000070000000}">
      <text>
        <r>
          <rPr>
            <b/>
            <sz val="9"/>
            <color indexed="81"/>
            <rFont val="Tahoma"/>
            <family val="2"/>
          </rPr>
          <t>Marceniuk, Brad AG:</t>
        </r>
        <r>
          <rPr>
            <sz val="9"/>
            <color indexed="81"/>
            <rFont val="Tahoma"/>
            <family val="2"/>
          </rPr>
          <t xml:space="preserve">
Annual labour costs or requirements of the sheep farm.</t>
        </r>
      </text>
    </comment>
    <comment ref="E340" authorId="1" shapeId="0" xr:uid="{00000000-0006-0000-0300-000071000000}">
      <text>
        <r>
          <rPr>
            <b/>
            <sz val="9"/>
            <color indexed="81"/>
            <rFont val="Tahoma"/>
            <family val="2"/>
          </rPr>
          <t>Marceniuk, Brad AG:</t>
        </r>
        <r>
          <rPr>
            <sz val="9"/>
            <color indexed="81"/>
            <rFont val="Tahoma"/>
            <family val="2"/>
          </rPr>
          <t xml:space="preserve">
Annual cost to remove manure from pens or sheep barn.</t>
        </r>
      </text>
    </comment>
    <comment ref="E347" authorId="1" shapeId="0" xr:uid="{00000000-0006-0000-0300-000072000000}">
      <text>
        <r>
          <rPr>
            <b/>
            <sz val="9"/>
            <color indexed="81"/>
            <rFont val="Tahoma"/>
            <family val="2"/>
          </rPr>
          <t>Marceniuk, Brad AG:</t>
        </r>
        <r>
          <rPr>
            <sz val="9"/>
            <color indexed="81"/>
            <rFont val="Tahoma"/>
            <family val="2"/>
          </rPr>
          <t xml:space="preserve">
Annual fuel costs to operate a sheep operation. Primarily for feeding animals, transportation, or cleaning pens. Fuel costs to produce grain, hay and pasture can be included here or broken into Inputs#58 to #60.</t>
        </r>
      </text>
    </comment>
    <comment ref="E349" authorId="1" shapeId="0" xr:uid="{00000000-0006-0000-0300-000073000000}">
      <text>
        <r>
          <rPr>
            <b/>
            <sz val="9"/>
            <color indexed="81"/>
            <rFont val="Tahoma"/>
            <family val="2"/>
          </rPr>
          <t>Marceniuk, Brad AG:</t>
        </r>
        <r>
          <rPr>
            <sz val="9"/>
            <color indexed="81"/>
            <rFont val="Tahoma"/>
            <family val="2"/>
          </rPr>
          <t xml:space="preserve">
Annual utility costs such as hydro/electricity, natural gas, propane and phone; for sheep operation (home not included).</t>
        </r>
      </text>
    </comment>
    <comment ref="E353" authorId="1" shapeId="0" xr:uid="{00000000-0006-0000-0300-000074000000}">
      <text>
        <r>
          <rPr>
            <b/>
            <sz val="9"/>
            <color indexed="81"/>
            <rFont val="Tahoma"/>
            <family val="2"/>
          </rPr>
          <t>Marceniuk, Brad AG:</t>
        </r>
        <r>
          <rPr>
            <sz val="9"/>
            <color indexed="81"/>
            <rFont val="Tahoma"/>
            <family val="2"/>
          </rPr>
          <t xml:space="preserve">
Annual building repairs related to the sheep operation.</t>
        </r>
      </text>
    </comment>
    <comment ref="E355" authorId="1" shapeId="0" xr:uid="{00000000-0006-0000-0300-000075000000}">
      <text>
        <r>
          <rPr>
            <b/>
            <sz val="9"/>
            <color indexed="81"/>
            <rFont val="Tahoma"/>
            <family val="2"/>
          </rPr>
          <t>Marceniuk, Brad AG:</t>
        </r>
        <r>
          <rPr>
            <sz val="9"/>
            <color indexed="81"/>
            <rFont val="Tahoma"/>
            <family val="2"/>
          </rPr>
          <t xml:space="preserve">
Annual equipment repairs related to the sheep operation.</t>
        </r>
      </text>
    </comment>
    <comment ref="E360" authorId="1" shapeId="0" xr:uid="{00000000-0006-0000-0300-000076000000}">
      <text>
        <r>
          <rPr>
            <b/>
            <sz val="9"/>
            <color indexed="81"/>
            <rFont val="Tahoma"/>
            <family val="2"/>
          </rPr>
          <t>Marceniuk, Brad AG:</t>
        </r>
        <r>
          <rPr>
            <sz val="9"/>
            <color indexed="81"/>
            <rFont val="Tahoma"/>
            <family val="2"/>
          </rPr>
          <t xml:space="preserve">
Average selling ($) commissions per lamb sold.</t>
        </r>
      </text>
    </comment>
    <comment ref="E361" authorId="1" shapeId="0" xr:uid="{00000000-0006-0000-0300-000077000000}">
      <text>
        <r>
          <rPr>
            <b/>
            <sz val="9"/>
            <color indexed="81"/>
            <rFont val="Tahoma"/>
            <family val="2"/>
          </rPr>
          <t>Marceniuk, Brad AG:</t>
        </r>
        <r>
          <rPr>
            <sz val="9"/>
            <color indexed="81"/>
            <rFont val="Tahoma"/>
            <family val="2"/>
          </rPr>
          <t xml:space="preserve">
Average selling ($) commissions per culled ewe or ram sold.</t>
        </r>
      </text>
    </comment>
    <comment ref="E365" authorId="1" shapeId="0" xr:uid="{00000000-0006-0000-0300-000078000000}">
      <text>
        <r>
          <rPr>
            <b/>
            <sz val="9"/>
            <color indexed="81"/>
            <rFont val="Tahoma"/>
            <family val="2"/>
          </rPr>
          <t>Marceniuk, Brad AG:</t>
        </r>
        <r>
          <rPr>
            <sz val="9"/>
            <color indexed="81"/>
            <rFont val="Tahoma"/>
            <family val="2"/>
          </rPr>
          <t xml:space="preserve">
Check-off fees per lamb sold in operation.</t>
        </r>
      </text>
    </comment>
    <comment ref="E366" authorId="1" shapeId="0" xr:uid="{00000000-0006-0000-0300-000079000000}">
      <text>
        <r>
          <rPr>
            <b/>
            <sz val="9"/>
            <color indexed="81"/>
            <rFont val="Tahoma"/>
            <family val="2"/>
          </rPr>
          <t>Marceniuk, Brad AG:</t>
        </r>
        <r>
          <rPr>
            <sz val="9"/>
            <color indexed="81"/>
            <rFont val="Tahoma"/>
            <family val="2"/>
          </rPr>
          <t xml:space="preserve">
Check-off fees per ewe or ram.</t>
        </r>
      </text>
    </comment>
    <comment ref="E370" authorId="1" shapeId="0" xr:uid="{00000000-0006-0000-0300-00007A000000}">
      <text>
        <r>
          <rPr>
            <b/>
            <sz val="9"/>
            <color indexed="81"/>
            <rFont val="Tahoma"/>
            <family val="2"/>
          </rPr>
          <t>Marceniuk, Brad AG:</t>
        </r>
        <r>
          <rPr>
            <sz val="9"/>
            <color indexed="81"/>
            <rFont val="Tahoma"/>
            <family val="2"/>
          </rPr>
          <t xml:space="preserve">
Average transportation costs per lamb sold. Will vary with distance to market and size/type of trailer used.</t>
        </r>
      </text>
    </comment>
    <comment ref="E371" authorId="1" shapeId="0" xr:uid="{00000000-0006-0000-0300-00007B000000}">
      <text>
        <r>
          <rPr>
            <b/>
            <sz val="9"/>
            <color indexed="81"/>
            <rFont val="Tahoma"/>
            <family val="2"/>
          </rPr>
          <t>Marceniuk, Brad AG:</t>
        </r>
        <r>
          <rPr>
            <sz val="9"/>
            <color indexed="81"/>
            <rFont val="Tahoma"/>
            <family val="2"/>
          </rPr>
          <t xml:space="preserve">
Average transportation costs per cull ewe or ram sold. Will vary with distance to market and size/type of trailer used.</t>
        </r>
      </text>
    </comment>
    <comment ref="E375" authorId="1" shapeId="0" xr:uid="{00000000-0006-0000-0300-00007E000000}">
      <text>
        <r>
          <rPr>
            <b/>
            <sz val="9"/>
            <color indexed="81"/>
            <rFont val="Tahoma"/>
            <family val="2"/>
          </rPr>
          <t>Marceniuk, Brad AG:</t>
        </r>
        <r>
          <rPr>
            <sz val="9"/>
            <color indexed="81"/>
            <rFont val="Tahoma"/>
            <family val="2"/>
          </rPr>
          <t xml:space="preserve">
Annual accounting fees related to the sheep operation.</t>
        </r>
      </text>
    </comment>
    <comment ref="E376" authorId="1" shapeId="0" xr:uid="{00000000-0006-0000-0300-00007F000000}">
      <text>
        <r>
          <rPr>
            <b/>
            <sz val="9"/>
            <color indexed="81"/>
            <rFont val="Tahoma"/>
            <family val="2"/>
          </rPr>
          <t>Marceniuk, Brad AG:</t>
        </r>
        <r>
          <rPr>
            <sz val="9"/>
            <color indexed="81"/>
            <rFont val="Tahoma"/>
            <family val="2"/>
          </rPr>
          <t xml:space="preserve">
Annual property taxes related to land and buildings used for sheep operation (not home).</t>
        </r>
      </text>
    </comment>
    <comment ref="E377" authorId="1" shapeId="0" xr:uid="{00000000-0006-0000-0300-000080000000}">
      <text>
        <r>
          <rPr>
            <b/>
            <sz val="9"/>
            <color indexed="81"/>
            <rFont val="Tahoma"/>
            <family val="2"/>
          </rPr>
          <t>Marceniuk, Brad AG:</t>
        </r>
        <r>
          <rPr>
            <sz val="9"/>
            <color indexed="81"/>
            <rFont val="Tahoma"/>
            <family val="2"/>
          </rPr>
          <t xml:space="preserve">
Annual vehicle registration costs  related to sheep operation.</t>
        </r>
      </text>
    </comment>
    <comment ref="E378" authorId="1" shapeId="0" xr:uid="{00000000-0006-0000-0300-000081000000}">
      <text>
        <r>
          <rPr>
            <b/>
            <sz val="9"/>
            <color indexed="81"/>
            <rFont val="Tahoma"/>
            <family val="2"/>
          </rPr>
          <t>Marceniuk, Brad AG:</t>
        </r>
        <r>
          <rPr>
            <sz val="9"/>
            <color indexed="81"/>
            <rFont val="Tahoma"/>
            <family val="2"/>
          </rPr>
          <t xml:space="preserve">
Annual building and equipment market value for insurance purposes.</t>
        </r>
      </text>
    </comment>
    <comment ref="E379" authorId="1" shapeId="0" xr:uid="{00000000-0006-0000-0300-000082000000}">
      <text>
        <r>
          <rPr>
            <b/>
            <sz val="9"/>
            <color indexed="81"/>
            <rFont val="Tahoma"/>
            <family val="2"/>
          </rPr>
          <t>Marceniuk, Brad AG:</t>
        </r>
        <r>
          <rPr>
            <sz val="9"/>
            <color indexed="81"/>
            <rFont val="Tahoma"/>
            <family val="2"/>
          </rPr>
          <t xml:space="preserve">
Annual insurance cost per $100 of insurable value. </t>
        </r>
      </text>
    </comment>
    <comment ref="E381" authorId="1" shapeId="0" xr:uid="{00000000-0006-0000-0300-000083000000}">
      <text>
        <r>
          <rPr>
            <b/>
            <sz val="9"/>
            <color indexed="81"/>
            <rFont val="Tahoma"/>
            <family val="2"/>
          </rPr>
          <t>Marceniuk, Brad AG:</t>
        </r>
        <r>
          <rPr>
            <sz val="9"/>
            <color indexed="81"/>
            <rFont val="Tahoma"/>
            <family val="2"/>
          </rPr>
          <t xml:space="preserve">
Estimated insurable value of sheep inventory. Calculated estimated sheep herd but can be changed manually.</t>
        </r>
      </text>
    </comment>
    <comment ref="E382" authorId="1" shapeId="0" xr:uid="{00000000-0006-0000-0300-000084000000}">
      <text>
        <r>
          <rPr>
            <b/>
            <sz val="9"/>
            <color indexed="81"/>
            <rFont val="Tahoma"/>
            <family val="2"/>
          </rPr>
          <t>Marceniuk, Brad AG:</t>
        </r>
        <r>
          <rPr>
            <sz val="9"/>
            <color indexed="81"/>
            <rFont val="Tahoma"/>
            <family val="2"/>
          </rPr>
          <t xml:space="preserve">
Annual insurance cost per $100 of sheep inventory values. </t>
        </r>
      </text>
    </comment>
    <comment ref="E384" authorId="1" shapeId="0" xr:uid="{00000000-0006-0000-0300-000085000000}">
      <text>
        <r>
          <rPr>
            <b/>
            <sz val="9"/>
            <color indexed="81"/>
            <rFont val="Tahoma"/>
            <family val="2"/>
          </rPr>
          <t>Marceniuk, Brad AG:</t>
        </r>
        <r>
          <rPr>
            <sz val="9"/>
            <color indexed="81"/>
            <rFont val="Tahoma"/>
            <family val="2"/>
          </rPr>
          <t xml:space="preserve">
Annual inflation rate factor used on variable rate inputs influenced by inflaton factors.</t>
        </r>
      </text>
    </comment>
    <comment ref="E388" authorId="0" shapeId="0" xr:uid="{00000000-0006-0000-0300-000086000000}">
      <text>
        <r>
          <rPr>
            <b/>
            <sz val="8"/>
            <color indexed="81"/>
            <rFont val="Tahoma"/>
            <family val="2"/>
          </rPr>
          <t>Brad Marceniuk:</t>
        </r>
        <r>
          <rPr>
            <sz val="8"/>
            <color indexed="81"/>
            <rFont val="Tahoma"/>
            <family val="2"/>
          </rPr>
          <t xml:space="preserve">
S</t>
        </r>
        <r>
          <rPr>
            <sz val="9"/>
            <color indexed="81"/>
            <rFont val="Tahoma"/>
            <family val="2"/>
          </rPr>
          <t>tarting cash balance. Cash balances are calculated based on annual net cash flow and the previous year ending balance.  Numbers can be inputted on the input sheet which will be carried in forward years and into the balance sheet. Equity withdrawals can be taken from here.</t>
        </r>
      </text>
    </comment>
    <comment ref="E389" authorId="0" shapeId="0" xr:uid="{00000000-0006-0000-0300-000087000000}">
      <text>
        <r>
          <rPr>
            <b/>
            <sz val="8"/>
            <color indexed="81"/>
            <rFont val="Tahoma"/>
            <family val="2"/>
          </rPr>
          <t>Brad Marceniuk:</t>
        </r>
        <r>
          <rPr>
            <sz val="8"/>
            <color indexed="81"/>
            <rFont val="Tahoma"/>
            <family val="2"/>
          </rPr>
          <t xml:space="preserve">
</t>
        </r>
        <r>
          <rPr>
            <sz val="9"/>
            <color indexed="81"/>
            <rFont val="Tahoma"/>
            <family val="2"/>
          </rPr>
          <t>Accounts receivable are sales of lamb, etc., that will be received within the year.</t>
        </r>
      </text>
    </comment>
    <comment ref="E390" authorId="1" shapeId="0" xr:uid="{00000000-0006-0000-0300-000088000000}">
      <text>
        <r>
          <rPr>
            <b/>
            <sz val="9"/>
            <color indexed="81"/>
            <rFont val="Tahoma"/>
            <family val="2"/>
          </rPr>
          <t>Marceniuk, Brad AG:</t>
        </r>
        <r>
          <rPr>
            <sz val="9"/>
            <color indexed="81"/>
            <rFont val="Tahoma"/>
            <family val="2"/>
          </rPr>
          <t xml:space="preserve">
Market inventory of lambs kept for sale or breeding stock at start of the year.</t>
        </r>
      </text>
    </comment>
    <comment ref="E391" authorId="0" shapeId="0" xr:uid="{00000000-0006-0000-0300-000089000000}">
      <text>
        <r>
          <rPr>
            <b/>
            <sz val="8"/>
            <color indexed="81"/>
            <rFont val="Tahoma"/>
            <family val="2"/>
          </rPr>
          <t>Brad Marceniuk:</t>
        </r>
        <r>
          <rPr>
            <sz val="8"/>
            <color indexed="81"/>
            <rFont val="Tahoma"/>
            <family val="2"/>
          </rPr>
          <t xml:space="preserve">
</t>
        </r>
        <r>
          <rPr>
            <sz val="9"/>
            <color indexed="81"/>
            <rFont val="Tahoma"/>
            <family val="2"/>
          </rPr>
          <t>Total value of bred ewes at the start of the year. Assuming the ewes are bred before the start of the new year (Jan 1st) a bred animal value is used which is the estimated purchase price. Values are placed here based on prices and numbers used at the start of program, but can be changed here.</t>
        </r>
      </text>
    </comment>
    <comment ref="E392" authorId="0" shapeId="0" xr:uid="{00000000-0006-0000-0300-00008A000000}">
      <text>
        <r>
          <rPr>
            <b/>
            <sz val="8"/>
            <color indexed="81"/>
            <rFont val="Tahoma"/>
            <family val="2"/>
          </rPr>
          <t>Brad Marceniuk:</t>
        </r>
        <r>
          <rPr>
            <sz val="8"/>
            <color indexed="81"/>
            <rFont val="Tahoma"/>
            <family val="2"/>
          </rPr>
          <t xml:space="preserve">
</t>
        </r>
        <r>
          <rPr>
            <sz val="9"/>
            <color indexed="81"/>
            <rFont val="Tahoma"/>
            <family val="2"/>
          </rPr>
          <t>Value of the breeding stock rams at the start of the year.</t>
        </r>
      </text>
    </comment>
    <comment ref="E393" authorId="0" shapeId="0" xr:uid="{00000000-0006-0000-0300-00008B000000}">
      <text>
        <r>
          <rPr>
            <b/>
            <sz val="8"/>
            <color indexed="81"/>
            <rFont val="Tahoma"/>
            <family val="2"/>
          </rPr>
          <t>Brad Marceniuk:</t>
        </r>
        <r>
          <rPr>
            <sz val="8"/>
            <color indexed="81"/>
            <rFont val="Tahoma"/>
            <family val="2"/>
          </rPr>
          <t xml:space="preserve">
</t>
        </r>
        <r>
          <rPr>
            <sz val="9"/>
            <color indexed="81"/>
            <rFont val="Tahoma"/>
            <family val="2"/>
          </rPr>
          <t>Value of supplies, grain, supplements, and hay on hand at the start of the year. (Jan 1st)</t>
        </r>
      </text>
    </comment>
    <comment ref="E394" authorId="1" shapeId="0" xr:uid="{00000000-0006-0000-0300-00008C000000}">
      <text>
        <r>
          <rPr>
            <b/>
            <sz val="9"/>
            <color indexed="81"/>
            <rFont val="Tahoma"/>
            <family val="2"/>
          </rPr>
          <t>Marceniuk, Brad AG:</t>
        </r>
        <r>
          <rPr>
            <sz val="9"/>
            <color indexed="81"/>
            <rFont val="Tahoma"/>
            <family val="2"/>
          </rPr>
          <t xml:space="preserve">
Value of general farm supplies and medication at start of the year. (Jan. 1)</t>
        </r>
      </text>
    </comment>
    <comment ref="C395" authorId="0" shapeId="0" xr:uid="{00000000-0006-0000-0300-00008D000000}">
      <text>
        <r>
          <rPr>
            <b/>
            <sz val="8"/>
            <color indexed="81"/>
            <rFont val="Tahoma"/>
            <family val="2"/>
          </rPr>
          <t>Brad Marceniuk:</t>
        </r>
        <r>
          <rPr>
            <sz val="8"/>
            <color indexed="81"/>
            <rFont val="Tahoma"/>
            <family val="2"/>
          </rPr>
          <t xml:space="preserve">
Land is not considered a depreciating asset and thus not depreciated.</t>
        </r>
      </text>
    </comment>
    <comment ref="E395" authorId="0" shapeId="0" xr:uid="{00000000-0006-0000-0300-00008E000000}">
      <text>
        <r>
          <rPr>
            <b/>
            <sz val="8"/>
            <color indexed="81"/>
            <rFont val="Tahoma"/>
            <family val="2"/>
          </rPr>
          <t>Brad Marceniuk:</t>
        </r>
        <r>
          <rPr>
            <sz val="8"/>
            <color indexed="81"/>
            <rFont val="Tahoma"/>
            <family val="2"/>
          </rPr>
          <t xml:space="preserve">
</t>
        </r>
        <r>
          <rPr>
            <sz val="9"/>
            <color indexed="81"/>
            <rFont val="Tahoma"/>
            <family val="2"/>
          </rPr>
          <t>Value of the land (no buildings, etc.) and other non depreciating assets at the start of the year. Land values to remain the same unless more land is purchased.</t>
        </r>
      </text>
    </comment>
    <comment ref="C396" authorId="0" shapeId="0" xr:uid="{00000000-0006-0000-0300-00008F000000}">
      <text>
        <r>
          <rPr>
            <b/>
            <sz val="8"/>
            <color indexed="81"/>
            <rFont val="Tahoma"/>
            <family val="2"/>
          </rPr>
          <t>Brad Marceniuk:</t>
        </r>
        <r>
          <rPr>
            <sz val="8"/>
            <color indexed="81"/>
            <rFont val="Tahoma"/>
            <family val="2"/>
          </rPr>
          <t xml:space="preserve">
-Depending on type and age of the building it can fall into Class 1 (4%), Class 3 ( 5%) or class 6 (10%) for depreciation calculations.
-Fences are also classidied as class 6 (10%) for depreciation calculations.</t>
        </r>
      </text>
    </comment>
    <comment ref="E396" authorId="0" shapeId="0" xr:uid="{00000000-0006-0000-0300-000090000000}">
      <text>
        <r>
          <rPr>
            <b/>
            <sz val="8"/>
            <color indexed="81"/>
            <rFont val="Tahoma"/>
            <family val="2"/>
          </rPr>
          <t>Brad Marceniuk:</t>
        </r>
        <r>
          <rPr>
            <sz val="8"/>
            <color indexed="81"/>
            <rFont val="Tahoma"/>
            <family val="2"/>
          </rPr>
          <t xml:space="preserve">
</t>
        </r>
        <r>
          <rPr>
            <sz val="9"/>
            <color indexed="81"/>
            <rFont val="Tahoma"/>
            <family val="2"/>
          </rPr>
          <t>Value of farm buildings, graineries, fences, and other non movable farm assets used for sheep production.</t>
        </r>
      </text>
    </comment>
    <comment ref="C397" authorId="0" shapeId="0" xr:uid="{00000000-0006-0000-0300-000091000000}">
      <text>
        <r>
          <rPr>
            <b/>
            <sz val="8"/>
            <color indexed="81"/>
            <rFont val="Tahoma"/>
            <family val="2"/>
          </rPr>
          <t>Brad Marceniuk:</t>
        </r>
        <r>
          <rPr>
            <sz val="8"/>
            <color indexed="81"/>
            <rFont val="Tahoma"/>
            <family val="2"/>
          </rPr>
          <t xml:space="preserve">
Machinery and equipment are classified under class 8 (20%) for depreciation calculations.</t>
        </r>
      </text>
    </comment>
    <comment ref="E397" authorId="0" shapeId="0" xr:uid="{00000000-0006-0000-0300-000092000000}">
      <text>
        <r>
          <rPr>
            <b/>
            <sz val="8"/>
            <color indexed="81"/>
            <rFont val="Tahoma"/>
            <family val="2"/>
          </rPr>
          <t>Brad Marceniuk:</t>
        </r>
        <r>
          <rPr>
            <sz val="8"/>
            <color indexed="81"/>
            <rFont val="Tahoma"/>
            <family val="2"/>
          </rPr>
          <t xml:space="preserve">
</t>
        </r>
        <r>
          <rPr>
            <sz val="9"/>
            <color indexed="81"/>
            <rFont val="Tahoma"/>
            <family val="2"/>
          </rPr>
          <t>Value of farm machinery and equipment used for sheep production.</t>
        </r>
      </text>
    </comment>
    <comment ref="C398" authorId="0" shapeId="0" xr:uid="{00000000-0006-0000-0300-000093000000}">
      <text>
        <r>
          <rPr>
            <b/>
            <sz val="8"/>
            <color indexed="81"/>
            <rFont val="Tahoma"/>
            <family val="2"/>
          </rPr>
          <t>Brad Marceniuk:</t>
        </r>
        <r>
          <rPr>
            <sz val="8"/>
            <color indexed="81"/>
            <rFont val="Tahoma"/>
            <family val="2"/>
          </rPr>
          <t xml:space="preserve">
Infrastructure and site development such as roads and storage areas are under Class 17 (8%) for depreciation calculations.</t>
        </r>
      </text>
    </comment>
    <comment ref="E398" authorId="0" shapeId="0" xr:uid="{00000000-0006-0000-0300-000094000000}">
      <text>
        <r>
          <rPr>
            <b/>
            <sz val="8"/>
            <color indexed="81"/>
            <rFont val="Tahoma"/>
            <family val="2"/>
          </rPr>
          <t>Brad Marceniuk:</t>
        </r>
        <r>
          <rPr>
            <sz val="8"/>
            <color indexed="81"/>
            <rFont val="Tahoma"/>
            <family val="2"/>
          </rPr>
          <t xml:space="preserve">
</t>
        </r>
        <r>
          <rPr>
            <sz val="9"/>
            <color indexed="81"/>
            <rFont val="Tahoma"/>
            <family val="2"/>
          </rPr>
          <t>Infrastructure and site development costs such as roads and utilities.</t>
        </r>
      </text>
    </comment>
    <comment ref="E402" authorId="0" shapeId="0" xr:uid="{00000000-0006-0000-0300-000095000000}">
      <text>
        <r>
          <rPr>
            <b/>
            <sz val="8"/>
            <color indexed="81"/>
            <rFont val="Tahoma"/>
            <family val="2"/>
          </rPr>
          <t>Brad Marceniuk:</t>
        </r>
        <r>
          <rPr>
            <sz val="8"/>
            <color indexed="81"/>
            <rFont val="Tahoma"/>
            <family val="2"/>
          </rPr>
          <t xml:space="preserve">
</t>
        </r>
        <r>
          <rPr>
            <sz val="9"/>
            <color indexed="81"/>
            <rFont val="Tahoma"/>
            <family val="2"/>
          </rPr>
          <t>Operating loans outstanding at the start of the year. Operating balance are calculated based on annual net cash flow plus starting balance.</t>
        </r>
      </text>
    </comment>
    <comment ref="E403" authorId="0" shapeId="0" xr:uid="{00000000-0006-0000-0300-000096000000}">
      <text>
        <r>
          <rPr>
            <b/>
            <sz val="8"/>
            <color indexed="81"/>
            <rFont val="Tahoma"/>
            <family val="2"/>
          </rPr>
          <t>Brad Marceniuk:</t>
        </r>
        <r>
          <rPr>
            <sz val="8"/>
            <color indexed="81"/>
            <rFont val="Tahoma"/>
            <family val="2"/>
          </rPr>
          <t xml:space="preserve">
</t>
        </r>
        <r>
          <rPr>
            <sz val="9"/>
            <color indexed="81"/>
            <rFont val="Tahoma"/>
            <family val="2"/>
          </rPr>
          <t>Accounts payable are purchases of items that are due within the year.
Balance at the start of year.</t>
        </r>
      </text>
    </comment>
    <comment ref="E404" authorId="0" shapeId="0" xr:uid="{00000000-0006-0000-0300-000097000000}">
      <text>
        <r>
          <rPr>
            <b/>
            <sz val="8"/>
            <color indexed="81"/>
            <rFont val="Tahoma"/>
            <family val="2"/>
          </rPr>
          <t>Brad Marceniuk:</t>
        </r>
        <r>
          <rPr>
            <sz val="8"/>
            <color indexed="81"/>
            <rFont val="Tahoma"/>
            <family val="2"/>
          </rPr>
          <t xml:space="preserve">
Principal payments that are overdue and need to be paid within the year.</t>
        </r>
      </text>
    </comment>
    <comment ref="E405" authorId="0" shapeId="0" xr:uid="{00000000-0006-0000-0300-000098000000}">
      <text>
        <r>
          <rPr>
            <b/>
            <sz val="8"/>
            <color indexed="81"/>
            <rFont val="Tahoma"/>
            <family val="2"/>
          </rPr>
          <t>Brad Marceniuk:</t>
        </r>
        <r>
          <rPr>
            <sz val="8"/>
            <color indexed="81"/>
            <rFont val="Tahoma"/>
            <family val="2"/>
          </rPr>
          <t xml:space="preserve">
</t>
        </r>
        <r>
          <rPr>
            <sz val="9"/>
            <color indexed="81"/>
            <rFont val="Tahoma"/>
            <family val="2"/>
          </rPr>
          <t>Curent portion of principal payments from long-term debt that will be due over the coming 12 months (year). Current debt is calculated based on existing long-term debt outstanding and repayment schedule and interest rates.</t>
        </r>
        <r>
          <rPr>
            <sz val="8"/>
            <color indexed="81"/>
            <rFont val="Tahoma"/>
            <family val="2"/>
          </rPr>
          <t xml:space="preserve"> </t>
        </r>
      </text>
    </comment>
    <comment ref="E408" authorId="0" shapeId="0" xr:uid="{00000000-0006-0000-0300-000099000000}">
      <text>
        <r>
          <rPr>
            <b/>
            <sz val="8"/>
            <color indexed="81"/>
            <rFont val="Tahoma"/>
            <family val="2"/>
          </rPr>
          <t>Brad Marceniuk:</t>
        </r>
        <r>
          <rPr>
            <sz val="8"/>
            <color indexed="81"/>
            <rFont val="Tahoma"/>
            <family val="2"/>
          </rPr>
          <t xml:space="preserve">
</t>
        </r>
        <r>
          <rPr>
            <sz val="9"/>
            <color indexed="81"/>
            <rFont val="Tahoma"/>
            <family val="2"/>
          </rPr>
          <t xml:space="preserve">Estimated total annual operating costs. </t>
        </r>
      </text>
    </comment>
    <comment ref="E409" authorId="0" shapeId="0" xr:uid="{00000000-0006-0000-0300-00009A000000}">
      <text>
        <r>
          <rPr>
            <b/>
            <sz val="8"/>
            <color indexed="81"/>
            <rFont val="Tahoma"/>
            <family val="2"/>
          </rPr>
          <t>Brad Marceniuk:</t>
        </r>
        <r>
          <rPr>
            <sz val="8"/>
            <color indexed="81"/>
            <rFont val="Tahoma"/>
            <family val="2"/>
          </rPr>
          <t xml:space="preserve">
-</t>
        </r>
        <r>
          <rPr>
            <sz val="9"/>
            <color indexed="81"/>
            <rFont val="Tahoma"/>
            <family val="2"/>
          </rPr>
          <t>Estimated average daily operating loan balance through out the year. Used to calculate annual operating interest costs. 
-Year 1 is calculated based on the average monthly account balances from the revenues and expenses as per the projections with revenues expected at end of each month. If start with zero cash and loan balance then average costs for month will be used to calulated interest costs.</t>
        </r>
      </text>
    </comment>
    <comment ref="E410" authorId="1" shapeId="0" xr:uid="{00000000-0006-0000-0300-00009B000000}">
      <text>
        <r>
          <rPr>
            <b/>
            <sz val="9"/>
            <color indexed="81"/>
            <rFont val="Tahoma"/>
            <family val="2"/>
          </rPr>
          <t>Marceniuk, Brad AG:</t>
        </r>
        <r>
          <rPr>
            <sz val="9"/>
            <color indexed="81"/>
            <rFont val="Tahoma"/>
            <family val="2"/>
          </rPr>
          <t xml:space="preserve">
Annual interest rate on the operating loan. </t>
        </r>
      </text>
    </comment>
    <comment ref="E415" authorId="1" shapeId="0" xr:uid="{00000000-0006-0000-0300-00009C000000}">
      <text>
        <r>
          <rPr>
            <b/>
            <sz val="9"/>
            <color indexed="81"/>
            <rFont val="Tahoma"/>
            <family val="2"/>
          </rPr>
          <t>Marceniuk, Brad AG:</t>
        </r>
        <r>
          <rPr>
            <sz val="9"/>
            <color indexed="81"/>
            <rFont val="Tahoma"/>
            <family val="2"/>
          </rPr>
          <t xml:space="preserve">
Principal value of loan outstanding for land and long-term assets.</t>
        </r>
      </text>
    </comment>
    <comment ref="E416" authorId="1" shapeId="0" xr:uid="{00000000-0006-0000-0300-00009D000000}">
      <text>
        <r>
          <rPr>
            <b/>
            <sz val="9"/>
            <color indexed="81"/>
            <rFont val="Tahoma"/>
            <family val="2"/>
          </rPr>
          <t>Marceniuk, Brad AG:</t>
        </r>
        <r>
          <rPr>
            <sz val="9"/>
            <color indexed="81"/>
            <rFont val="Tahoma"/>
            <family val="2"/>
          </rPr>
          <t xml:space="preserve">
Annual interest rate on long-term loan #1.</t>
        </r>
      </text>
    </comment>
    <comment ref="E417" authorId="1" shapeId="0" xr:uid="{00000000-0006-0000-0300-00009E000000}">
      <text>
        <r>
          <rPr>
            <b/>
            <sz val="9"/>
            <color indexed="81"/>
            <rFont val="Tahoma"/>
            <family val="2"/>
          </rPr>
          <t>Marceniuk, Brad AG:</t>
        </r>
        <r>
          <rPr>
            <sz val="9"/>
            <color indexed="81"/>
            <rFont val="Tahoma"/>
            <family val="2"/>
          </rPr>
          <t xml:space="preserve">
Length of loan remaining in number of years.</t>
        </r>
      </text>
    </comment>
    <comment ref="E421" authorId="1" shapeId="0" xr:uid="{00000000-0006-0000-0300-00009F000000}">
      <text>
        <r>
          <rPr>
            <b/>
            <sz val="9"/>
            <color indexed="81"/>
            <rFont val="Tahoma"/>
            <family val="2"/>
          </rPr>
          <t>Marceniuk, Brad AG:</t>
        </r>
        <r>
          <rPr>
            <sz val="9"/>
            <color indexed="81"/>
            <rFont val="Tahoma"/>
            <family val="2"/>
          </rPr>
          <t xml:space="preserve">
Principal value of loan outstanding for machinery and equipment.</t>
        </r>
      </text>
    </comment>
    <comment ref="E422" authorId="1" shapeId="0" xr:uid="{00000000-0006-0000-0300-0000A0000000}">
      <text>
        <r>
          <rPr>
            <b/>
            <sz val="9"/>
            <color indexed="81"/>
            <rFont val="Tahoma"/>
            <family val="2"/>
          </rPr>
          <t>Marceniuk, Brad AG:</t>
        </r>
        <r>
          <rPr>
            <sz val="9"/>
            <color indexed="81"/>
            <rFont val="Tahoma"/>
            <family val="2"/>
          </rPr>
          <t xml:space="preserve">
Annual interest rate for loan #2.</t>
        </r>
      </text>
    </comment>
    <comment ref="E423" authorId="1" shapeId="0" xr:uid="{00000000-0006-0000-0300-0000A1000000}">
      <text>
        <r>
          <rPr>
            <b/>
            <sz val="9"/>
            <color indexed="81"/>
            <rFont val="Tahoma"/>
            <family val="2"/>
          </rPr>
          <t>Marceniuk, Brad AG:</t>
        </r>
        <r>
          <rPr>
            <sz val="9"/>
            <color indexed="81"/>
            <rFont val="Tahoma"/>
            <family val="2"/>
          </rPr>
          <t xml:space="preserve">
Length of loan remaining in number of years.</t>
        </r>
      </text>
    </comment>
    <comment ref="E427" authorId="1" shapeId="0" xr:uid="{00000000-0006-0000-0300-0000A2000000}">
      <text>
        <r>
          <rPr>
            <b/>
            <sz val="9"/>
            <color indexed="81"/>
            <rFont val="Tahoma"/>
            <family val="2"/>
          </rPr>
          <t>Marceniuk, Brad AG:</t>
        </r>
        <r>
          <rPr>
            <sz val="9"/>
            <color indexed="81"/>
            <rFont val="Tahoma"/>
            <family val="2"/>
          </rPr>
          <t xml:space="preserve">
Principal value of new loan for sheep/other during year one. First payment in year two.</t>
        </r>
      </text>
    </comment>
    <comment ref="E428" authorId="1" shapeId="0" xr:uid="{00000000-0006-0000-0300-0000A3000000}">
      <text>
        <r>
          <rPr>
            <b/>
            <sz val="9"/>
            <color indexed="81"/>
            <rFont val="Tahoma"/>
            <family val="2"/>
          </rPr>
          <t>Marceniuk, Brad AG:</t>
        </r>
        <r>
          <rPr>
            <sz val="9"/>
            <color indexed="81"/>
            <rFont val="Tahoma"/>
            <family val="2"/>
          </rPr>
          <t xml:space="preserve">
Annual interest rate of new loan.</t>
        </r>
      </text>
    </comment>
    <comment ref="E429" authorId="1" shapeId="0" xr:uid="{00000000-0006-0000-0300-0000A4000000}">
      <text>
        <r>
          <rPr>
            <b/>
            <sz val="9"/>
            <color indexed="81"/>
            <rFont val="Tahoma"/>
            <family val="2"/>
          </rPr>
          <t>Marceniuk, Brad AG:</t>
        </r>
        <r>
          <rPr>
            <sz val="9"/>
            <color indexed="81"/>
            <rFont val="Tahoma"/>
            <family val="2"/>
          </rPr>
          <t xml:space="preserve">
Length of new loan in number of years.</t>
        </r>
      </text>
    </comment>
    <comment ref="E433" authorId="1" shapeId="0" xr:uid="{00000000-0006-0000-0300-0000A5000000}">
      <text>
        <r>
          <rPr>
            <b/>
            <sz val="9"/>
            <color indexed="81"/>
            <rFont val="Tahoma"/>
            <family val="2"/>
          </rPr>
          <t>Marceniuk, Brad AG:</t>
        </r>
        <r>
          <rPr>
            <sz val="9"/>
            <color indexed="81"/>
            <rFont val="Tahoma"/>
            <family val="2"/>
          </rPr>
          <t xml:space="preserve">
Principal value of new loan for sheep/other during year two. First payment in year three.</t>
        </r>
      </text>
    </comment>
    <comment ref="E434" authorId="1" shapeId="0" xr:uid="{00000000-0006-0000-0300-0000A6000000}">
      <text>
        <r>
          <rPr>
            <b/>
            <sz val="9"/>
            <color indexed="81"/>
            <rFont val="Tahoma"/>
            <family val="2"/>
          </rPr>
          <t>Marceniuk, Brad AG:</t>
        </r>
        <r>
          <rPr>
            <sz val="9"/>
            <color indexed="81"/>
            <rFont val="Tahoma"/>
            <family val="2"/>
          </rPr>
          <t xml:space="preserve">
Annual interest rate of new loan.</t>
        </r>
      </text>
    </comment>
    <comment ref="E435" authorId="1" shapeId="0" xr:uid="{00000000-0006-0000-0300-0000A7000000}">
      <text>
        <r>
          <rPr>
            <b/>
            <sz val="9"/>
            <color indexed="81"/>
            <rFont val="Tahoma"/>
            <family val="2"/>
          </rPr>
          <t>Marceniuk, Brad AG:</t>
        </r>
        <r>
          <rPr>
            <sz val="9"/>
            <color indexed="81"/>
            <rFont val="Tahoma"/>
            <family val="2"/>
          </rPr>
          <t xml:space="preserve">
Length of new loan in number of years.</t>
        </r>
      </text>
    </comment>
    <comment ref="E439" authorId="1" shapeId="0" xr:uid="{00000000-0006-0000-0300-0000A8000000}">
      <text>
        <r>
          <rPr>
            <b/>
            <sz val="9"/>
            <color indexed="81"/>
            <rFont val="Tahoma"/>
            <family val="2"/>
          </rPr>
          <t>Marceniuk, Brad AG:</t>
        </r>
        <r>
          <rPr>
            <sz val="9"/>
            <color indexed="81"/>
            <rFont val="Tahoma"/>
            <family val="2"/>
          </rPr>
          <t xml:space="preserve">
Principal value of new loan for sheep/other during year three. First payment will be in year four.</t>
        </r>
      </text>
    </comment>
    <comment ref="E440" authorId="1" shapeId="0" xr:uid="{00000000-0006-0000-0300-0000A9000000}">
      <text>
        <r>
          <rPr>
            <b/>
            <sz val="9"/>
            <color indexed="81"/>
            <rFont val="Tahoma"/>
            <family val="2"/>
          </rPr>
          <t>Marceniuk, Brad AG:</t>
        </r>
        <r>
          <rPr>
            <sz val="9"/>
            <color indexed="81"/>
            <rFont val="Tahoma"/>
            <family val="2"/>
          </rPr>
          <t xml:space="preserve">
Annual interest rate of new loan.</t>
        </r>
      </text>
    </comment>
    <comment ref="E441" authorId="1" shapeId="0" xr:uid="{00000000-0006-0000-0300-0000AA000000}">
      <text>
        <r>
          <rPr>
            <b/>
            <sz val="9"/>
            <color indexed="81"/>
            <rFont val="Tahoma"/>
            <family val="2"/>
          </rPr>
          <t>Marceniuk, Brad AG:</t>
        </r>
        <r>
          <rPr>
            <sz val="9"/>
            <color indexed="81"/>
            <rFont val="Tahoma"/>
            <family val="2"/>
          </rPr>
          <t xml:space="preserve">
Length of new loan in number of years.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Brad Marceniuk</author>
  </authors>
  <commentList>
    <comment ref="D37" authorId="0" shapeId="0" xr:uid="{00000000-0006-0000-0600-000001000000}">
      <text>
        <r>
          <rPr>
            <b/>
            <sz val="8"/>
            <color indexed="81"/>
            <rFont val="Tahoma"/>
            <family val="2"/>
          </rPr>
          <t>Brad Marceniuk:</t>
        </r>
        <r>
          <rPr>
            <sz val="8"/>
            <color indexed="81"/>
            <rFont val="Tahoma"/>
            <family val="2"/>
          </rPr>
          <t xml:space="preserve">
Net Income adjusted for changes in Inventory, Accounts Receivable, and Accounts Payable.</t>
        </r>
      </text>
    </comment>
  </commentList>
</comments>
</file>

<file path=xl/sharedStrings.xml><?xml version="1.0" encoding="utf-8"?>
<sst xmlns="http://schemas.openxmlformats.org/spreadsheetml/2006/main" count="1841" uniqueCount="978">
  <si>
    <t>TOTAL</t>
  </si>
  <si>
    <t xml:space="preserve"> </t>
  </si>
  <si>
    <t>Input 1</t>
  </si>
  <si>
    <t>Input 2</t>
  </si>
  <si>
    <t>Year 1</t>
  </si>
  <si>
    <t>Year 2</t>
  </si>
  <si>
    <t>Year 3</t>
  </si>
  <si>
    <t>Year 4</t>
  </si>
  <si>
    <t>Year 5</t>
  </si>
  <si>
    <t>Input 3</t>
  </si>
  <si>
    <t>Input 4</t>
  </si>
  <si>
    <t>calculated</t>
  </si>
  <si>
    <t>FEED COSTS</t>
  </si>
  <si>
    <t>FEED INGREDIENTS</t>
  </si>
  <si>
    <t>Barley</t>
  </si>
  <si>
    <t>Straw</t>
  </si>
  <si>
    <t>Supplements</t>
  </si>
  <si>
    <t>Barley ($/tonne)</t>
  </si>
  <si>
    <t>Straw ($/tonne)</t>
  </si>
  <si>
    <t>FEED RATIONS</t>
  </si>
  <si>
    <t>lbs/hd/day</t>
  </si>
  <si>
    <t>Input 8</t>
  </si>
  <si>
    <t>Input 9</t>
  </si>
  <si>
    <t>Input 10</t>
  </si>
  <si>
    <t>Input 11</t>
  </si>
  <si>
    <t>Other</t>
  </si>
  <si>
    <t>Input 12</t>
  </si>
  <si>
    <t>Input 13</t>
  </si>
  <si>
    <t>Input 14</t>
  </si>
  <si>
    <t>Input 15</t>
  </si>
  <si>
    <t>Input 16</t>
  </si>
  <si>
    <t>Input 17</t>
  </si>
  <si>
    <t>Input 18</t>
  </si>
  <si>
    <t>Input 19</t>
  </si>
  <si>
    <t>Input 20</t>
  </si>
  <si>
    <t>Input 21</t>
  </si>
  <si>
    <t>Input 22</t>
  </si>
  <si>
    <t>Input 23</t>
  </si>
  <si>
    <t>Input 24</t>
  </si>
  <si>
    <t>Input 25</t>
  </si>
  <si>
    <t>Input 26</t>
  </si>
  <si>
    <t>Input 27</t>
  </si>
  <si>
    <t>Input 28</t>
  </si>
  <si>
    <t>Input 29</t>
  </si>
  <si>
    <t>Input 30</t>
  </si>
  <si>
    <t>Vitamins</t>
  </si>
  <si>
    <t>Input 36</t>
  </si>
  <si>
    <t>Input 37</t>
  </si>
  <si>
    <t>OPERATING COSTS</t>
  </si>
  <si>
    <t>Input 38</t>
  </si>
  <si>
    <t>Input 39</t>
  </si>
  <si>
    <t>Input 40</t>
  </si>
  <si>
    <t>Input 41</t>
  </si>
  <si>
    <t>Input 42</t>
  </si>
  <si>
    <t>Input 43</t>
  </si>
  <si>
    <t>Input 44</t>
  </si>
  <si>
    <t>Input 45</t>
  </si>
  <si>
    <t>Input 50</t>
  </si>
  <si>
    <t>Input 51</t>
  </si>
  <si>
    <t>MARKETING AND TRANSPORTATION COSTS</t>
  </si>
  <si>
    <t>Input 52</t>
  </si>
  <si>
    <t>Input 53</t>
  </si>
  <si>
    <t>Transportation Costs</t>
  </si>
  <si>
    <t>Input 54</t>
  </si>
  <si>
    <t>Input 55</t>
  </si>
  <si>
    <t>Input 56</t>
  </si>
  <si>
    <t>Input 57</t>
  </si>
  <si>
    <t>Input 58</t>
  </si>
  <si>
    <t>Input 61</t>
  </si>
  <si>
    <t>ACCOUNTING AND MISCELLANEOUS</t>
  </si>
  <si>
    <t>Annual Accounting Fees</t>
  </si>
  <si>
    <t>Annual Property Taxes</t>
  </si>
  <si>
    <t>Annual Inflation Increases</t>
  </si>
  <si>
    <t>Input 62</t>
  </si>
  <si>
    <t>Input 63</t>
  </si>
  <si>
    <t>Input 64</t>
  </si>
  <si>
    <t>Input 65</t>
  </si>
  <si>
    <t>Input 66</t>
  </si>
  <si>
    <t>Date:</t>
  </si>
  <si>
    <t>Telephone#:</t>
  </si>
  <si>
    <t>Fax#:</t>
  </si>
  <si>
    <t>REVENUE</t>
  </si>
  <si>
    <t>Total $</t>
  </si>
  <si>
    <t>TOTAL REVENUE</t>
  </si>
  <si>
    <t>Veterinary Services and Medication</t>
  </si>
  <si>
    <t>Labour Costs</t>
  </si>
  <si>
    <t>Insurance cost per $100 dollars insurance</t>
  </si>
  <si>
    <t>Building and Equipment Insurance value</t>
  </si>
  <si>
    <t>Input 67</t>
  </si>
  <si>
    <t>Input 68</t>
  </si>
  <si>
    <t>Input 69</t>
  </si>
  <si>
    <t>Input 70</t>
  </si>
  <si>
    <t>Input 71</t>
  </si>
  <si>
    <t>Input 72</t>
  </si>
  <si>
    <t>Input 73</t>
  </si>
  <si>
    <t>Input 74</t>
  </si>
  <si>
    <t xml:space="preserve">Building and Equipment Insurance Cost </t>
  </si>
  <si>
    <t>Input 75</t>
  </si>
  <si>
    <t>Insurance Costs</t>
  </si>
  <si>
    <t>Input 76</t>
  </si>
  <si>
    <t>Input 77</t>
  </si>
  <si>
    <t>Input 78</t>
  </si>
  <si>
    <t>Input 79</t>
  </si>
  <si>
    <t>Input 80</t>
  </si>
  <si>
    <t>Input 81</t>
  </si>
  <si>
    <t>TOTAL VARIABLE COSTS</t>
  </si>
  <si>
    <t>Operating Interest Rate</t>
  </si>
  <si>
    <t>Input 82</t>
  </si>
  <si>
    <t>Input 83</t>
  </si>
  <si>
    <t>Input 84</t>
  </si>
  <si>
    <t>Depreciation</t>
  </si>
  <si>
    <t>Long Term Interest</t>
  </si>
  <si>
    <t>Initial Cost</t>
  </si>
  <si>
    <t>DEPRECIATION</t>
  </si>
  <si>
    <t>Year End</t>
  </si>
  <si>
    <t>TOTAL FIXED COSTS</t>
  </si>
  <si>
    <t>TOTAL COSTS</t>
  </si>
  <si>
    <t>NET INCOME, Before Taxes</t>
  </si>
  <si>
    <t>Plus Depreciation/Amortization</t>
  </si>
  <si>
    <t>Less Principal Payments</t>
  </si>
  <si>
    <t>Net Cash Flow, Before Taxes</t>
  </si>
  <si>
    <t>Estimated Average Daily Operating Loan</t>
  </si>
  <si>
    <t>FIXED LOANS</t>
  </si>
  <si>
    <t>Principal Loan Amount</t>
  </si>
  <si>
    <t>Interest Rate</t>
  </si>
  <si>
    <t>Term of loan remaining in years</t>
  </si>
  <si>
    <t>Input 85</t>
  </si>
  <si>
    <t>Input 86</t>
  </si>
  <si>
    <t>Input 87</t>
  </si>
  <si>
    <t>Input 88</t>
  </si>
  <si>
    <t>Input 89</t>
  </si>
  <si>
    <t>Input 90</t>
  </si>
  <si>
    <t>Input 91</t>
  </si>
  <si>
    <t>Input 92</t>
  </si>
  <si>
    <t>Principal</t>
  </si>
  <si>
    <t>Loan Payment</t>
  </si>
  <si>
    <t>Principal Pmt.</t>
  </si>
  <si>
    <t>Principal Bal.</t>
  </si>
  <si>
    <t>Interest Pmt</t>
  </si>
  <si>
    <t>Loan Pmt.</t>
  </si>
  <si>
    <t>Term of Loan</t>
  </si>
  <si>
    <t>Input 93</t>
  </si>
  <si>
    <t>Input 94</t>
  </si>
  <si>
    <t>Marketing Commissions</t>
  </si>
  <si>
    <t>Input 5</t>
  </si>
  <si>
    <t>Input 6</t>
  </si>
  <si>
    <t>Input 7</t>
  </si>
  <si>
    <t>Supplements ($/tonne)</t>
  </si>
  <si>
    <t>Input 49</t>
  </si>
  <si>
    <t>Input 95</t>
  </si>
  <si>
    <t>BREEDING STOCK</t>
  </si>
  <si>
    <t>Cost Per Day/Head</t>
  </si>
  <si>
    <t>Hay</t>
  </si>
  <si>
    <t>Hay ($/tonne)</t>
  </si>
  <si>
    <t>Veterinary and Medicine</t>
  </si>
  <si>
    <t>Custom Work and Manure Removal</t>
  </si>
  <si>
    <t>Annual Total Salary</t>
  </si>
  <si>
    <t>Labour Requirements and Costs</t>
  </si>
  <si>
    <t>Custom Work/Manure Removal Costs</t>
  </si>
  <si>
    <t>Fuel and Utility Costs</t>
  </si>
  <si>
    <t>Annual Fuel Costs</t>
  </si>
  <si>
    <t>Annual Building Repairs</t>
  </si>
  <si>
    <t>Annual Utility Costs (hydro, natural gas, phone)</t>
  </si>
  <si>
    <t>Annual commission/selling costs</t>
  </si>
  <si>
    <t>Annual transportation costs</t>
  </si>
  <si>
    <t>Annual Equipment Repairs</t>
  </si>
  <si>
    <t>Input 96</t>
  </si>
  <si>
    <t>Input 97</t>
  </si>
  <si>
    <t>Operating Interest Costs</t>
  </si>
  <si>
    <t>Annual Interest Costs</t>
  </si>
  <si>
    <t>Input 98</t>
  </si>
  <si>
    <t>Cost Per Head</t>
  </si>
  <si>
    <t>Vitamins ($/tonne)</t>
  </si>
  <si>
    <t>Loan#1 - Land and Buildings</t>
  </si>
  <si>
    <t>Total</t>
  </si>
  <si>
    <t>Input 99</t>
  </si>
  <si>
    <t>Input 100</t>
  </si>
  <si>
    <t>Input 101</t>
  </si>
  <si>
    <t>Input 102</t>
  </si>
  <si>
    <t>Input 103</t>
  </si>
  <si>
    <t>Input 104</t>
  </si>
  <si>
    <t>Cash revenues</t>
  </si>
  <si>
    <t>Net cash flows</t>
  </si>
  <si>
    <t>Dep. Rate</t>
  </si>
  <si>
    <t xml:space="preserve">Year </t>
  </si>
  <si>
    <t>Loan#2 - Machinery and Equipment</t>
  </si>
  <si>
    <t>Input 105</t>
  </si>
  <si>
    <t>Input 106</t>
  </si>
  <si>
    <t>Input 107</t>
  </si>
  <si>
    <t>Input 108</t>
  </si>
  <si>
    <t>Input 109</t>
  </si>
  <si>
    <t>Input 110</t>
  </si>
  <si>
    <t>Input 111</t>
  </si>
  <si>
    <t>Input 112</t>
  </si>
  <si>
    <t>Input 113</t>
  </si>
  <si>
    <t>Input 114</t>
  </si>
  <si>
    <t>Input 115</t>
  </si>
  <si>
    <t>Input 116</t>
  </si>
  <si>
    <t>Input 117</t>
  </si>
  <si>
    <t>Input 118</t>
  </si>
  <si>
    <t>Input 119</t>
  </si>
  <si>
    <t>Input 120</t>
  </si>
  <si>
    <t>Input 121</t>
  </si>
  <si>
    <t>Input 122</t>
  </si>
  <si>
    <t>Input 123</t>
  </si>
  <si>
    <t>Input 124</t>
  </si>
  <si>
    <t>Input 125</t>
  </si>
  <si>
    <t>Input 126</t>
  </si>
  <si>
    <t>Input 127</t>
  </si>
  <si>
    <t>Input 129</t>
  </si>
  <si>
    <t>Input 130</t>
  </si>
  <si>
    <t>Input 131</t>
  </si>
  <si>
    <t>Input 132</t>
  </si>
  <si>
    <t>Input 133</t>
  </si>
  <si>
    <t>Input 134</t>
  </si>
  <si>
    <t>Input 135</t>
  </si>
  <si>
    <t>EXPENSES - VARIABLE COSTS</t>
  </si>
  <si>
    <t>NET CASH FLOW</t>
  </si>
  <si>
    <t>Ewe Lambs - kept for breeding (Number Head)</t>
  </si>
  <si>
    <t>Bred Ewe Lambs Purchase Price - $/Bred Ewe</t>
  </si>
  <si>
    <t>Rams Purchase Price - $/Ram</t>
  </si>
  <si>
    <t>Cull Ewe Average Culling Weight (LBS)</t>
  </si>
  <si>
    <t>Cull Ram Average Culling Weight (LBS)</t>
  </si>
  <si>
    <t>Cull Ram Price - $/Ram</t>
  </si>
  <si>
    <t>Breeding Supplies</t>
  </si>
  <si>
    <t>Manure removal costs per ewe</t>
  </si>
  <si>
    <t>(Fuel costs per ewe)</t>
  </si>
  <si>
    <t>(Utility costs per ewe)</t>
  </si>
  <si>
    <t>(Building costs per ewe)</t>
  </si>
  <si>
    <t>(Equipment costs per ewe)</t>
  </si>
  <si>
    <t>Lamb transportation costs - $/lamb</t>
  </si>
  <si>
    <t>Sheep Insurance Value</t>
  </si>
  <si>
    <t>Sheep Insurance cost per $100 dollars value.</t>
  </si>
  <si>
    <t>Sheep Insurance Cost</t>
  </si>
  <si>
    <t>Loan#3 - Sheep Loan Purchase #1 (Year #1)</t>
  </si>
  <si>
    <t>Loan#4 - Sheep Loan Purchase #2 (Year #2)</t>
  </si>
  <si>
    <t>Loan#5 - Sheep Loan Purchase #3 (Year #3)</t>
  </si>
  <si>
    <t>Loan#6 - Sheep Loan Purchase #4 (Year #4)</t>
  </si>
  <si>
    <t>Loan#7 - Sheep Loan Purchase #5 (Year #5)</t>
  </si>
  <si>
    <t>Cost Per Head/Flushing and Pre-lambing</t>
  </si>
  <si>
    <t>Ewes - Feeding Days and Ration</t>
  </si>
  <si>
    <t>Rams - Feeding Days and Ration</t>
  </si>
  <si>
    <t>Feeding Days</t>
  </si>
  <si>
    <t>Lambs - Feeding Days and Ration</t>
  </si>
  <si>
    <t>Input 136</t>
  </si>
  <si>
    <t>Input 137</t>
  </si>
  <si>
    <t>Input 138</t>
  </si>
  <si>
    <t>Input 139</t>
  </si>
  <si>
    <t>Input 140</t>
  </si>
  <si>
    <t>Input 141</t>
  </si>
  <si>
    <t>Input 142</t>
  </si>
  <si>
    <t>Input 143</t>
  </si>
  <si>
    <t>Input 144</t>
  </si>
  <si>
    <t>Input 145</t>
  </si>
  <si>
    <t>Input 146</t>
  </si>
  <si>
    <t>Input 147</t>
  </si>
  <si>
    <t>Input 148</t>
  </si>
  <si>
    <t>Input 149</t>
  </si>
  <si>
    <t>Input 150</t>
  </si>
  <si>
    <t>Input 151</t>
  </si>
  <si>
    <t>Input 152</t>
  </si>
  <si>
    <t>Input 153</t>
  </si>
  <si>
    <t>Input 154</t>
  </si>
  <si>
    <t>Input 155</t>
  </si>
  <si>
    <t>Input 156</t>
  </si>
  <si>
    <t>Input 157</t>
  </si>
  <si>
    <t>Input 158</t>
  </si>
  <si>
    <t>Input 159</t>
  </si>
  <si>
    <t>Input 160</t>
  </si>
  <si>
    <t>Input 161</t>
  </si>
  <si>
    <t>Input 162</t>
  </si>
  <si>
    <t>Input 163</t>
  </si>
  <si>
    <t>Input 164</t>
  </si>
  <si>
    <t>Input 165</t>
  </si>
  <si>
    <t>Input 166</t>
  </si>
  <si>
    <t>Input 167</t>
  </si>
  <si>
    <t>Input 168</t>
  </si>
  <si>
    <t>Input 169</t>
  </si>
  <si>
    <t>Input 170</t>
  </si>
  <si>
    <t>Input 171</t>
  </si>
  <si>
    <t>Input 172</t>
  </si>
  <si>
    <t>Input 173</t>
  </si>
  <si>
    <t>Input 174</t>
  </si>
  <si>
    <t>Input 175</t>
  </si>
  <si>
    <t>FEEDING DAYS</t>
  </si>
  <si>
    <t>FEED COST</t>
  </si>
  <si>
    <t>Lambs - Creep</t>
  </si>
  <si>
    <t>Lambs - Weaning</t>
  </si>
  <si>
    <t>Lambs - Feeder</t>
  </si>
  <si>
    <t>Guardian Dog Costs</t>
  </si>
  <si>
    <t>Annual guardian dog purchase costs</t>
  </si>
  <si>
    <t>Annual herding dog purchase costs</t>
  </si>
  <si>
    <t>Annual operating costs (vet., feed, etc.)</t>
  </si>
  <si>
    <t>Guardian and Herd Dog Costs</t>
  </si>
  <si>
    <t>Wool Sales</t>
  </si>
  <si>
    <t>Herd Dog Costs</t>
  </si>
  <si>
    <t>WOOL SALES</t>
  </si>
  <si>
    <t>Number of Animals Sheared</t>
  </si>
  <si>
    <t>Average Pounds of Wool Per Animal</t>
  </si>
  <si>
    <t>Total Pounds of Wool Sheared</t>
  </si>
  <si>
    <t>Value of Wool Per Pound</t>
  </si>
  <si>
    <t>Total Value of Wool</t>
  </si>
  <si>
    <t>Shearing Cost Per Head</t>
  </si>
  <si>
    <t>Input 177</t>
  </si>
  <si>
    <t>Input 178</t>
  </si>
  <si>
    <t>Input 179</t>
  </si>
  <si>
    <t>Input 180</t>
  </si>
  <si>
    <t>Input 181</t>
  </si>
  <si>
    <t>Input 182</t>
  </si>
  <si>
    <t>Input 183</t>
  </si>
  <si>
    <t>Input 184</t>
  </si>
  <si>
    <t>Input 185</t>
  </si>
  <si>
    <t>Shearing and Wool Production Costs</t>
  </si>
  <si>
    <t>Total Wool Production Costs</t>
  </si>
  <si>
    <t>MEAT SALES</t>
  </si>
  <si>
    <t>Average Pounds of Meat Per Animal</t>
  </si>
  <si>
    <t>Total Pounds of Meat Produced</t>
  </si>
  <si>
    <t>Sale Value of Meat Per Pound</t>
  </si>
  <si>
    <t>Total Sales Value of Meat</t>
  </si>
  <si>
    <t>Packing/Bagging/Transportation Cost per LB</t>
  </si>
  <si>
    <t>Total Meat Production Costs</t>
  </si>
  <si>
    <t>Slaughtering and Meat Production Costs</t>
  </si>
  <si>
    <t>Sheep Loan Advance</t>
  </si>
  <si>
    <t>Estimated Ewes bred during year</t>
  </si>
  <si>
    <t>Input 186</t>
  </si>
  <si>
    <t>Input 187</t>
  </si>
  <si>
    <t>Input 188</t>
  </si>
  <si>
    <t>Input 189</t>
  </si>
  <si>
    <t>Input 190</t>
  </si>
  <si>
    <t>Input 191</t>
  </si>
  <si>
    <t>Input 192</t>
  </si>
  <si>
    <t>Input 193</t>
  </si>
  <si>
    <t>Input 194</t>
  </si>
  <si>
    <t>Input 195</t>
  </si>
  <si>
    <t>Input 196</t>
  </si>
  <si>
    <t>Input 197</t>
  </si>
  <si>
    <t>Input 198</t>
  </si>
  <si>
    <t>Input 199</t>
  </si>
  <si>
    <t>Input 200</t>
  </si>
  <si>
    <t>Input 201</t>
  </si>
  <si>
    <t>Input 202</t>
  </si>
  <si>
    <t>Salt/Mineral Mix ($/tonne)</t>
  </si>
  <si>
    <t>Salt/Mineral Mix</t>
  </si>
  <si>
    <t>Ewe Pasture Grazing Days (Days)</t>
  </si>
  <si>
    <t>Ram Pasture Grazing Days (Days)</t>
  </si>
  <si>
    <t>Input 203</t>
  </si>
  <si>
    <t>Input 204</t>
  </si>
  <si>
    <t>Input 205</t>
  </si>
  <si>
    <t>Operating Account Balance</t>
  </si>
  <si>
    <t>Lambing Rate (Percentage)</t>
  </si>
  <si>
    <t>Open Ewes (Number Head)</t>
  </si>
  <si>
    <t>PRODUCTIVITY</t>
  </si>
  <si>
    <t>Lambs Weaned During the year</t>
  </si>
  <si>
    <t>Lambs Available For Sale (Number Head)</t>
  </si>
  <si>
    <t>Feeder Lambs selling weight (LBS)</t>
  </si>
  <si>
    <t>Feeder Lambs selling price ($/LB)</t>
  </si>
  <si>
    <t>Feeder Lambs selling value ($/Head)</t>
  </si>
  <si>
    <t>Cull Ram Average Price ($/LB)</t>
  </si>
  <si>
    <t>Cull Ewe Price ($/LB)</t>
  </si>
  <si>
    <t>Number of Butcher Lambs Slaughtered</t>
  </si>
  <si>
    <t>Milk Replacer ($/tonne)</t>
  </si>
  <si>
    <t>Number of Lambs in Creep Ration (Head)</t>
  </si>
  <si>
    <t>Number of Lambs in Weanling Ration (Head)</t>
  </si>
  <si>
    <t>Number of Lambs in Feeder Ration (Head)</t>
  </si>
  <si>
    <t>Ultrasound costs per ewe</t>
  </si>
  <si>
    <t xml:space="preserve">BALANCE SHEET             </t>
  </si>
  <si>
    <t>ASSETS:</t>
  </si>
  <si>
    <t>Cash</t>
  </si>
  <si>
    <t>Accounts Receivable</t>
  </si>
  <si>
    <t>Feed Supplies/Hay/Grain</t>
  </si>
  <si>
    <t>General Farm Supplies/Medication</t>
  </si>
  <si>
    <t>Land and Other Non Depreciating Assets</t>
  </si>
  <si>
    <t>TOTAL ASSETS</t>
  </si>
  <si>
    <t>Market Inventory - Lambs</t>
  </si>
  <si>
    <t>Breeding Stock - Ewes</t>
  </si>
  <si>
    <t>LIABILITIES:</t>
  </si>
  <si>
    <t>Operating Loans/Account</t>
  </si>
  <si>
    <t>Accounts Payable</t>
  </si>
  <si>
    <t>Principal in Arrears</t>
  </si>
  <si>
    <t>Other Current Debt/Annual Principal Due</t>
  </si>
  <si>
    <t>CURRENT LIABILITIES</t>
  </si>
  <si>
    <t>OPERATING LOAN ESTIMATES</t>
  </si>
  <si>
    <t xml:space="preserve">   PROJECTED BALANCE SHEET (YEAR END)</t>
  </si>
  <si>
    <t>Initial</t>
  </si>
  <si>
    <t>Current Assets:</t>
  </si>
  <si>
    <t>(Time 0)</t>
  </si>
  <si>
    <t>Total Current Assets</t>
  </si>
  <si>
    <t>Long Term Assets:</t>
  </si>
  <si>
    <t>Machinery and Equipment</t>
  </si>
  <si>
    <t>Buildings and Fences</t>
  </si>
  <si>
    <t>Infrastructure and Site Development</t>
  </si>
  <si>
    <t>Long Term Assets</t>
  </si>
  <si>
    <t>Current Liabilities:</t>
  </si>
  <si>
    <t>Total Current Liabilities</t>
  </si>
  <si>
    <t>Long Term Liabilities:</t>
  </si>
  <si>
    <t>Total Long Term Liabilities</t>
  </si>
  <si>
    <t>TOTAL LIABILITIES</t>
  </si>
  <si>
    <t>NET EQUITY</t>
  </si>
  <si>
    <t>Input 206</t>
  </si>
  <si>
    <t>Input 207</t>
  </si>
  <si>
    <t>Input 208</t>
  </si>
  <si>
    <t>Input 209</t>
  </si>
  <si>
    <t>Input 210</t>
  </si>
  <si>
    <t>Input 211</t>
  </si>
  <si>
    <t>Input 212</t>
  </si>
  <si>
    <t>Input 213</t>
  </si>
  <si>
    <t>Input 214</t>
  </si>
  <si>
    <t>Input 215</t>
  </si>
  <si>
    <t>Input 216</t>
  </si>
  <si>
    <t>Input 217</t>
  </si>
  <si>
    <t>Input 218</t>
  </si>
  <si>
    <t>Input 219</t>
  </si>
  <si>
    <t>Input 220</t>
  </si>
  <si>
    <t>Input 221</t>
  </si>
  <si>
    <t>Input 222</t>
  </si>
  <si>
    <t>Input 223</t>
  </si>
  <si>
    <t>Input 224</t>
  </si>
  <si>
    <t>Input 225</t>
  </si>
  <si>
    <t>Input 226</t>
  </si>
  <si>
    <t>Cull Ewe and Ram Sales</t>
  </si>
  <si>
    <t>Meat and Mutton Sales</t>
  </si>
  <si>
    <t>Starting Account Balance</t>
  </si>
  <si>
    <t>ACCRUED NET INCOME, Before Taxes</t>
  </si>
  <si>
    <t>CASH FLOW, Before Taxes</t>
  </si>
  <si>
    <t>Inventory</t>
  </si>
  <si>
    <t>Accrual Adjustments</t>
  </si>
  <si>
    <t>(Note: For Analysis purpose only, does not link to the Input Sheet)</t>
  </si>
  <si>
    <t>Accounting, Property Taxes, Licenses</t>
  </si>
  <si>
    <t>Lamb Death Loss (birth to wean) - Number</t>
  </si>
  <si>
    <t>Lamb Death Loss (birth to wean) - Percentage</t>
  </si>
  <si>
    <t>Lamb Weaning Percentage</t>
  </si>
  <si>
    <t>Lamb Death Loss (wean to market) - Percentage</t>
  </si>
  <si>
    <t>Lamb Death Loss (wean to market) - Number</t>
  </si>
  <si>
    <t>BREEDING STOCK SALES</t>
  </si>
  <si>
    <t>Breeding Ewe Sales (Number)</t>
  </si>
  <si>
    <t>Breeding Ewe Selling Price ($/Head)</t>
  </si>
  <si>
    <t>Breeding Ram Sales (Number)</t>
  </si>
  <si>
    <t>Breeding Ram Selling Price ($/Head)</t>
  </si>
  <si>
    <t>Breeding Ewe Lambs Sales (Number)</t>
  </si>
  <si>
    <t>Breeding Ewe Lambs Selling Price ($/Head)</t>
  </si>
  <si>
    <t>Annual Principal &amp; Interest Payments</t>
  </si>
  <si>
    <t>Year</t>
  </si>
  <si>
    <t>ending year</t>
  </si>
  <si>
    <t>Interest</t>
  </si>
  <si>
    <t xml:space="preserve">               Loan</t>
  </si>
  <si>
    <t>Payments</t>
  </si>
  <si>
    <t>Breeding Stock Sales</t>
  </si>
  <si>
    <t>Breeding Stock - Rams</t>
  </si>
  <si>
    <t xml:space="preserve">         SHEEP PRODUCTION COST AND PROFORMA FINANCIAL MODEL</t>
  </si>
  <si>
    <t>NOTICE:</t>
  </si>
  <si>
    <t>All rights reserved.  Copyright and all other intellectual property rights in EwePLAN, and all manuals,</t>
  </si>
  <si>
    <t xml:space="preserve">documentation and other material pertaining to this software, belong exclusively to the </t>
  </si>
  <si>
    <t xml:space="preserve">Government of Saskatchewan.  This software is provided solely for the personal use of the </t>
  </si>
  <si>
    <t>user under a non-exclusive license, and may not be copied, modified, published, sold or</t>
  </si>
  <si>
    <t xml:space="preserve">distributed to any third party, or transmitted in any form or by any mean whether electronic, </t>
  </si>
  <si>
    <t xml:space="preserve">mechanical, photocopying, recording or otherwise, in whole or in part, without the express </t>
  </si>
  <si>
    <t>written permission of the Saskatchewan Ministry of Agriculture.</t>
  </si>
  <si>
    <t>DISCLAIMER:</t>
  </si>
  <si>
    <t xml:space="preserve">This software is provided without warranty on an "as is" basis.  The Government of </t>
  </si>
  <si>
    <t xml:space="preserve">Saskatchewan and its agents assume no liability or responsibility whatsoever with respect to </t>
  </si>
  <si>
    <t>loss or damage caused by or alleged to be caused by the use or operation of this software.</t>
  </si>
  <si>
    <t>Introduction</t>
  </si>
  <si>
    <t>Planner</t>
  </si>
  <si>
    <t>COP Calculation (Cost Of Production Calculation)</t>
  </si>
  <si>
    <t>Input</t>
  </si>
  <si>
    <t>The "Input" worksheet is the main area in the model where all the production and financial numbers are inputted into the model to complete the financial projections.</t>
  </si>
  <si>
    <t>Monthly</t>
  </si>
  <si>
    <t>Income Expense</t>
  </si>
  <si>
    <t>The "Income Expense" worksheet is the summary sheet with the projected revenues, expenses, and cash flow for the five years projected in the model.</t>
  </si>
  <si>
    <t>Balance Sheet</t>
  </si>
  <si>
    <t>The "Balance Sheet" worksheet is the summary of the estimated assets and liabilities of the operation at the end of each year.</t>
  </si>
  <si>
    <t>Financing Sheet</t>
  </si>
  <si>
    <t>The "Financing" worksheet is the summary of the payment schedule broken down into interest and principal payments for each loan, per year, set out in the input sheet.</t>
  </si>
  <si>
    <t>The "Depreciation" worksheet is the schedule for the depreciation of assets that are inputted in the input worksheet, in the balance sheet section.  The depreciation rate can be changed for different categories in the depreciation work sheet, in the yellow boxes.  The depreciation schedule is initially setup with estimated rates on a declining balance. Maximum Capital Cost Allowance (CCA) rates are not used.</t>
  </si>
  <si>
    <t>Buildings and Fences (CCA - 10% dep)</t>
  </si>
  <si>
    <t xml:space="preserve">Machinery and Equipment (CCA - 20% dep)  </t>
  </si>
  <si>
    <t>Infrastructure and Site Development (CCA - 8%)</t>
  </si>
  <si>
    <t>Total Days on Feed</t>
  </si>
  <si>
    <t>Days</t>
  </si>
  <si>
    <t>Ram Pasture Grazing Costs</t>
  </si>
  <si>
    <t>$/Ewe</t>
  </si>
  <si>
    <t>$/Lamb</t>
  </si>
  <si>
    <t>Ewe Pasture Grazing Costs $/Head/Day</t>
  </si>
  <si>
    <t>Building and Equipment Repairs</t>
  </si>
  <si>
    <t>Building and Machinery Repairs</t>
  </si>
  <si>
    <t>Feed, Pasture, &amp; Hay Costs</t>
  </si>
  <si>
    <t>Pasture - seed, fert., water, fencing, etc.</t>
  </si>
  <si>
    <t>Hay - seed, fert., cutting, baling, hauling, etc.</t>
  </si>
  <si>
    <t>Grain - seed, fert., chem., field work, etc.</t>
  </si>
  <si>
    <t>Breeding Stock Purchases &amp; Supplies</t>
  </si>
  <si>
    <t>Estimated annual breeding supply costs</t>
  </si>
  <si>
    <t>Enterprise Type:</t>
  </si>
  <si>
    <t>Lambs Born During the year</t>
  </si>
  <si>
    <t>Lamb Death Losses (birth to wean)</t>
  </si>
  <si>
    <t>Lamb Death Losses (wean to market)</t>
  </si>
  <si>
    <t>LAMB SALES</t>
  </si>
  <si>
    <t># Head</t>
  </si>
  <si>
    <t>Total Weight</t>
  </si>
  <si>
    <t>Total Value</t>
  </si>
  <si>
    <t>$/Head</t>
  </si>
  <si>
    <t>Bottle Babies Sold</t>
  </si>
  <si>
    <t>CULL SALES</t>
  </si>
  <si>
    <t>Cull Ewe Sales During the year</t>
  </si>
  <si>
    <t>Cull Ram Sales During the year</t>
  </si>
  <si>
    <t>$/ Head</t>
  </si>
  <si>
    <t>REVENUES</t>
  </si>
  <si>
    <t>Value/Head</t>
  </si>
  <si>
    <t>Breeding Ewe Sales During the year</t>
  </si>
  <si>
    <t>Breeding Ram Sales During the year</t>
  </si>
  <si>
    <t>Market Lambs Slaughtered</t>
  </si>
  <si>
    <t>Wool Weight</t>
  </si>
  <si>
    <t>Meat Weight</t>
  </si>
  <si>
    <t>Accounting, Property Taxes, and Liscenses</t>
  </si>
  <si>
    <t>$/Unit</t>
  </si>
  <si>
    <t>Total Cost</t>
  </si>
  <si>
    <t>Units</t>
  </si>
  <si>
    <t>BREEDING STOCK PURCHASES AND SUPPLIES</t>
  </si>
  <si>
    <t>VETERINARY SERVICES AND MEDICATION</t>
  </si>
  <si>
    <t>Veterinary Services</t>
  </si>
  <si>
    <t>Medication</t>
  </si>
  <si>
    <t>FEED, PASTURE &amp; HAY COSTS</t>
  </si>
  <si>
    <t>GUARDIAN AND HERD DOG COSTS</t>
  </si>
  <si>
    <t>LABOUR COSTS</t>
  </si>
  <si>
    <t>CUSTOM WORK/MANURE REMOVAL COSTS</t>
  </si>
  <si>
    <t>Grains Produced -</t>
  </si>
  <si>
    <t>Pasture - Production Costs</t>
  </si>
  <si>
    <t>Pasture - Rental/Lease Costs</t>
  </si>
  <si>
    <t xml:space="preserve">Hay - Purchase Costs </t>
  </si>
  <si>
    <t>Hay - Production Costs</t>
  </si>
  <si>
    <t>Guardian dog purchase costs</t>
  </si>
  <si>
    <t>Guardian dog operating costs (vet., feed, etc.)</t>
  </si>
  <si>
    <t>Herd dog purchase costs</t>
  </si>
  <si>
    <t>Herd dog operating costs (vet., feed, etc.)</t>
  </si>
  <si>
    <t>Breeding Supplies (sponges or MGA, and ultrasound costs)</t>
  </si>
  <si>
    <t># Workers</t>
  </si>
  <si>
    <t>Annual Manure Removal Cost</t>
  </si>
  <si>
    <t>Other Annual Custom Work</t>
  </si>
  <si>
    <t>FUEL AND UTILITY COSTS</t>
  </si>
  <si>
    <t>BUILDING AND EQUIPMENT REPAIRS</t>
  </si>
  <si>
    <t>Transportation Costs - Lamb/Ewe/Ram</t>
  </si>
  <si>
    <t>SHEARING AND WOOL PRODUCTION COSTS</t>
  </si>
  <si>
    <t>Shearing Costs</t>
  </si>
  <si>
    <t>Packing/Bagging/transportation Costs</t>
  </si>
  <si>
    <t>SLAUGHTERING AND MEAT PRODUCTION COSTS</t>
  </si>
  <si>
    <t>Slaughter, Packing, and Trasportation Costs</t>
  </si>
  <si>
    <t>ACCOUNTING, PROPERTY TAXES, AND LISCENSES</t>
  </si>
  <si>
    <t>Accounting Fees</t>
  </si>
  <si>
    <t>Property Taxes</t>
  </si>
  <si>
    <t>Vehicle Plates/Liscenses</t>
  </si>
  <si>
    <t>OPERATING INTEREST COSTS</t>
  </si>
  <si>
    <t>Annual Operating Interest Costs</t>
  </si>
  <si>
    <t>INSURANCE COSTS</t>
  </si>
  <si>
    <t>Building and Equipment Costs</t>
  </si>
  <si>
    <t>Sheep Insurance Costs</t>
  </si>
  <si>
    <t>DEPRECIATION COSTS</t>
  </si>
  <si>
    <t>Buildings</t>
  </si>
  <si>
    <t>Equipment</t>
  </si>
  <si>
    <t>EXPENSES - OPERATING - ACTUAL YEAR USED</t>
  </si>
  <si>
    <t>EXPENSES - FIXED</t>
  </si>
  <si>
    <t>LONG TERM INTEREST COSTS</t>
  </si>
  <si>
    <t>Long Term Interest Costs</t>
  </si>
  <si>
    <t>Grains Purchased -</t>
  </si>
  <si>
    <t>Other Purchased -</t>
  </si>
  <si>
    <t>INVENTORY AND PRODUCTIVITY</t>
  </si>
  <si>
    <t>Ewe Flock at Start of Year</t>
  </si>
  <si>
    <t>Ewe Flock at End of Year</t>
  </si>
  <si>
    <t>Lambs in Inventory at Start of Year</t>
  </si>
  <si>
    <t>Lambs in Inventory at End of Year</t>
  </si>
  <si>
    <t>Grazing/Pasture Lambing</t>
  </si>
  <si>
    <t>Confined/Drylot</t>
  </si>
  <si>
    <t>Feeder Lambs Sold (under 90lbs)</t>
  </si>
  <si>
    <t>Ewe Lambs Kept For Breeding</t>
  </si>
  <si>
    <t>Market Lambs Sold (90lbs+)</t>
  </si>
  <si>
    <t>Mutton Sales</t>
  </si>
  <si>
    <t>OTHER SALES</t>
  </si>
  <si>
    <t>Other Produced -</t>
  </si>
  <si>
    <t>Lambing Supplies</t>
  </si>
  <si>
    <t>Producer Name / Number:</t>
  </si>
  <si>
    <t>Feeder Lamb Sales (under 90lbs)</t>
  </si>
  <si>
    <t>Market Lamb Sales (90lbs+)</t>
  </si>
  <si>
    <t>Other Sales</t>
  </si>
  <si>
    <t xml:space="preserve">                                HISTORICAL COST OF PRODUCTION ANALYSIS</t>
  </si>
  <si>
    <t>Ram Purchases</t>
  </si>
  <si>
    <t>Ram Flock at Start of Year</t>
  </si>
  <si>
    <t>Ram Flock at End of Year</t>
  </si>
  <si>
    <t>The "COP Calculation" worksheet is a cost of production worksheet that is used to calculate a producers historical cost of production using previous years revenues, expenses, and marketing numbers. Numbers are calculated on an accrual basis.</t>
  </si>
  <si>
    <t>Check-Off Fees</t>
  </si>
  <si>
    <t>MARKETING, CHECK-OFF FEES,  AND TRANSPORTATION COSTS</t>
  </si>
  <si>
    <t>Lamb selling commissions - $/lamb</t>
  </si>
  <si>
    <t>Annual check-off fees</t>
  </si>
  <si>
    <t>Cull Ewe/Ram transportation costs -$/head</t>
  </si>
  <si>
    <t>Cull Ewe/Ram commissions - $/head</t>
  </si>
  <si>
    <t>Input 227</t>
  </si>
  <si>
    <t>Input 228</t>
  </si>
  <si>
    <t>Input 229</t>
  </si>
  <si>
    <t>Input 230</t>
  </si>
  <si>
    <t>Input 231</t>
  </si>
  <si>
    <t>Marketing, Check-Off, &amp; Transportation Costs</t>
  </si>
  <si>
    <t>Check-Off Fees - Lamb/Ewe/Ram</t>
  </si>
  <si>
    <t>Marketing Commissions - Lamb/Ewe/Ram</t>
  </si>
  <si>
    <t>Feeder Lamb and Bottle Baby Selling Expenses</t>
  </si>
  <si>
    <t>Semi Confined/Jug Lambing/Partial Grazing</t>
  </si>
  <si>
    <t>Other Revenue</t>
  </si>
  <si>
    <t>Ewe/Ewe Lamb Purchases</t>
  </si>
  <si>
    <t>Developed In Conjunction With The Saskatchewan Sheep Development Board</t>
  </si>
  <si>
    <t>Copyright: Government of Saskatchewan, 2008</t>
  </si>
  <si>
    <t>Developed In Conjunction With The Saskatchewan Sheep Development Board.</t>
  </si>
  <si>
    <t>EwePLAN: Developed By Brad Marceniuk, Saskatchewan Ministry of Agriculture.</t>
  </si>
  <si>
    <t>Ewe Lambs Kept for Breeding</t>
  </si>
  <si>
    <t>1) When do you typically lamb? (month)</t>
  </si>
  <si>
    <t>Number of Ewes Lambing During The Year</t>
  </si>
  <si>
    <t>3) When do you sell your lambs? (month)</t>
  </si>
  <si>
    <t>2) Do you lamb on pasture or in a confined area?</t>
  </si>
  <si>
    <t>Grazing Revenue</t>
  </si>
  <si>
    <t>Grain Sales</t>
  </si>
  <si>
    <t>Number of Ewes Lambinig During The Year</t>
  </si>
  <si>
    <t>Total Lambs Sold During TheYear (All Sizes)</t>
  </si>
  <si>
    <t>TOTAL HEAD SOLD &amp; KEPT FOR BREEDING</t>
  </si>
  <si>
    <t>Lambs Available For Sale</t>
  </si>
  <si>
    <t>Net Income</t>
  </si>
  <si>
    <t>$/Per Ewe</t>
  </si>
  <si>
    <t>$/Per Lamb</t>
  </si>
  <si>
    <t>Market Price</t>
  </si>
  <si>
    <t>$ Per LB</t>
  </si>
  <si>
    <t>Productivity</t>
  </si>
  <si>
    <t>Lamb. Rate</t>
  </si>
  <si>
    <t>Revenue</t>
  </si>
  <si>
    <t>ML 90+</t>
  </si>
  <si>
    <t>FL 90-</t>
  </si>
  <si>
    <t>Base Prices</t>
  </si>
  <si>
    <t>Weight</t>
  </si>
  <si>
    <t>Variable</t>
  </si>
  <si>
    <t>Fixed</t>
  </si>
  <si>
    <t>Per Ewe</t>
  </si>
  <si>
    <t>Per Lamb</t>
  </si>
  <si>
    <t>Number of Animals - Marketings</t>
  </si>
  <si>
    <t>BASE</t>
  </si>
  <si>
    <t>Born</t>
  </si>
  <si>
    <t>birth-wean</t>
  </si>
  <si>
    <t>Loss</t>
  </si>
  <si>
    <t>Lambs</t>
  </si>
  <si>
    <t>weaned</t>
  </si>
  <si>
    <t>wean-market</t>
  </si>
  <si>
    <t>Available</t>
  </si>
  <si>
    <t>Percent</t>
  </si>
  <si>
    <t>Market</t>
  </si>
  <si>
    <t>Feeder</t>
  </si>
  <si>
    <t>Market and Feeder Lambs</t>
  </si>
  <si>
    <t>Variable Expenses</t>
  </si>
  <si>
    <t>Feed</t>
  </si>
  <si>
    <t>Marketing</t>
  </si>
  <si>
    <t>Other Var.</t>
  </si>
  <si>
    <t>Base</t>
  </si>
  <si>
    <t>Expenses</t>
  </si>
  <si>
    <t xml:space="preserve">Total </t>
  </si>
  <si>
    <t>Costs</t>
  </si>
  <si>
    <t>Ewes K.B.</t>
  </si>
  <si>
    <t>Other Rev.</t>
  </si>
  <si>
    <t xml:space="preserve">       Variable Expenses</t>
  </si>
  <si>
    <t>Sensitivity to Lambing Productivity</t>
  </si>
  <si>
    <t>Sensitivity To Feed and Pasture Costs</t>
  </si>
  <si>
    <t>Slaughter Weight Lambs sold (Number)</t>
  </si>
  <si>
    <t>Slaughter Weight Lambs selling weight (LBS)</t>
  </si>
  <si>
    <t>Slaughter Weight Lambs selling price ($/LB)</t>
  </si>
  <si>
    <t>Slaughter Weight Lambs selling value ($/Head)</t>
  </si>
  <si>
    <t>LAMBS SALES</t>
  </si>
  <si>
    <t>Input 31</t>
  </si>
  <si>
    <t>Input 32</t>
  </si>
  <si>
    <t>Input 33</t>
  </si>
  <si>
    <t>Input 34</t>
  </si>
  <si>
    <t>Input 35</t>
  </si>
  <si>
    <t>Pellets ($/tonne)</t>
  </si>
  <si>
    <t>Input 48</t>
  </si>
  <si>
    <t>Pellets</t>
  </si>
  <si>
    <t>Other - 1</t>
  </si>
  <si>
    <t>Other - 4</t>
  </si>
  <si>
    <r>
      <t xml:space="preserve">Other - 2  </t>
    </r>
    <r>
      <rPr>
        <sz val="10"/>
        <color indexed="10"/>
        <rFont val="Arial"/>
        <family val="2"/>
      </rPr>
      <t>(other 1-4 can be changed where)</t>
    </r>
  </si>
  <si>
    <t>Annual Vehicle registration/insurance</t>
  </si>
  <si>
    <t xml:space="preserve">         INCOME AND EXPENSE PROJECTIONS</t>
  </si>
  <si>
    <t>Slaughter Lamb Sales (90lbs+)</t>
  </si>
  <si>
    <t>EWES</t>
  </si>
  <si>
    <t xml:space="preserve">LB./Year -1 </t>
  </si>
  <si>
    <t>LB./Year -2</t>
  </si>
  <si>
    <t>LB./Year -3</t>
  </si>
  <si>
    <t>LB./Year -4</t>
  </si>
  <si>
    <t>LB./Year -5</t>
  </si>
  <si>
    <t>Barley - LB.</t>
  </si>
  <si>
    <t>Hay - LB.</t>
  </si>
  <si>
    <t>Barley - Bu</t>
  </si>
  <si>
    <t>Hay - Tonne</t>
  </si>
  <si>
    <t>RAMS</t>
  </si>
  <si>
    <t>LAMBS</t>
  </si>
  <si>
    <t>EWE HERD TOTAL</t>
  </si>
  <si>
    <t>TOTAL PER LAMB</t>
  </si>
  <si>
    <t>RAM HERD TOTAL</t>
  </si>
  <si>
    <t>LAMB HERD TOTAL</t>
  </si>
  <si>
    <t>ANNUAL BARLEY AND HAY REQUIREMENTS</t>
  </si>
  <si>
    <t>Input 46</t>
  </si>
  <si>
    <t>Input 47</t>
  </si>
  <si>
    <t>TOTAL LB. PER EWE</t>
  </si>
  <si>
    <t>Input 59</t>
  </si>
  <si>
    <t>Input 60</t>
  </si>
  <si>
    <t>Ewe Pasture Grazing Costs</t>
  </si>
  <si>
    <t>Total Feed Cost of Grain &amp; Hay Per Lamb</t>
  </si>
  <si>
    <t>Ewes</t>
  </si>
  <si>
    <t>Input 232</t>
  </si>
  <si>
    <t>Input 233</t>
  </si>
  <si>
    <t>Input 234</t>
  </si>
  <si>
    <t>Input 235</t>
  </si>
  <si>
    <t>Input 236</t>
  </si>
  <si>
    <t>Input 237</t>
  </si>
  <si>
    <t>Feed &amp; Hay Costs</t>
  </si>
  <si>
    <t>Cull Rams &amp; Ewes</t>
  </si>
  <si>
    <t>Market Lamb</t>
  </si>
  <si>
    <t>base</t>
  </si>
  <si>
    <t>Price/Head</t>
  </si>
  <si>
    <t>&gt;90</t>
  </si>
  <si>
    <t>&lt;90</t>
  </si>
  <si>
    <t xml:space="preserve">The "Feed" worksheet is the summary sheet showing the annual feed barley and hay requirements for both individual feed rations and totals for the ewes, rams, and lambs. </t>
  </si>
  <si>
    <t>FARM PRODUCED FEED PRODUCTION COSTS</t>
  </si>
  <si>
    <t>Total Feed Cost of Grain &amp; Hay Lamb Flock</t>
  </si>
  <si>
    <t>PER EWE</t>
  </si>
  <si>
    <t>TOTAL EWE HERD</t>
  </si>
  <si>
    <t>PER RAM</t>
  </si>
  <si>
    <t>Total Assets</t>
  </si>
  <si>
    <t>Total Liabilities</t>
  </si>
  <si>
    <t>Total Equity</t>
  </si>
  <si>
    <t>Pre-tax Earnings</t>
  </si>
  <si>
    <t>Return on Equity</t>
  </si>
  <si>
    <t>Average</t>
  </si>
  <si>
    <t>Start of Year</t>
  </si>
  <si>
    <t>Year-End</t>
  </si>
  <si>
    <t>NOMINAL INVESTMENT RETURNS ON EQUITY</t>
  </si>
  <si>
    <t>End of Year</t>
  </si>
  <si>
    <t>(Note: For a proper return on equity calculation, labour costs/or opportunity cost must be included)</t>
  </si>
  <si>
    <r>
      <t xml:space="preserve">Other - 3   </t>
    </r>
    <r>
      <rPr>
        <sz val="10"/>
        <color indexed="10"/>
        <rFont val="Arial"/>
        <family val="2"/>
      </rPr>
      <t>(feed ingredients first listed/priced)</t>
    </r>
  </si>
  <si>
    <t>Ram Pasture Grazing Costs $/Head/Day</t>
  </si>
  <si>
    <t>Replacement Ewes Needed</t>
  </si>
  <si>
    <t>Labour Cost per Hour (value)</t>
  </si>
  <si>
    <t>Total Hours</t>
  </si>
  <si>
    <t>Annual Labour Hours Required</t>
  </si>
  <si>
    <t>Total Operation Salaries and Benefits ($ Value)</t>
  </si>
  <si>
    <t>Ewe Flock - Start of the cycle (Number Head)</t>
  </si>
  <si>
    <t>Ram Flock - Start of the cycle (Number Head)</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</si>
  <si>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</si>
  <si>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</si>
  <si>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</si>
  <si>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</si>
  <si>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</si>
  <si>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</si>
  <si>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</si>
  <si>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</si>
  <si>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</si>
  <si>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</si>
  <si>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</si>
  <si>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</si>
  <si>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</si>
  <si>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</si>
  <si>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</si>
  <si>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</si>
  <si>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</si>
  <si>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</si>
  <si>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</si>
  <si>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</si>
  <si>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</si>
  <si>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</si>
  <si>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</si>
  <si>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</si>
  <si>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Feeder Lamb Sales</t>
  </si>
  <si>
    <t>Cull Ewe Sales</t>
  </si>
  <si>
    <t>Cull Ram Sales</t>
  </si>
  <si>
    <t>Medication &amp; vet services per Ewe/Ram cycle</t>
  </si>
  <si>
    <t>Manure removal cost per cycle</t>
  </si>
  <si>
    <t>Other custom work</t>
  </si>
  <si>
    <t>Total Custom Work</t>
  </si>
  <si>
    <t>Feeder Lambs sold (Number)</t>
  </si>
  <si>
    <t>Lambs Available (excludes lambs kept for breeding)</t>
  </si>
  <si>
    <t>Breeding Ewe Purchases</t>
  </si>
  <si>
    <t>Ewes/Ewe Lambs Bred</t>
  </si>
  <si>
    <t>Breeding Ewe Inventory</t>
  </si>
  <si>
    <t>Inventory Flow #Head</t>
  </si>
  <si>
    <t>Cull Ewe Death Loss</t>
  </si>
  <si>
    <t>Breeding Ram Purchases</t>
  </si>
  <si>
    <t>Breedng Ram Inventory</t>
  </si>
  <si>
    <t>Breeding</t>
  </si>
  <si>
    <t>Cull Ram Death Loss</t>
  </si>
  <si>
    <t>Lambs Born Per Month</t>
  </si>
  <si>
    <t>Ewes Lambing</t>
  </si>
  <si>
    <t>Lambs Born</t>
  </si>
  <si>
    <t>Lambs Weaned</t>
  </si>
  <si>
    <t>Year #1</t>
  </si>
  <si>
    <t>Year #2</t>
  </si>
  <si>
    <t>Lambs Born During the year (Number)</t>
  </si>
  <si>
    <t>Cull Ewe Sales During the year (Number Head)</t>
  </si>
  <si>
    <t>Percent Ewes Culled over year</t>
  </si>
  <si>
    <t>Lamb Weaning Death Loss</t>
  </si>
  <si>
    <t>Wean to Market Loss</t>
  </si>
  <si>
    <t>Weekly labour hours required</t>
  </si>
  <si>
    <t>Total Labour Hours Per Year</t>
  </si>
  <si>
    <t>(Start of Year)</t>
  </si>
  <si>
    <t>Lambs Kept Replacements</t>
  </si>
  <si>
    <t>Finished Lambs Sold</t>
  </si>
  <si>
    <t>Market Lambs Available Sale</t>
  </si>
  <si>
    <t>Feeder Lambs For Sales</t>
  </si>
  <si>
    <t>Ewes Bred</t>
  </si>
  <si>
    <t>Estimated Average Ewe Flock</t>
  </si>
  <si>
    <t>Estimated Average Number Rams</t>
  </si>
  <si>
    <t>Annual medication and vet services</t>
  </si>
  <si>
    <t>Cash expenditures for interest calculations month2</t>
  </si>
  <si>
    <t>Lambs Kept for Breeding</t>
  </si>
  <si>
    <t>Milk Replacer &amp; Machine</t>
  </si>
  <si>
    <t>Start Day</t>
  </si>
  <si>
    <t>End of</t>
  </si>
  <si>
    <t>End</t>
  </si>
  <si>
    <t>Pellets - LB.</t>
  </si>
  <si>
    <t>Pellets -Tonne</t>
  </si>
  <si>
    <t>Year #3</t>
  </si>
  <si>
    <t>Year #4</t>
  </si>
  <si>
    <t>Year #5</t>
  </si>
  <si>
    <t>Bred Ewe Lambs Purchased</t>
  </si>
  <si>
    <t>Ewe Flock (ewes &amp; bred ewe lambs) Year End</t>
  </si>
  <si>
    <t>Market Prices</t>
  </si>
  <si>
    <t>Feeder Lamb Prices ($/Lb.)</t>
  </si>
  <si>
    <t>Feeder Lamb Price ($/head)</t>
  </si>
  <si>
    <t>Finished Lamb Prices ($/head)</t>
  </si>
  <si>
    <t>Feeder Lamb Weights (Lbs.)</t>
  </si>
  <si>
    <t>Finished Lamb Prices ($/Lb.)</t>
  </si>
  <si>
    <t>Finished Lamb Weights (Lbs.)</t>
  </si>
  <si>
    <t>Average Prices &amp; Weights</t>
  </si>
  <si>
    <t>Other Sales - Meat, Mutton, etc</t>
  </si>
  <si>
    <t>Slaughter and Packaging Cost Per Lb.</t>
  </si>
  <si>
    <t>Percent Rams Culled over year</t>
  </si>
  <si>
    <t>Cull Ram Sales During the year (Number Head)</t>
  </si>
  <si>
    <t>Rams Purchased - During the year</t>
  </si>
  <si>
    <t>SUMMARY</t>
  </si>
  <si>
    <t>Feeding Days (per cycle)</t>
  </si>
  <si>
    <t xml:space="preserve">Feeding Days (per cycle)           </t>
  </si>
  <si>
    <t>TOTAL DAYS ON FEED EWES PER CYCLE</t>
  </si>
  <si>
    <t>Ewe Mortality Rate (Percentage) - per year</t>
  </si>
  <si>
    <t>Estimated Ewe Mortality (Number) - per year</t>
  </si>
  <si>
    <t>Ram Mortality Rate (Percentage) - per year</t>
  </si>
  <si>
    <t>Estimated Ram Mortality (Number) - per year</t>
  </si>
  <si>
    <t>Cull Ewe Sales During the year (Head)</t>
  </si>
  <si>
    <t>Cull Ewe Average Price Per Ewee ($/Ewe)</t>
  </si>
  <si>
    <t>Cull Ram Sales During the year (Head)</t>
  </si>
  <si>
    <t>Pasture</t>
  </si>
  <si>
    <t>Average Monthly Inventory</t>
  </si>
  <si>
    <t>Ewes - Pasture Costs</t>
  </si>
  <si>
    <t>Weeks</t>
  </si>
  <si>
    <t>Average Animals Per Month</t>
  </si>
  <si>
    <t>Monthly Head of Ewes Lambing (AVG.)</t>
  </si>
  <si>
    <t>Time</t>
  </si>
  <si>
    <t>Cycle</t>
  </si>
  <si>
    <t>AVG Ewes</t>
  </si>
  <si>
    <t>Days  Per</t>
  </si>
  <si>
    <t>Annual Days</t>
  </si>
  <si>
    <t>Per Cycle</t>
  </si>
  <si>
    <t xml:space="preserve">                      INPUT PAGE FOR 5 YEAR OPERATING ACCELERATED SHEEP OPERATION</t>
  </si>
  <si>
    <t>AVG Rams</t>
  </si>
  <si>
    <t>Days on feed</t>
  </si>
  <si>
    <t>BREAKDOWN - DAYS &amp; AVG HEAD</t>
  </si>
  <si>
    <t>TOTAL EWES ON FEED</t>
  </si>
  <si>
    <t>Days on Pasture</t>
  </si>
  <si>
    <t>TOTAL DAYS EWES ON FEED/PASTURE</t>
  </si>
  <si>
    <t>TOTAL DAYS RAMS ON FEED/PASTURE</t>
  </si>
  <si>
    <t>Ram - Pasture costs</t>
  </si>
  <si>
    <t>Ram - Feeding ration</t>
  </si>
  <si>
    <t>TOTAL BREEDING FEED</t>
  </si>
  <si>
    <t>Feed Ration</t>
  </si>
  <si>
    <t>Days/Head</t>
  </si>
  <si>
    <t>FEED COSTS PER MONTH</t>
  </si>
  <si>
    <t>TOTAL LAMB FEED</t>
  </si>
  <si>
    <t>MARKETING WEIGHTS AND PRICES</t>
  </si>
  <si>
    <t>Milk Replacer Machine &amp; Supplies</t>
  </si>
  <si>
    <t>Milk Replacer Machine (Annual Purchases)</t>
  </si>
  <si>
    <t>Monthly labour - marketing/loading/other</t>
  </si>
  <si>
    <t>Input 238</t>
  </si>
  <si>
    <t>Input 239</t>
  </si>
  <si>
    <t>Input 240</t>
  </si>
  <si>
    <t>Input 241</t>
  </si>
  <si>
    <t>Input 242</t>
  </si>
  <si>
    <t>Input 243</t>
  </si>
  <si>
    <t>Input 244</t>
  </si>
  <si>
    <t>Input 245</t>
  </si>
  <si>
    <t>Input 246</t>
  </si>
  <si>
    <t>Average Annual</t>
  </si>
  <si>
    <t>Beginning  of Year</t>
  </si>
  <si>
    <t>Estimated Annual Operating Balance</t>
  </si>
  <si>
    <t>Year End Operating Balance</t>
  </si>
  <si>
    <t xml:space="preserve">         INCOME AND EXPENSE PER EWE</t>
  </si>
  <si>
    <t xml:space="preserve">         INCOME AND EXPENSE PER LAMB</t>
  </si>
  <si>
    <t>Lambs Kept For Breeding</t>
  </si>
  <si>
    <t>Other Sales - (Meat &amp; Mutton)</t>
  </si>
  <si>
    <t>Cedar and Hormones per ewe</t>
  </si>
  <si>
    <t>jugging lambs</t>
  </si>
  <si>
    <t>Lamb CCIA tag fees &amp; Check Off fees - $/lamb</t>
  </si>
  <si>
    <t>NOTE: ACCELERATED MODEL WILL USE MORE PROLIFIC SHEEP BREEDS, cycle will vary between 8 - 9 months</t>
  </si>
  <si>
    <t>Total Ewe Days on Feed PER CYCLE</t>
  </si>
  <si>
    <t>$ per bushel</t>
  </si>
  <si>
    <t>$ per lb.</t>
  </si>
  <si>
    <t>Annual Operating Cost Estimates (Excludes Interest)</t>
  </si>
  <si>
    <t>Cull Ewe/Ram CCIA tags &amp; check-off fees/$head</t>
  </si>
  <si>
    <t>cost</t>
  </si>
  <si>
    <t xml:space="preserve">The "Monthly" worksheet contains the projected monthly revenues and expenses including cash flow requirements for the first year.  Producers can go into the monthly sheet and change the timing of revenues and expenses to more acurately reflect the projected monthly cash flows for their operation.  </t>
  </si>
  <si>
    <t>A five year projection for a sheep operation. </t>
  </si>
  <si>
    <t>Milk Replacer used when excess lambs/ewe</t>
  </si>
  <si>
    <t>Ewes - Lacation Ration (#3)</t>
  </si>
  <si>
    <t>Total Breeding Supply Costs/Ewe</t>
  </si>
  <si>
    <t>Ram - General Feed Ration (#5)</t>
  </si>
  <si>
    <t>Lambs - Creep Ration (#6)</t>
  </si>
  <si>
    <t>Lambs - Weaning Ration (#7)</t>
  </si>
  <si>
    <t>Lambs - Feeder Ration (#8)</t>
  </si>
  <si>
    <t>Feed Grain/Pellets, Hay, Pasture &amp; Minerals</t>
  </si>
  <si>
    <t>Average Balance Pay Interest</t>
  </si>
  <si>
    <t>Estimated average days lambs on milk replacer</t>
  </si>
  <si>
    <t>Milk Replacer (lbs/day, days on milk Input#83)</t>
  </si>
  <si>
    <t>Cost Per Head (Avg. with Milk Replacer)</t>
  </si>
  <si>
    <t>Cost Per Day/Head (Avg. with Milk Replacer)</t>
  </si>
  <si>
    <t>Total Feed Cost Grain &amp; Hay Per Ewe/Cycle</t>
  </si>
  <si>
    <t>Total Feed Cost Grain &amp; Hay Ewe Flock/Cycle</t>
  </si>
  <si>
    <t>MONTHLY ACCELERATED</t>
  </si>
  <si>
    <t>Monthly cost of milk replacer</t>
  </si>
  <si>
    <t>Milk Replacer Cost Per Lamb in use.</t>
  </si>
  <si>
    <t>Maximum Monthly Ewes Lambing</t>
  </si>
  <si>
    <t>TOTAL FARM FEED PRODUCTION COSTS</t>
  </si>
  <si>
    <t>Lambs Per Ewe (Year) to Market (Available)</t>
  </si>
  <si>
    <t>Estimated Pasture Feed Cost Per Ewe/Cycle</t>
  </si>
  <si>
    <t>Total Pasture Feed Cost Per Ewe/day</t>
  </si>
  <si>
    <t>Ewe Pasture Grazing Costs per cycle-RENTED</t>
  </si>
  <si>
    <t>Total Ewe RENTED Pasture Costs/Cycle</t>
  </si>
  <si>
    <t>Annual Pasture Feed Cost Ewe Flock</t>
  </si>
  <si>
    <t>Pasture Grazing Costs Per Ram - RENTED</t>
  </si>
  <si>
    <t>Total Pasture Costs for Ram Flock</t>
  </si>
  <si>
    <t>Input 176</t>
  </si>
  <si>
    <t>Milk Replacer Cost Per Day/Lamb in use.</t>
  </si>
  <si>
    <t>Monthly lamb juggings (Number over Input#179)</t>
  </si>
  <si>
    <t>Breeding Stock Purchases and Supplies(feed)</t>
  </si>
  <si>
    <t>Breeding Lambs Feed</t>
  </si>
  <si>
    <t>Lamb</t>
  </si>
  <si>
    <t>Sales</t>
  </si>
  <si>
    <t>Feed Cost</t>
  </si>
  <si>
    <t>Change</t>
  </si>
  <si>
    <t>Total Net</t>
  </si>
  <si>
    <t>Breeding Stock Purchases &amp; Supllies(feed)</t>
  </si>
  <si>
    <t>Marketing, Check-Off, &amp; Transport Costs</t>
  </si>
  <si>
    <t>Ram Feed Cost Per Day/Head</t>
  </si>
  <si>
    <t>Feed Cost Per Ram (Head)</t>
  </si>
  <si>
    <t>Total Feed Cost Per Ram Flock</t>
  </si>
  <si>
    <t>Ewe Cycle Based on Feeding Rations</t>
  </si>
  <si>
    <t>(Includes lambs kept for breeding)</t>
  </si>
  <si>
    <t>Year#1</t>
  </si>
  <si>
    <t>Sensitivity To Market Price, (&gt;90lbs) Lambs</t>
  </si>
  <si>
    <t>Fixed Costs</t>
  </si>
  <si>
    <t>$ Per Lamb</t>
  </si>
  <si>
    <t>Net C.F.</t>
  </si>
  <si>
    <t>Net Cash</t>
  </si>
  <si>
    <t>$C.F./Lamb</t>
  </si>
  <si>
    <t>$N.I. Lamb</t>
  </si>
  <si>
    <t>Cash Flow</t>
  </si>
  <si>
    <t>Sensitivity To Market Price, (&lt;90lbs) Feeder Lambs</t>
  </si>
  <si>
    <t>Ewe standing grass consumption (LB./Day)</t>
  </si>
  <si>
    <t>Total grass requirement per Ewe (Lb.)</t>
  </si>
  <si>
    <t>Total grass requirement per Ewe Herd (LB.)</t>
  </si>
  <si>
    <t>Ewe herd grass in tonnes</t>
  </si>
  <si>
    <t>Name: Draft Copy 400 Head Ewe Accelerated Operation (45 per month)</t>
  </si>
  <si>
    <r>
      <t xml:space="preserve">Address:    </t>
    </r>
    <r>
      <rPr>
        <b/>
        <sz val="10"/>
        <color rgb="FFFF0000"/>
        <rFont val="Calibri"/>
        <family val="2"/>
        <scheme val="minor"/>
      </rPr>
      <t xml:space="preserve"> NOTE - Feed and Market Animal Prices Will Vary by Location/Time and Should Be Reviewed!</t>
    </r>
    <r>
      <rPr>
        <b/>
        <sz val="10"/>
        <rFont val="Calibri"/>
        <family val="2"/>
        <scheme val="minor"/>
      </rPr>
      <t xml:space="preserve"> </t>
    </r>
  </si>
  <si>
    <t>Creep Feed - Lambs ($/tonne)</t>
  </si>
  <si>
    <t>Ewes - Breeding/Early Gestation (#1)</t>
  </si>
  <si>
    <t>Ewes - Late Gestation Ration (#2)</t>
  </si>
  <si>
    <t>Ewes - Pre-breed/Flush Ration (#4)</t>
  </si>
  <si>
    <t>EwePLAN, Version 2.0B Accelerated Monthly - March - 2025</t>
  </si>
  <si>
    <t>EwePLAN - Version 2.0B (March - 2025)</t>
  </si>
  <si>
    <t>EwePLAN - Version 2.0B (March 2025)</t>
  </si>
  <si>
    <t>The EwePLAN Version 2.0B is an excel based tool used to make five-year projections for a new or existing accelerated ewe-lamb operation that breeds and lambs monthly.</t>
  </si>
  <si>
    <t>Creep - LB.</t>
  </si>
  <si>
    <t>Creep - Tonne</t>
  </si>
  <si>
    <t>Creep -Tonne</t>
  </si>
  <si>
    <t>Lambing supplies per ewe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</si>
</sst>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0_);[Red]\(&quot;$&quot;#,##0\)"/>
    <numFmt numFmtId="8" formatCode="&quot;$&quot;#,##0.00_);[Red]\(&quot;$&quot;#,##0.00\)"/>
    <numFmt numFmtId="43" formatCode="_(* #,##0.00_);_(* \(#,##0.00\);_(* &quot;-&quot;??_);_(@_)"/>
    <numFmt numFmtId="164" formatCode="&quot;$&quot;#,##0;[Red]\-&quot;$&quot;#,##0"/>
    <numFmt numFmtId="165" formatCode="&quot;$&quot;#,##0"/>
    <numFmt numFmtId="166" formatCode="&quot;$&quot;#,##0.00"/>
    <numFmt numFmtId="167" formatCode="&quot;$&quot;#,##0.000"/>
    <numFmt numFmtId="168" formatCode="0.0"/>
    <numFmt numFmtId="169" formatCode="#,##0.0"/>
    <numFmt numFmtId="170" formatCode="dd\-mmm\-yy"/>
    <numFmt numFmtId="171" formatCode="0_);[Red]\(0\)"/>
    <numFmt numFmtId="172" formatCode="0.0%"/>
    <numFmt numFmtId="173" formatCode="[$-409]mmm\-yy;@"/>
    <numFmt numFmtId="174" formatCode="#,##0;[Red]#,##0"/>
    <numFmt numFmtId="175" formatCode="[$-409]dd/mmm/yy;@"/>
    <numFmt numFmtId="176" formatCode="[$-409]mmm/yy;@"/>
  </numFmts>
  <fonts count="41" x14ac:knownFonts="1">
    <font>
      <sz val="10"/>
      <name val="Arial"/>
    </font>
    <font>
      <sz val="10"/>
      <name val="Arial"/>
      <family val="2"/>
    </font>
    <font>
      <b/>
      <sz val="10"/>
      <name val="Arial"/>
      <family val="2"/>
    </font>
    <font>
      <b/>
      <sz val="14"/>
      <name val="Arial"/>
      <family val="2"/>
    </font>
    <font>
      <sz val="10"/>
      <name val="Arial"/>
      <family val="2"/>
    </font>
    <font>
      <b/>
      <i/>
      <sz val="10"/>
      <color indexed="10"/>
      <name val="Arial"/>
      <family val="2"/>
    </font>
    <font>
      <b/>
      <sz val="12"/>
      <name val="MS Sans Serif"/>
      <family val="2"/>
    </font>
    <font>
      <sz val="10"/>
      <name val="MS Sans Serif"/>
      <family val="2"/>
    </font>
    <font>
      <b/>
      <sz val="13.5"/>
      <name val="MS Sans Serif"/>
      <family val="2"/>
    </font>
    <font>
      <b/>
      <sz val="10"/>
      <name val="MS Sans Serif"/>
      <family val="2"/>
    </font>
    <font>
      <sz val="8"/>
      <name val="Arial"/>
      <family val="2"/>
    </font>
    <font>
      <sz val="8"/>
      <color indexed="81"/>
      <name val="Tahoma"/>
      <family val="2"/>
    </font>
    <font>
      <b/>
      <sz val="8"/>
      <color indexed="81"/>
      <name val="Tahoma"/>
      <family val="2"/>
    </font>
    <font>
      <b/>
      <sz val="10"/>
      <color indexed="10"/>
      <name val="Arial"/>
      <family val="2"/>
    </font>
    <font>
      <b/>
      <sz val="14"/>
      <name val="MS Sans Serif"/>
      <family val="2"/>
    </font>
    <font>
      <b/>
      <sz val="11"/>
      <name val="Arial"/>
      <family val="2"/>
    </font>
    <font>
      <b/>
      <sz val="12"/>
      <name val="Arial"/>
      <family val="2"/>
    </font>
    <font>
      <b/>
      <sz val="12"/>
      <color indexed="10"/>
      <name val="Arial"/>
      <family val="2"/>
    </font>
    <font>
      <sz val="11"/>
      <name val="Arial"/>
      <family val="2"/>
    </font>
    <font>
      <b/>
      <u/>
      <sz val="12"/>
      <name val="Arial"/>
      <family val="2"/>
    </font>
    <font>
      <b/>
      <sz val="10"/>
      <color indexed="12"/>
      <name val="Arial"/>
      <family val="2"/>
    </font>
    <font>
      <sz val="12"/>
      <name val="Arial"/>
      <family val="2"/>
    </font>
    <font>
      <b/>
      <sz val="11"/>
      <name val="MS Sans Serif"/>
      <family val="2"/>
    </font>
    <font>
      <sz val="10"/>
      <color indexed="10"/>
      <name val="Arial"/>
      <family val="2"/>
    </font>
    <font>
      <sz val="9"/>
      <color indexed="81"/>
      <name val="Tahoma"/>
      <family val="2"/>
    </font>
    <font>
      <b/>
      <sz val="9"/>
      <color indexed="81"/>
      <name val="Tahoma"/>
      <family val="2"/>
    </font>
    <font>
      <b/>
      <i/>
      <sz val="10"/>
      <color rgb="FFFF0000"/>
      <name val="Arial"/>
      <family val="2"/>
    </font>
    <font>
      <b/>
      <sz val="10"/>
      <color rgb="FFFF0000"/>
      <name val="Arial"/>
      <family val="2"/>
    </font>
    <font>
      <b/>
      <sz val="10"/>
      <color theme="1"/>
      <name val="Arial"/>
      <family val="2"/>
    </font>
    <font>
      <sz val="10"/>
      <color theme="1"/>
      <name val="Arial"/>
      <family val="2"/>
    </font>
    <font>
      <u/>
      <sz val="10"/>
      <color rgb="FFFF0000"/>
      <name val="Arial"/>
      <family val="2"/>
    </font>
    <font>
      <b/>
      <sz val="11"/>
      <color rgb="FF000000"/>
      <name val="Arial"/>
      <family val="2"/>
    </font>
    <font>
      <b/>
      <sz val="12"/>
      <color rgb="FF000000"/>
      <name val="Arial"/>
      <family val="2"/>
    </font>
    <font>
      <sz val="10"/>
      <color rgb="FF000000"/>
      <name val="Arial"/>
      <family val="2"/>
    </font>
    <font>
      <b/>
      <sz val="10"/>
      <color rgb="FF000000"/>
      <name val="Arial"/>
      <family val="2"/>
    </font>
    <font>
      <sz val="10"/>
      <color rgb="FFFF0000"/>
      <name val="Arial"/>
      <family val="2"/>
    </font>
    <font>
      <b/>
      <sz val="13.5"/>
      <name val="Arial Black"/>
      <family val="2"/>
    </font>
    <font>
      <b/>
      <sz val="9"/>
      <name val="Arial"/>
      <family val="2"/>
    </font>
    <font>
      <b/>
      <sz val="10"/>
      <name val="Calibri"/>
      <family val="2"/>
      <scheme val="minor"/>
    </font>
    <font>
      <sz val="10"/>
      <name val="Calibri"/>
      <family val="2"/>
      <scheme val="minor"/>
    </font>
    <font>
      <b/>
      <sz val="10"/>
      <color rgb="FFFF0000"/>
      <name val="Calibri"/>
      <family val="2"/>
      <scheme val="minor"/>
    </font>
  </fonts>
  <fills count="18">
    <fill>
      <patternFill patternType="none"/>
    </fill>
    <fill>
      <patternFill patternType="gray125"/>
    </fill>
    <fill>
      <patternFill patternType="solid">
        <fgColor indexed="31"/>
        <bgColor indexed="64"/>
      </patternFill>
    </fill>
    <fill>
      <patternFill patternType="solid">
        <fgColor indexed="26"/>
        <bgColor indexed="64"/>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6" tint="0.59996337778862885"/>
        <bgColor indexed="64"/>
      </patternFill>
    </fill>
    <fill>
      <patternFill patternType="solid">
        <fgColor rgb="FFFF0000"/>
        <bgColor indexed="64"/>
      </patternFill>
    </fill>
    <fill>
      <patternFill patternType="solid">
        <fgColor theme="6" tint="0.79998168889431442"/>
        <bgColor indexed="64"/>
      </patternFill>
    </fill>
    <fill>
      <patternFill patternType="solid">
        <fgColor theme="0" tint="-0.24994659260841701"/>
        <bgColor indexed="64"/>
      </patternFill>
    </fill>
    <fill>
      <patternFill patternType="solid">
        <fgColor theme="0"/>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FFCC"/>
        <bgColor indexed="64"/>
      </patternFill>
    </fill>
    <fill>
      <patternFill patternType="solid">
        <fgColor theme="4" tint="0.59996337778862885"/>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59996337778862885"/>
        <bgColor indexed="64"/>
      </patternFill>
    </fill>
  </fills>
  <borders count="23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10"/>
      </left>
      <right/>
      <top/>
      <bottom/>
      <diagonal/>
    </border>
    <border>
      <left style="medium">
        <color indexed="10"/>
      </left>
      <right/>
      <top style="medium">
        <color indexed="10"/>
      </top>
      <bottom style="thin">
        <color indexed="10"/>
      </bottom>
      <diagonal/>
    </border>
    <border>
      <left style="medium">
        <color indexed="10"/>
      </left>
      <right/>
      <top style="thin">
        <color indexed="10"/>
      </top>
      <bottom style="medium">
        <color indexed="10"/>
      </bottom>
      <diagonal/>
    </border>
    <border>
      <left/>
      <right/>
      <top style="thin">
        <color indexed="10"/>
      </top>
      <bottom style="medium">
        <color indexed="10"/>
      </bottom>
      <diagonal/>
    </border>
    <border>
      <left/>
      <right style="medium">
        <color indexed="10"/>
      </right>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10"/>
      </left>
      <right/>
      <top style="medium">
        <color indexed="10"/>
      </top>
      <bottom/>
      <diagonal/>
    </border>
    <border>
      <left/>
      <right/>
      <top style="medium">
        <color indexed="10"/>
      </top>
      <bottom/>
      <diagonal/>
    </border>
    <border>
      <left/>
      <right style="medium">
        <color indexed="10"/>
      </right>
      <top style="medium">
        <color indexed="10"/>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right/>
      <top style="medium">
        <color indexed="10"/>
      </top>
      <bottom style="thin">
        <color indexed="10"/>
      </bottom>
      <diagonal/>
    </border>
    <border>
      <left/>
      <right style="medium">
        <color indexed="10"/>
      </right>
      <top style="medium">
        <color indexed="10"/>
      </top>
      <bottom style="thin">
        <color indexed="10"/>
      </bottom>
      <diagonal/>
    </border>
    <border>
      <left/>
      <right style="medium">
        <color indexed="10"/>
      </right>
      <top style="thin">
        <color indexed="10"/>
      </top>
      <bottom style="medium">
        <color indexed="10"/>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thin">
        <color indexed="64"/>
      </left>
      <right/>
      <top style="medium">
        <color indexed="64"/>
      </top>
      <bottom/>
      <diagonal/>
    </border>
    <border>
      <left style="thin">
        <color indexed="64"/>
      </left>
      <right/>
      <top style="double">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10"/>
      </left>
      <right/>
      <top/>
      <bottom style="medium">
        <color indexed="10"/>
      </bottom>
      <diagonal/>
    </border>
    <border>
      <left/>
      <right/>
      <top/>
      <bottom style="medium">
        <color indexed="10"/>
      </bottom>
      <diagonal/>
    </border>
    <border>
      <left/>
      <right style="medium">
        <color indexed="10"/>
      </right>
      <top/>
      <bottom style="medium">
        <color indexed="10"/>
      </bottom>
      <diagonal/>
    </border>
    <border>
      <left style="medium">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right/>
      <top style="thin">
        <color auto="1"/>
      </top>
      <bottom style="thin">
        <color auto="1"/>
      </bottom>
      <diagonal/>
    </border>
    <border>
      <left/>
      <right/>
      <top style="thin">
        <color auto="1"/>
      </top>
      <bottom style="thin">
        <color auto="1"/>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style="thin">
        <color indexed="64"/>
      </right>
      <top style="medium">
        <color indexed="64"/>
      </top>
      <bottom/>
      <diagonal/>
    </border>
    <border>
      <left/>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auto="1"/>
      </right>
      <top style="thin">
        <color auto="1"/>
      </top>
      <bottom style="thin">
        <color auto="1"/>
      </bottom>
      <diagonal/>
    </border>
    <border>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medium">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indexed="64"/>
      </left>
      <right style="thin">
        <color indexed="64"/>
      </right>
      <top style="thin">
        <color indexed="64"/>
      </top>
      <bottom style="medium">
        <color indexed="64"/>
      </bottom>
      <diagonal/>
    </border>
    <border>
      <left/>
      <right/>
      <top style="medium">
        <color auto="1"/>
      </top>
      <bottom/>
      <diagonal/>
    </border>
    <border>
      <left style="medium">
        <color indexed="64"/>
      </left>
      <right style="thin">
        <color indexed="64"/>
      </right>
      <top style="thin">
        <color auto="1"/>
      </top>
      <bottom style="medium">
        <color auto="1"/>
      </bottom>
      <diagonal/>
    </border>
    <border>
      <left/>
      <right/>
      <top style="medium">
        <color auto="1"/>
      </top>
      <bottom style="dashed">
        <color auto="1"/>
      </bottom>
      <diagonal/>
    </border>
    <border>
      <left/>
      <right/>
      <top style="dashed">
        <color auto="1"/>
      </top>
      <bottom style="medium">
        <color auto="1"/>
      </bottom>
      <diagonal/>
    </border>
    <border>
      <left style="medium">
        <color auto="1"/>
      </left>
      <right/>
      <top style="medium">
        <color auto="1"/>
      </top>
      <bottom style="dashed">
        <color auto="1"/>
      </bottom>
      <diagonal/>
    </border>
    <border>
      <left/>
      <right style="medium">
        <color auto="1"/>
      </right>
      <top style="medium">
        <color auto="1"/>
      </top>
      <bottom style="dashed">
        <color auto="1"/>
      </bottom>
      <diagonal/>
    </border>
    <border>
      <left style="medium">
        <color auto="1"/>
      </left>
      <right/>
      <top style="dashed">
        <color auto="1"/>
      </top>
      <bottom style="medium">
        <color auto="1"/>
      </bottom>
      <diagonal/>
    </border>
    <border>
      <left/>
      <right style="medium">
        <color auto="1"/>
      </right>
      <top style="dashed">
        <color auto="1"/>
      </top>
      <bottom style="medium">
        <color auto="1"/>
      </bottom>
      <diagonal/>
    </border>
    <border>
      <left style="medium">
        <color indexed="64"/>
      </left>
      <right/>
      <top style="medium">
        <color auto="1"/>
      </top>
      <bottom/>
      <diagonal/>
    </border>
    <border>
      <left/>
      <right style="medium">
        <color indexed="64"/>
      </right>
      <top style="medium">
        <color auto="1"/>
      </top>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medium">
        <color indexed="64"/>
      </left>
      <right/>
      <top style="thin">
        <color indexed="64"/>
      </top>
      <bottom/>
      <diagonal/>
    </border>
    <border>
      <left style="thin">
        <color auto="1"/>
      </left>
      <right style="medium">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auto="1"/>
      </left>
      <right/>
      <top style="thin">
        <color auto="1"/>
      </top>
      <bottom style="thin">
        <color auto="1"/>
      </bottom>
      <diagonal/>
    </border>
    <border>
      <left style="medium">
        <color indexed="64"/>
      </left>
      <right/>
      <top style="thin">
        <color auto="1"/>
      </top>
      <bottom style="medium">
        <color auto="1"/>
      </bottom>
      <diagonal/>
    </border>
    <border>
      <left/>
      <right style="medium">
        <color auto="1"/>
      </right>
      <top style="thin">
        <color auto="1"/>
      </top>
      <bottom style="thin">
        <color auto="1"/>
      </bottom>
      <diagonal/>
    </border>
    <border>
      <left/>
      <right style="thin">
        <color indexed="64"/>
      </right>
      <top style="thin">
        <color auto="1"/>
      </top>
      <bottom style="medium">
        <color auto="1"/>
      </bottom>
      <diagonal/>
    </border>
    <border>
      <left style="thin">
        <color indexed="64"/>
      </left>
      <right style="thin">
        <color indexed="64"/>
      </right>
      <top style="thin">
        <color indexed="64"/>
      </top>
      <bottom style="thin">
        <color indexed="64"/>
      </bottom>
      <diagonal/>
    </border>
    <border>
      <left/>
      <right style="medium">
        <color auto="1"/>
      </right>
      <top style="thin">
        <color auto="1"/>
      </top>
      <bottom style="medium">
        <color auto="1"/>
      </bottom>
      <diagonal/>
    </border>
    <border>
      <left style="thin">
        <color indexed="64"/>
      </left>
      <right style="medium">
        <color auto="1"/>
      </right>
      <top style="thin">
        <color auto="1"/>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10"/>
      </left>
      <right/>
      <top style="medium">
        <color indexed="10"/>
      </top>
      <bottom style="medium">
        <color indexed="10"/>
      </bottom>
      <diagonal/>
    </border>
    <border>
      <left/>
      <right/>
      <top style="medium">
        <color indexed="10"/>
      </top>
      <bottom style="medium">
        <color indexed="10"/>
      </bottom>
      <diagonal/>
    </border>
    <border>
      <left/>
      <right style="medium">
        <color indexed="10"/>
      </right>
      <top style="medium">
        <color indexed="10"/>
      </top>
      <bottom style="medium">
        <color indexed="10"/>
      </bottom>
      <diagonal/>
    </border>
    <border>
      <left style="medium">
        <color auto="1"/>
      </left>
      <right style="thin">
        <color indexed="64"/>
      </right>
      <top style="medium">
        <color indexed="64"/>
      </top>
      <bottom style="medium">
        <color auto="1"/>
      </bottom>
      <diagonal/>
    </border>
    <border>
      <left style="thin">
        <color indexed="64"/>
      </left>
      <right style="medium">
        <color indexed="64"/>
      </right>
      <top style="medium">
        <color indexed="64"/>
      </top>
      <bottom style="medium">
        <color auto="1"/>
      </bottom>
      <diagonal/>
    </border>
    <border>
      <left style="medium">
        <color indexed="64"/>
      </left>
      <right/>
      <top style="medium">
        <color indexed="64"/>
      </top>
      <bottom style="medium">
        <color auto="1"/>
      </bottom>
      <diagonal/>
    </border>
    <border>
      <left/>
      <right/>
      <top style="medium">
        <color indexed="64"/>
      </top>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auto="1"/>
      </top>
      <bottom style="thin">
        <color auto="1"/>
      </bottom>
      <diagonal/>
    </border>
    <border>
      <left style="medium">
        <color auto="1"/>
      </left>
      <right style="medium">
        <color indexed="64"/>
      </right>
      <top style="thin">
        <color auto="1"/>
      </top>
      <bottom style="medium">
        <color auto="1"/>
      </bottom>
      <diagonal/>
    </border>
    <border>
      <left/>
      <right style="medium">
        <color indexed="64"/>
      </right>
      <top style="thin">
        <color auto="1"/>
      </top>
      <bottom style="thin">
        <color auto="1"/>
      </bottom>
      <diagonal/>
    </border>
    <border>
      <left style="thin">
        <color indexed="64"/>
      </left>
      <right style="medium">
        <color indexed="64"/>
      </right>
      <top style="medium">
        <color indexed="64"/>
      </top>
      <bottom style="thin">
        <color indexed="64"/>
      </bottom>
      <diagonal/>
    </border>
    <border>
      <left style="medium">
        <color auto="1"/>
      </left>
      <right style="thin">
        <color indexed="64"/>
      </right>
      <top style="medium">
        <color indexed="64"/>
      </top>
      <bottom/>
      <diagonal/>
    </border>
    <border>
      <left style="medium">
        <color auto="1"/>
      </left>
      <right style="thin">
        <color auto="1"/>
      </right>
      <top style="thin">
        <color auto="1"/>
      </top>
      <bottom style="thin">
        <color auto="1"/>
      </bottom>
      <diagonal/>
    </border>
    <border>
      <left style="medium">
        <color auto="1"/>
      </left>
      <right/>
      <top style="thin">
        <color auto="1"/>
      </top>
      <bottom style="medium">
        <color auto="1"/>
      </bottom>
      <diagonal/>
    </border>
    <border>
      <left style="medium">
        <color auto="1"/>
      </left>
      <right/>
      <top style="thin">
        <color auto="1"/>
      </top>
      <bottom style="thin">
        <color auto="1"/>
      </bottom>
      <diagonal/>
    </border>
    <border>
      <left style="medium">
        <color auto="1"/>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auto="1"/>
      </top>
      <bottom style="thin">
        <color auto="1"/>
      </bottom>
      <diagonal/>
    </border>
    <border>
      <left style="thin">
        <color auto="1"/>
      </left>
      <right style="thin">
        <color auto="1"/>
      </right>
      <top style="medium">
        <color auto="1"/>
      </top>
      <bottom style="thin">
        <color auto="1"/>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auto="1"/>
      </right>
      <top/>
      <bottom style="medium">
        <color auto="1"/>
      </bottom>
      <diagonal/>
    </border>
    <border>
      <left style="thin">
        <color indexed="64"/>
      </left>
      <right style="thin">
        <color indexed="64"/>
      </right>
      <top style="medium">
        <color indexed="64"/>
      </top>
      <bottom style="medium">
        <color indexed="64"/>
      </bottom>
      <diagonal/>
    </border>
    <border>
      <left/>
      <right/>
      <top style="thin">
        <color auto="1"/>
      </top>
      <bottom style="thin">
        <color auto="1"/>
      </bottom>
      <diagonal/>
    </border>
    <border>
      <left style="thin">
        <color auto="1"/>
      </left>
      <right/>
      <top style="medium">
        <color auto="1"/>
      </top>
      <bottom style="thin">
        <color auto="1"/>
      </bottom>
      <diagonal/>
    </border>
    <border>
      <left style="medium">
        <color auto="1"/>
      </left>
      <right/>
      <top style="medium">
        <color indexed="64"/>
      </top>
      <bottom style="thin">
        <color indexed="64"/>
      </bottom>
      <diagonal/>
    </border>
    <border>
      <left/>
      <right style="medium">
        <color auto="1"/>
      </right>
      <top style="thin">
        <color auto="1"/>
      </top>
      <bottom/>
      <diagonal/>
    </border>
    <border>
      <left/>
      <right style="medium">
        <color auto="1"/>
      </right>
      <top style="thin">
        <color auto="1"/>
      </top>
      <bottom style="thin">
        <color auto="1"/>
      </bottom>
      <diagonal/>
    </border>
    <border>
      <left style="medium">
        <color indexed="64"/>
      </left>
      <right/>
      <top style="thin">
        <color indexed="64"/>
      </top>
      <bottom/>
      <diagonal/>
    </border>
    <border>
      <left style="thin">
        <color indexed="64"/>
      </left>
      <right style="medium">
        <color indexed="64"/>
      </right>
      <top style="thin">
        <color auto="1"/>
      </top>
      <bottom style="thin">
        <color auto="1"/>
      </bottom>
      <diagonal/>
    </border>
    <border>
      <left style="thin">
        <color indexed="64"/>
      </left>
      <right style="medium">
        <color indexed="64"/>
      </right>
      <top style="thin">
        <color indexed="64"/>
      </top>
      <bottom/>
      <diagonal/>
    </border>
    <border>
      <left style="medium">
        <color auto="1"/>
      </left>
      <right style="medium">
        <color indexed="64"/>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indexed="64"/>
      </top>
      <bottom/>
      <diagonal/>
    </border>
    <border>
      <left style="medium">
        <color auto="1"/>
      </left>
      <right style="thin">
        <color indexed="64"/>
      </right>
      <top style="thin">
        <color auto="1"/>
      </top>
      <bottom style="medium">
        <color auto="1"/>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auto="1"/>
      </bottom>
      <diagonal/>
    </border>
    <border>
      <left/>
      <right/>
      <top style="thin">
        <color auto="1"/>
      </top>
      <bottom style="thin">
        <color auto="1"/>
      </bottom>
      <diagonal/>
    </border>
    <border>
      <left style="thin">
        <color indexed="64"/>
      </left>
      <right/>
      <top style="medium">
        <color indexed="64"/>
      </top>
      <bottom/>
      <diagonal/>
    </border>
    <border>
      <left style="thin">
        <color indexed="64"/>
      </left>
      <right style="thin">
        <color indexed="64"/>
      </right>
      <top style="thin">
        <color indexed="64"/>
      </top>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auto="1"/>
      </top>
      <bottom/>
      <diagonal/>
    </border>
    <border>
      <left/>
      <right style="medium">
        <color indexed="64"/>
      </right>
      <top style="thin">
        <color auto="1"/>
      </top>
      <bottom/>
      <diagonal/>
    </border>
    <border>
      <left style="thin">
        <color indexed="64"/>
      </left>
      <right style="medium">
        <color indexed="64"/>
      </right>
      <top style="thin">
        <color auto="1"/>
      </top>
      <bottom style="thin">
        <color auto="1"/>
      </bottom>
      <diagonal/>
    </border>
    <border>
      <left style="thin">
        <color indexed="64"/>
      </left>
      <right style="medium">
        <color indexed="64"/>
      </right>
      <top style="thin">
        <color indexed="64"/>
      </top>
      <bottom/>
      <diagonal/>
    </border>
    <border>
      <left/>
      <right style="medium">
        <color indexed="64"/>
      </right>
      <top style="thin">
        <color auto="1"/>
      </top>
      <bottom style="thin">
        <color auto="1"/>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449">
    <xf numFmtId="0" fontId="0" fillId="0" borderId="0" xfId="0"/>
    <xf numFmtId="0" fontId="2" fillId="0" borderId="1" xfId="0" applyFont="1" applyBorder="1"/>
    <xf numFmtId="0" fontId="4" fillId="0" borderId="2" xfId="0" applyFont="1" applyBorder="1"/>
    <xf numFmtId="0" fontId="2" fillId="0" borderId="3" xfId="0" applyFont="1" applyBorder="1"/>
    <xf numFmtId="0" fontId="4" fillId="0" borderId="0" xfId="0" applyFont="1"/>
    <xf numFmtId="6" fontId="4" fillId="0" borderId="0" xfId="0" applyNumberFormat="1" applyFont="1" applyAlignment="1">
      <alignment horizontal="right"/>
    </xf>
    <xf numFmtId="8" fontId="4" fillId="0" borderId="4" xfId="1" applyNumberFormat="1" applyFont="1" applyBorder="1" applyAlignment="1" applyProtection="1">
      <alignment horizontal="right"/>
    </xf>
    <xf numFmtId="10" fontId="4" fillId="0" borderId="0" xfId="2" applyNumberFormat="1" applyFont="1" applyBorder="1" applyAlignment="1" applyProtection="1">
      <alignment horizontal="center"/>
    </xf>
    <xf numFmtId="38" fontId="4" fillId="0" borderId="0" xfId="1" applyNumberFormat="1" applyFont="1" applyBorder="1" applyAlignment="1" applyProtection="1">
      <alignment horizontal="center"/>
    </xf>
    <xf numFmtId="0" fontId="4" fillId="0" borderId="5" xfId="0" applyFont="1" applyBorder="1"/>
    <xf numFmtId="171" fontId="4" fillId="0" borderId="0" xfId="0" applyNumberFormat="1" applyFont="1" applyAlignment="1">
      <alignment horizontal="center"/>
    </xf>
    <xf numFmtId="17" fontId="2" fillId="0" borderId="0" xfId="0" applyNumberFormat="1" applyFont="1" applyAlignment="1">
      <alignment horizontal="center"/>
    </xf>
    <xf numFmtId="6" fontId="4" fillId="0" borderId="0" xfId="1" applyNumberFormat="1" applyFont="1" applyBorder="1" applyAlignment="1" applyProtection="1">
      <alignment horizontal="right"/>
    </xf>
    <xf numFmtId="171" fontId="4" fillId="0" borderId="6" xfId="0" applyNumberFormat="1" applyFont="1" applyBorder="1" applyAlignment="1">
      <alignment horizontal="center"/>
    </xf>
    <xf numFmtId="17" fontId="2" fillId="0" borderId="7" xfId="0" applyNumberFormat="1" applyFont="1" applyBorder="1" applyAlignment="1">
      <alignment horizontal="center"/>
    </xf>
    <xf numFmtId="6" fontId="4" fillId="0" borderId="7" xfId="1" applyNumberFormat="1" applyFont="1" applyBorder="1" applyAlignment="1" applyProtection="1">
      <alignment horizontal="right"/>
    </xf>
    <xf numFmtId="6" fontId="4" fillId="0" borderId="7" xfId="0" applyNumberFormat="1" applyFont="1" applyBorder="1" applyAlignment="1">
      <alignment horizontal="right"/>
    </xf>
    <xf numFmtId="6" fontId="4" fillId="0" borderId="8" xfId="0" applyNumberFormat="1" applyFont="1" applyBorder="1" applyAlignment="1">
      <alignment horizontal="right"/>
    </xf>
    <xf numFmtId="0" fontId="4" fillId="0" borderId="9" xfId="0" applyFont="1" applyBorder="1" applyAlignment="1">
      <alignment horizontal="center"/>
    </xf>
    <xf numFmtId="0" fontId="4" fillId="0" borderId="10"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6" fontId="2" fillId="0" borderId="13" xfId="0" applyNumberFormat="1" applyFont="1" applyBorder="1" applyAlignment="1">
      <alignment horizontal="right"/>
    </xf>
    <xf numFmtId="166" fontId="4" fillId="0" borderId="5" xfId="0" applyNumberFormat="1" applyFont="1" applyBorder="1" applyAlignment="1">
      <alignment horizontal="center"/>
    </xf>
    <xf numFmtId="10" fontId="4" fillId="0" borderId="0" xfId="0" applyNumberFormat="1" applyFont="1" applyAlignment="1">
      <alignment horizontal="center"/>
    </xf>
    <xf numFmtId="2" fontId="4" fillId="0" borderId="0" xfId="0" applyNumberFormat="1" applyFont="1" applyAlignment="1">
      <alignment horizontal="center"/>
    </xf>
    <xf numFmtId="6" fontId="2" fillId="0" borderId="0" xfId="0" applyNumberFormat="1" applyFont="1" applyAlignment="1">
      <alignment horizontal="center"/>
    </xf>
    <xf numFmtId="0" fontId="0" fillId="0" borderId="0" xfId="0" applyAlignment="1">
      <alignment horizontal="center"/>
    </xf>
    <xf numFmtId="0" fontId="0" fillId="0" borderId="0" xfId="0" applyProtection="1">
      <protection locked="0"/>
    </xf>
    <xf numFmtId="0" fontId="0" fillId="0" borderId="3" xfId="0" applyBorder="1"/>
    <xf numFmtId="166" fontId="0" fillId="0" borderId="0" xfId="0" applyNumberFormat="1" applyAlignment="1">
      <alignment horizontal="center"/>
    </xf>
    <xf numFmtId="8" fontId="4" fillId="0" borderId="4" xfId="0" applyNumberFormat="1" applyFont="1" applyBorder="1"/>
    <xf numFmtId="8" fontId="4" fillId="0" borderId="14" xfId="0" applyNumberFormat="1" applyFont="1" applyBorder="1"/>
    <xf numFmtId="8" fontId="4" fillId="0" borderId="15" xfId="0" applyNumberFormat="1" applyFont="1" applyBorder="1"/>
    <xf numFmtId="165" fontId="2" fillId="0" borderId="0" xfId="0" applyNumberFormat="1" applyFont="1" applyProtection="1">
      <protection locked="0"/>
    </xf>
    <xf numFmtId="166" fontId="2" fillId="0" borderId="0" xfId="0" applyNumberFormat="1" applyFont="1" applyProtection="1">
      <protection locked="0"/>
    </xf>
    <xf numFmtId="0" fontId="2" fillId="0" borderId="0" xfId="0" applyFont="1" applyAlignment="1" applyProtection="1">
      <alignment horizontal="center"/>
      <protection locked="0"/>
    </xf>
    <xf numFmtId="0" fontId="0" fillId="0" borderId="1" xfId="0" applyBorder="1"/>
    <xf numFmtId="0" fontId="0" fillId="0" borderId="2" xfId="0" applyBorder="1"/>
    <xf numFmtId="0" fontId="2" fillId="0" borderId="21" xfId="0" applyFont="1" applyBorder="1"/>
    <xf numFmtId="0" fontId="0" fillId="0" borderId="22" xfId="0" applyBorder="1"/>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0" fillId="0" borderId="10" xfId="0" applyBorder="1"/>
    <xf numFmtId="0" fontId="0" fillId="0" borderId="25" xfId="0" applyBorder="1"/>
    <xf numFmtId="165" fontId="0" fillId="0" borderId="26" xfId="0" applyNumberFormat="1" applyBorder="1"/>
    <xf numFmtId="165" fontId="0" fillId="0" borderId="15" xfId="0" applyNumberFormat="1" applyBorder="1"/>
    <xf numFmtId="0" fontId="2" fillId="0" borderId="27" xfId="0" applyFont="1" applyBorder="1"/>
    <xf numFmtId="0" fontId="0" fillId="0" borderId="28" xfId="0" applyBorder="1"/>
    <xf numFmtId="166" fontId="0" fillId="0" borderId="30" xfId="0" applyNumberFormat="1" applyBorder="1"/>
    <xf numFmtId="0" fontId="0" fillId="0" borderId="33" xfId="0" applyBorder="1"/>
    <xf numFmtId="0" fontId="2" fillId="0" borderId="34" xfId="0" applyFont="1" applyBorder="1" applyAlignment="1">
      <alignment horizontal="right"/>
    </xf>
    <xf numFmtId="166" fontId="2" fillId="2" borderId="35" xfId="0" applyNumberFormat="1" applyFont="1" applyFill="1" applyBorder="1"/>
    <xf numFmtId="165" fontId="2" fillId="0" borderId="35" xfId="0" applyNumberFormat="1" applyFont="1" applyBorder="1"/>
    <xf numFmtId="165" fontId="0" fillId="0" borderId="0" xfId="0" applyNumberFormat="1"/>
    <xf numFmtId="0" fontId="2" fillId="0" borderId="0" xfId="0" applyFont="1"/>
    <xf numFmtId="0" fontId="0" fillId="0" borderId="37" xfId="0" applyBorder="1"/>
    <xf numFmtId="166" fontId="2" fillId="2" borderId="30" xfId="0" applyNumberFormat="1" applyFont="1" applyFill="1" applyBorder="1"/>
    <xf numFmtId="165" fontId="2" fillId="0" borderId="0" xfId="0" applyNumberFormat="1" applyFont="1" applyAlignment="1">
      <alignment horizontal="right"/>
    </xf>
    <xf numFmtId="0" fontId="2" fillId="0" borderId="34" xfId="0" applyFont="1" applyBorder="1" applyAlignment="1" applyProtection="1">
      <alignment horizontal="center"/>
      <protection locked="0"/>
    </xf>
    <xf numFmtId="165" fontId="0" fillId="0" borderId="0" xfId="0" applyNumberFormat="1" applyProtection="1">
      <protection locked="0"/>
    </xf>
    <xf numFmtId="165" fontId="0" fillId="0" borderId="4" xfId="0" applyNumberFormat="1" applyBorder="1" applyProtection="1">
      <protection locked="0"/>
    </xf>
    <xf numFmtId="0" fontId="0" fillId="0" borderId="2" xfId="0" applyBorder="1" applyProtection="1">
      <protection locked="0"/>
    </xf>
    <xf numFmtId="0" fontId="5" fillId="0" borderId="0" xfId="0" applyFont="1" applyAlignment="1" applyProtection="1">
      <alignment horizontal="center"/>
      <protection locked="0"/>
    </xf>
    <xf numFmtId="0" fontId="2" fillId="0" borderId="0" xfId="0" applyFont="1" applyAlignment="1">
      <alignment horizontal="center"/>
    </xf>
    <xf numFmtId="0" fontId="0" fillId="0" borderId="7" xfId="0" applyBorder="1"/>
    <xf numFmtId="165" fontId="0" fillId="0" borderId="4" xfId="0" applyNumberFormat="1" applyBorder="1"/>
    <xf numFmtId="165" fontId="0" fillId="0" borderId="43" xfId="0" applyNumberFormat="1" applyBorder="1"/>
    <xf numFmtId="168" fontId="4" fillId="0" borderId="0" xfId="0" applyNumberFormat="1" applyFont="1" applyAlignment="1">
      <alignment horizontal="center"/>
    </xf>
    <xf numFmtId="169" fontId="4" fillId="0" borderId="0" xfId="0" applyNumberFormat="1" applyFont="1" applyAlignment="1">
      <alignment horizontal="center"/>
    </xf>
    <xf numFmtId="38" fontId="4" fillId="0" borderId="7" xfId="0" applyNumberFormat="1" applyFont="1" applyBorder="1" applyAlignment="1">
      <alignment horizontal="center"/>
    </xf>
    <xf numFmtId="0" fontId="5" fillId="0" borderId="0" xfId="0" applyFont="1" applyAlignment="1">
      <alignment horizontal="center"/>
    </xf>
    <xf numFmtId="166" fontId="0" fillId="0" borderId="0" xfId="0" applyNumberFormat="1"/>
    <xf numFmtId="0" fontId="16" fillId="0" borderId="0" xfId="0" applyFont="1" applyProtection="1">
      <protection locked="0"/>
    </xf>
    <xf numFmtId="0" fontId="16" fillId="0" borderId="0" xfId="0" applyFont="1" applyAlignment="1">
      <alignment horizontal="left"/>
    </xf>
    <xf numFmtId="165" fontId="2" fillId="0" borderId="22" xfId="0" applyNumberFormat="1" applyFont="1" applyBorder="1" applyProtection="1">
      <protection locked="0"/>
    </xf>
    <xf numFmtId="165" fontId="0" fillId="0" borderId="23" xfId="0" applyNumberFormat="1" applyBorder="1"/>
    <xf numFmtId="165" fontId="0" fillId="0" borderId="24" xfId="0" applyNumberFormat="1" applyBorder="1"/>
    <xf numFmtId="0" fontId="0" fillId="0" borderId="34" xfId="0" applyBorder="1" applyProtection="1">
      <protection locked="0"/>
    </xf>
    <xf numFmtId="168" fontId="5" fillId="0" borderId="22" xfId="0" applyNumberFormat="1" applyFont="1" applyBorder="1" applyProtection="1">
      <protection locked="0"/>
    </xf>
    <xf numFmtId="0" fontId="2" fillId="0" borderId="0" xfId="0" applyFont="1" applyProtection="1">
      <protection locked="0"/>
    </xf>
    <xf numFmtId="166" fontId="5" fillId="0" borderId="0" xfId="0" applyNumberFormat="1" applyFont="1"/>
    <xf numFmtId="165" fontId="5" fillId="0" borderId="0" xfId="0" applyNumberFormat="1" applyFont="1"/>
    <xf numFmtId="165" fontId="5" fillId="0" borderId="22" xfId="0" applyNumberFormat="1" applyFont="1" applyBorder="1"/>
    <xf numFmtId="0" fontId="4" fillId="0" borderId="43" xfId="0" applyFont="1" applyBorder="1"/>
    <xf numFmtId="0" fontId="4" fillId="0" borderId="51" xfId="0" applyFont="1" applyBorder="1"/>
    <xf numFmtId="0" fontId="4" fillId="0" borderId="32" xfId="0" applyFont="1" applyBorder="1"/>
    <xf numFmtId="0" fontId="2" fillId="0" borderId="22" xfId="0" applyFont="1" applyBorder="1" applyAlignment="1">
      <alignment horizontal="right"/>
    </xf>
    <xf numFmtId="0" fontId="0" fillId="0" borderId="51" xfId="0" applyBorder="1"/>
    <xf numFmtId="0" fontId="2" fillId="0" borderId="29" xfId="0" applyFont="1" applyBorder="1" applyAlignment="1">
      <alignment horizontal="center"/>
    </xf>
    <xf numFmtId="0" fontId="2" fillId="0" borderId="0" xfId="0" applyFont="1" applyAlignment="1">
      <alignment horizontal="right"/>
    </xf>
    <xf numFmtId="166" fontId="2" fillId="0" borderId="0" xfId="0" applyNumberFormat="1" applyFont="1" applyAlignment="1" applyProtection="1">
      <alignment horizontal="center"/>
      <protection locked="0"/>
    </xf>
    <xf numFmtId="8" fontId="0" fillId="0" borderId="0" xfId="0" applyNumberFormat="1"/>
    <xf numFmtId="8" fontId="0" fillId="0" borderId="0" xfId="0" applyNumberFormat="1" applyAlignment="1">
      <alignment horizontal="center"/>
    </xf>
    <xf numFmtId="0" fontId="15" fillId="0" borderId="0" xfId="0" applyFont="1"/>
    <xf numFmtId="0" fontId="16" fillId="0" borderId="0" xfId="0" applyFont="1"/>
    <xf numFmtId="0" fontId="2" fillId="0" borderId="47" xfId="0" applyFont="1" applyBorder="1" applyAlignment="1">
      <alignment horizontal="center"/>
    </xf>
    <xf numFmtId="0" fontId="2" fillId="0" borderId="39" xfId="0" applyFont="1" applyBorder="1" applyAlignment="1">
      <alignment horizontal="center"/>
    </xf>
    <xf numFmtId="165" fontId="0" fillId="0" borderId="4" xfId="0" applyNumberFormat="1" applyBorder="1" applyAlignment="1">
      <alignment horizontal="right"/>
    </xf>
    <xf numFmtId="0" fontId="2" fillId="0" borderId="39" xfId="0" applyFont="1" applyBorder="1"/>
    <xf numFmtId="0" fontId="0" fillId="0" borderId="39" xfId="0" applyBorder="1"/>
    <xf numFmtId="0" fontId="0" fillId="0" borderId="53" xfId="0" applyBorder="1"/>
    <xf numFmtId="0" fontId="2" fillId="0" borderId="61" xfId="0" applyFont="1" applyBorder="1"/>
    <xf numFmtId="0" fontId="0" fillId="0" borderId="6" xfId="0" applyBorder="1"/>
    <xf numFmtId="0" fontId="2" fillId="0" borderId="32" xfId="0" applyFont="1" applyBorder="1"/>
    <xf numFmtId="0" fontId="0" fillId="0" borderId="9" xfId="0" applyBorder="1"/>
    <xf numFmtId="165" fontId="0" fillId="0" borderId="63" xfId="0" applyNumberFormat="1" applyBorder="1"/>
    <xf numFmtId="165" fontId="0" fillId="0" borderId="64" xfId="0" applyNumberFormat="1" applyBorder="1"/>
    <xf numFmtId="165" fontId="2" fillId="0" borderId="65" xfId="0" applyNumberFormat="1" applyFont="1" applyBorder="1"/>
    <xf numFmtId="0" fontId="0" fillId="0" borderId="4" xfId="0" applyBorder="1" applyAlignment="1">
      <alignment horizontal="right"/>
    </xf>
    <xf numFmtId="0" fontId="0" fillId="0" borderId="0" xfId="0" applyAlignment="1">
      <alignment horizontal="right"/>
    </xf>
    <xf numFmtId="172" fontId="0" fillId="3" borderId="47" xfId="0" applyNumberFormat="1" applyFill="1" applyBorder="1" applyProtection="1">
      <protection locked="0"/>
    </xf>
    <xf numFmtId="172" fontId="0" fillId="3" borderId="4" xfId="0" applyNumberFormat="1" applyFill="1" applyBorder="1" applyProtection="1">
      <protection locked="0"/>
    </xf>
    <xf numFmtId="1" fontId="0" fillId="0" borderId="0" xfId="0" applyNumberFormat="1" applyAlignment="1">
      <alignment horizontal="center"/>
    </xf>
    <xf numFmtId="0" fontId="2" fillId="0" borderId="33" xfId="0" applyFont="1" applyBorder="1" applyProtection="1">
      <protection locked="0"/>
    </xf>
    <xf numFmtId="0" fontId="0" fillId="0" borderId="3" xfId="0" applyBorder="1" applyProtection="1">
      <protection locked="0"/>
    </xf>
    <xf numFmtId="0" fontId="0" fillId="0" borderId="7" xfId="0" applyBorder="1" applyProtection="1">
      <protection locked="0"/>
    </xf>
    <xf numFmtId="0" fontId="0" fillId="0" borderId="10" xfId="0" applyBorder="1" applyProtection="1">
      <protection locked="0"/>
    </xf>
    <xf numFmtId="0" fontId="0" fillId="0" borderId="25" xfId="0" applyBorder="1" applyProtection="1">
      <protection locked="0"/>
    </xf>
    <xf numFmtId="0" fontId="0" fillId="0" borderId="14" xfId="0" applyBorder="1" applyProtection="1">
      <protection locked="0"/>
    </xf>
    <xf numFmtId="0" fontId="0" fillId="0" borderId="4" xfId="0" applyBorder="1" applyProtection="1">
      <protection locked="0"/>
    </xf>
    <xf numFmtId="0" fontId="0" fillId="0" borderId="22" xfId="0" applyBorder="1" applyProtection="1">
      <protection locked="0"/>
    </xf>
    <xf numFmtId="0" fontId="0" fillId="0" borderId="66" xfId="0" applyBorder="1" applyProtection="1">
      <protection locked="0"/>
    </xf>
    <xf numFmtId="0" fontId="0" fillId="0" borderId="46" xfId="0" applyBorder="1" applyProtection="1">
      <protection locked="0"/>
    </xf>
    <xf numFmtId="0" fontId="0" fillId="0" borderId="33" xfId="0" applyBorder="1" applyProtection="1">
      <protection locked="0"/>
    </xf>
    <xf numFmtId="0" fontId="2" fillId="0" borderId="34" xfId="0" applyFont="1" applyBorder="1" applyAlignment="1" applyProtection="1">
      <alignment horizontal="right"/>
      <protection locked="0"/>
    </xf>
    <xf numFmtId="0" fontId="0" fillId="0" borderId="27" xfId="0" applyBorder="1" applyProtection="1">
      <protection locked="0"/>
    </xf>
    <xf numFmtId="0" fontId="0" fillId="0" borderId="28" xfId="0" applyBorder="1" applyProtection="1">
      <protection locked="0"/>
    </xf>
    <xf numFmtId="0" fontId="0" fillId="0" borderId="4" xfId="0" applyBorder="1" applyAlignment="1" applyProtection="1">
      <alignment horizontal="center"/>
      <protection locked="0"/>
    </xf>
    <xf numFmtId="0" fontId="0" fillId="0" borderId="26" xfId="0" applyBorder="1" applyProtection="1">
      <protection locked="0"/>
    </xf>
    <xf numFmtId="0" fontId="0" fillId="0" borderId="63" xfId="0" applyBorder="1" applyProtection="1">
      <protection locked="0"/>
    </xf>
    <xf numFmtId="166" fontId="4" fillId="0" borderId="0" xfId="0" applyNumberFormat="1" applyFont="1" applyAlignment="1">
      <alignment horizontal="center"/>
    </xf>
    <xf numFmtId="0" fontId="4" fillId="0" borderId="69" xfId="0" applyFont="1" applyBorder="1" applyAlignment="1">
      <alignment horizontal="center"/>
    </xf>
    <xf numFmtId="8" fontId="4" fillId="0" borderId="23" xfId="1" applyNumberFormat="1" applyFont="1" applyBorder="1" applyAlignment="1" applyProtection="1">
      <alignment horizontal="right"/>
    </xf>
    <xf numFmtId="8" fontId="4" fillId="0" borderId="23" xfId="0" applyNumberFormat="1" applyFont="1" applyBorder="1"/>
    <xf numFmtId="8" fontId="4" fillId="0" borderId="24" xfId="0" applyNumberFormat="1" applyFont="1" applyBorder="1"/>
    <xf numFmtId="0" fontId="4" fillId="0" borderId="2" xfId="0" applyFont="1" applyBorder="1" applyAlignment="1">
      <alignment horizontal="center"/>
    </xf>
    <xf numFmtId="8" fontId="4" fillId="0" borderId="2" xfId="1" applyNumberFormat="1" applyFont="1" applyBorder="1" applyAlignment="1" applyProtection="1">
      <alignment horizontal="right"/>
    </xf>
    <xf numFmtId="8" fontId="4" fillId="0" borderId="2" xfId="0" applyNumberFormat="1" applyFont="1" applyBorder="1"/>
    <xf numFmtId="0" fontId="4" fillId="0" borderId="0" xfId="0" applyFont="1" applyAlignment="1">
      <alignment horizontal="center"/>
    </xf>
    <xf numFmtId="8" fontId="4" fillId="0" borderId="0" xfId="1" applyNumberFormat="1" applyFont="1" applyBorder="1" applyAlignment="1" applyProtection="1">
      <alignment horizontal="right"/>
    </xf>
    <xf numFmtId="8" fontId="4" fillId="0" borderId="0" xfId="0" applyNumberFormat="1" applyFont="1"/>
    <xf numFmtId="0" fontId="4" fillId="0" borderId="70" xfId="0" applyFont="1" applyBorder="1" applyAlignment="1">
      <alignment horizontal="center"/>
    </xf>
    <xf numFmtId="8" fontId="4" fillId="0" borderId="38" xfId="1" applyNumberFormat="1" applyFont="1" applyBorder="1" applyAlignment="1" applyProtection="1">
      <alignment horizontal="right"/>
    </xf>
    <xf numFmtId="8" fontId="4" fillId="0" borderId="38" xfId="0" applyNumberFormat="1" applyFont="1" applyBorder="1"/>
    <xf numFmtId="8" fontId="4" fillId="0" borderId="45" xfId="0" applyNumberFormat="1" applyFont="1" applyBorder="1"/>
    <xf numFmtId="0" fontId="4" fillId="0" borderId="0" xfId="0" applyFont="1" applyAlignment="1">
      <alignment horizontal="right"/>
    </xf>
    <xf numFmtId="8" fontId="4" fillId="0" borderId="0" xfId="0" applyNumberFormat="1" applyFont="1" applyAlignment="1">
      <alignment horizontal="center"/>
    </xf>
    <xf numFmtId="8" fontId="4" fillId="0" borderId="43" xfId="1" applyNumberFormat="1" applyFont="1" applyBorder="1" applyAlignment="1" applyProtection="1">
      <alignment horizontal="right"/>
    </xf>
    <xf numFmtId="8" fontId="4" fillId="0" borderId="22" xfId="0" applyNumberFormat="1" applyFont="1" applyBorder="1"/>
    <xf numFmtId="8" fontId="4" fillId="0" borderId="64" xfId="0" applyNumberFormat="1" applyFont="1" applyBorder="1"/>
    <xf numFmtId="8" fontId="4" fillId="0" borderId="51" xfId="1" applyNumberFormat="1" applyFont="1" applyBorder="1" applyAlignment="1" applyProtection="1">
      <alignment horizontal="right"/>
    </xf>
    <xf numFmtId="8" fontId="4" fillId="0" borderId="52" xfId="0" applyNumberFormat="1" applyFont="1" applyBorder="1" applyAlignment="1">
      <alignment horizontal="center"/>
    </xf>
    <xf numFmtId="1" fontId="4" fillId="0" borderId="51" xfId="1" applyNumberFormat="1" applyFont="1" applyBorder="1" applyAlignment="1" applyProtection="1">
      <alignment horizontal="right"/>
    </xf>
    <xf numFmtId="8" fontId="4" fillId="0" borderId="52" xfId="0" applyNumberFormat="1" applyFont="1" applyBorder="1"/>
    <xf numFmtId="1" fontId="4" fillId="0" borderId="32" xfId="1" applyNumberFormat="1" applyFont="1" applyBorder="1" applyAlignment="1" applyProtection="1">
      <alignment horizontal="right"/>
    </xf>
    <xf numFmtId="8" fontId="4" fillId="0" borderId="28" xfId="0" applyNumberFormat="1" applyFont="1" applyBorder="1"/>
    <xf numFmtId="8" fontId="4" fillId="0" borderId="29" xfId="0" applyNumberFormat="1" applyFont="1" applyBorder="1"/>
    <xf numFmtId="0" fontId="0" fillId="0" borderId="71" xfId="0" applyBorder="1"/>
    <xf numFmtId="0" fontId="0" fillId="0" borderId="5" xfId="0" applyBorder="1"/>
    <xf numFmtId="0" fontId="2" fillId="0" borderId="3" xfId="0" applyFont="1" applyBorder="1" applyProtection="1">
      <protection locked="0"/>
    </xf>
    <xf numFmtId="0" fontId="2" fillId="0" borderId="47" xfId="0" applyFont="1" applyBorder="1"/>
    <xf numFmtId="3" fontId="2" fillId="0" borderId="47" xfId="0" applyNumberFormat="1" applyFont="1" applyBorder="1" applyAlignment="1">
      <alignment horizontal="center"/>
    </xf>
    <xf numFmtId="0" fontId="2" fillId="0" borderId="6" xfId="0" applyFont="1" applyBorder="1" applyAlignment="1">
      <alignment horizontal="center"/>
    </xf>
    <xf numFmtId="165" fontId="0" fillId="0" borderId="47" xfId="0" applyNumberFormat="1" applyBorder="1"/>
    <xf numFmtId="165" fontId="0" fillId="0" borderId="54" xfId="0" applyNumberFormat="1" applyBorder="1"/>
    <xf numFmtId="165" fontId="0" fillId="0" borderId="39" xfId="0" applyNumberFormat="1" applyBorder="1"/>
    <xf numFmtId="0" fontId="2" fillId="0" borderId="35" xfId="0" applyFont="1" applyBorder="1"/>
    <xf numFmtId="0" fontId="0" fillId="0" borderId="1" xfId="0" applyBorder="1" applyProtection="1">
      <protection locked="0"/>
    </xf>
    <xf numFmtId="0" fontId="19" fillId="0" borderId="0" xfId="0" applyFont="1"/>
    <xf numFmtId="0" fontId="18" fillId="0" borderId="0" xfId="0" applyFont="1" applyAlignment="1">
      <alignment wrapText="1"/>
    </xf>
    <xf numFmtId="172" fontId="0" fillId="3" borderId="39" xfId="0" applyNumberFormat="1" applyFill="1" applyBorder="1" applyProtection="1">
      <protection locked="0"/>
    </xf>
    <xf numFmtId="0" fontId="14" fillId="0" borderId="81" xfId="0" applyFont="1" applyBorder="1"/>
    <xf numFmtId="0" fontId="14" fillId="0" borderId="82" xfId="0" applyFont="1" applyBorder="1"/>
    <xf numFmtId="0" fontId="6" fillId="0" borderId="82" xfId="0" applyFont="1" applyBorder="1"/>
    <xf numFmtId="0" fontId="0" fillId="0" borderId="82" xfId="0" applyBorder="1"/>
    <xf numFmtId="0" fontId="0" fillId="0" borderId="83" xfId="0" applyBorder="1"/>
    <xf numFmtId="0" fontId="0" fillId="0" borderId="77" xfId="0" applyBorder="1"/>
    <xf numFmtId="0" fontId="6" fillId="0" borderId="0" xfId="0" applyFont="1"/>
    <xf numFmtId="0" fontId="0" fillId="0" borderId="76" xfId="0" applyBorder="1"/>
    <xf numFmtId="0" fontId="9" fillId="0" borderId="0" xfId="0" applyFont="1"/>
    <xf numFmtId="0" fontId="2" fillId="0" borderId="2" xfId="0" applyFont="1" applyBorder="1"/>
    <xf numFmtId="0" fontId="0" fillId="0" borderId="34" xfId="0" applyBorder="1"/>
    <xf numFmtId="0" fontId="0" fillId="0" borderId="52" xfId="0" applyBorder="1"/>
    <xf numFmtId="0" fontId="0" fillId="0" borderId="4" xfId="0" applyBorder="1" applyAlignment="1">
      <alignment horizontal="center"/>
    </xf>
    <xf numFmtId="166" fontId="5" fillId="0" borderId="22" xfId="0" applyNumberFormat="1" applyFont="1" applyBorder="1"/>
    <xf numFmtId="0" fontId="0" fillId="0" borderId="46" xfId="0" applyBorder="1"/>
    <xf numFmtId="166" fontId="2" fillId="3" borderId="36" xfId="0" applyNumberFormat="1" applyFont="1" applyFill="1" applyBorder="1"/>
    <xf numFmtId="166" fontId="2" fillId="2" borderId="23" xfId="0" applyNumberFormat="1" applyFont="1" applyFill="1" applyBorder="1"/>
    <xf numFmtId="165" fontId="2" fillId="0" borderId="0" xfId="0" applyNumberFormat="1" applyFont="1"/>
    <xf numFmtId="166" fontId="2" fillId="3" borderId="31" xfId="0" applyNumberFormat="1" applyFont="1" applyFill="1" applyBorder="1"/>
    <xf numFmtId="166" fontId="2" fillId="3" borderId="24" xfId="0" applyNumberFormat="1" applyFont="1" applyFill="1" applyBorder="1"/>
    <xf numFmtId="0" fontId="2" fillId="0" borderId="52" xfId="0" applyFont="1" applyBorder="1" applyAlignment="1">
      <alignment horizontal="center"/>
    </xf>
    <xf numFmtId="0" fontId="3" fillId="0" borderId="0" xfId="0" applyFont="1"/>
    <xf numFmtId="0" fontId="2" fillId="2" borderId="12" xfId="0" applyFont="1" applyFill="1" applyBorder="1" applyAlignment="1">
      <alignment horizontal="center"/>
    </xf>
    <xf numFmtId="0" fontId="2" fillId="3" borderId="13" xfId="0" applyFont="1" applyFill="1" applyBorder="1" applyAlignment="1">
      <alignment horizontal="center"/>
    </xf>
    <xf numFmtId="166" fontId="2" fillId="2" borderId="4" xfId="0" applyNumberFormat="1" applyFont="1" applyFill="1" applyBorder="1"/>
    <xf numFmtId="166" fontId="2" fillId="3" borderId="15" xfId="0" applyNumberFormat="1" applyFont="1" applyFill="1" applyBorder="1"/>
    <xf numFmtId="0" fontId="0" fillId="0" borderId="21" xfId="0" applyBorder="1"/>
    <xf numFmtId="166" fontId="2" fillId="3" borderId="65" xfId="0" applyNumberFormat="1" applyFont="1" applyFill="1" applyBorder="1"/>
    <xf numFmtId="166" fontId="0" fillId="2" borderId="47" xfId="0" applyNumberFormat="1" applyFill="1" applyBorder="1"/>
    <xf numFmtId="0" fontId="0" fillId="3" borderId="6" xfId="0" applyFill="1" applyBorder="1"/>
    <xf numFmtId="166" fontId="0" fillId="2" borderId="39" xfId="0" applyNumberFormat="1" applyFill="1" applyBorder="1"/>
    <xf numFmtId="0" fontId="2" fillId="0" borderId="10" xfId="0" applyFont="1" applyBorder="1"/>
    <xf numFmtId="166" fontId="2" fillId="0" borderId="33" xfId="0" applyNumberFormat="1" applyFont="1" applyBorder="1"/>
    <xf numFmtId="166" fontId="2" fillId="3" borderId="35" xfId="0" applyNumberFormat="1" applyFont="1" applyFill="1" applyBorder="1"/>
    <xf numFmtId="0" fontId="2" fillId="0" borderId="34" xfId="0" applyFont="1" applyBorder="1" applyAlignment="1">
      <alignment horizontal="center"/>
    </xf>
    <xf numFmtId="0" fontId="2" fillId="0" borderId="0" xfId="0" applyFont="1" applyAlignment="1">
      <alignment horizontal="left"/>
    </xf>
    <xf numFmtId="0" fontId="0" fillId="0" borderId="6" xfId="0" applyBorder="1" applyProtection="1">
      <protection locked="0"/>
    </xf>
    <xf numFmtId="0" fontId="2" fillId="0" borderId="0" xfId="0" applyFont="1" applyAlignment="1" applyProtection="1">
      <alignment horizontal="right"/>
      <protection locked="0"/>
    </xf>
    <xf numFmtId="0" fontId="21" fillId="0" borderId="0" xfId="0" applyFont="1" applyProtection="1">
      <protection locked="0"/>
    </xf>
    <xf numFmtId="0" fontId="20" fillId="0" borderId="28" xfId="0" applyFont="1" applyBorder="1" applyAlignment="1" applyProtection="1">
      <alignment horizontal="center"/>
      <protection locked="0"/>
    </xf>
    <xf numFmtId="0" fontId="4" fillId="0" borderId="0" xfId="0" applyFont="1" applyProtection="1">
      <protection locked="0"/>
    </xf>
    <xf numFmtId="0" fontId="20" fillId="0" borderId="25" xfId="0" applyFont="1" applyBorder="1" applyAlignment="1" applyProtection="1">
      <alignment horizontal="center"/>
      <protection locked="0"/>
    </xf>
    <xf numFmtId="0" fontId="2" fillId="0" borderId="1" xfId="0" applyFont="1" applyBorder="1" applyProtection="1">
      <protection locked="0"/>
    </xf>
    <xf numFmtId="0" fontId="2" fillId="0" borderId="2" xfId="0" applyFont="1" applyBorder="1" applyProtection="1">
      <protection locked="0"/>
    </xf>
    <xf numFmtId="0" fontId="2" fillId="0" borderId="2" xfId="0" applyFont="1" applyBorder="1" applyAlignment="1" applyProtection="1">
      <alignment horizontal="center"/>
      <protection locked="0"/>
    </xf>
    <xf numFmtId="0" fontId="2" fillId="0" borderId="7" xfId="0" applyFont="1" applyBorder="1" applyAlignment="1" applyProtection="1">
      <alignment horizontal="center"/>
      <protection locked="0"/>
    </xf>
    <xf numFmtId="3" fontId="0" fillId="0" borderId="4" xfId="0" applyNumberFormat="1" applyBorder="1" applyAlignment="1" applyProtection="1">
      <alignment horizontal="center"/>
      <protection locked="0"/>
    </xf>
    <xf numFmtId="4" fontId="0" fillId="0" borderId="4" xfId="0" applyNumberFormat="1" applyBorder="1" applyAlignment="1" applyProtection="1">
      <alignment horizontal="center"/>
      <protection locked="0"/>
    </xf>
    <xf numFmtId="165" fontId="0" fillId="0" borderId="15" xfId="0" applyNumberFormat="1" applyBorder="1" applyAlignment="1" applyProtection="1">
      <alignment horizontal="center"/>
      <protection locked="0"/>
    </xf>
    <xf numFmtId="3" fontId="0" fillId="0" borderId="0" xfId="0" applyNumberFormat="1" applyAlignment="1" applyProtection="1">
      <alignment horizontal="center"/>
      <protection locked="0"/>
    </xf>
    <xf numFmtId="4" fontId="0" fillId="0" borderId="0" xfId="0" applyNumberFormat="1" applyAlignment="1" applyProtection="1">
      <alignment horizontal="center"/>
      <protection locked="0"/>
    </xf>
    <xf numFmtId="165" fontId="0" fillId="0" borderId="26" xfId="0" applyNumberFormat="1" applyBorder="1" applyAlignment="1" applyProtection="1">
      <alignment horizontal="center"/>
      <protection locked="0"/>
    </xf>
    <xf numFmtId="3" fontId="0" fillId="0" borderId="9" xfId="0" applyNumberFormat="1" applyBorder="1" applyAlignment="1" applyProtection="1">
      <alignment horizontal="center"/>
      <protection locked="0"/>
    </xf>
    <xf numFmtId="0" fontId="2" fillId="0" borderId="3" xfId="0" applyFont="1" applyBorder="1" applyAlignment="1" applyProtection="1">
      <alignment horizontal="center"/>
      <protection locked="0"/>
    </xf>
    <xf numFmtId="0" fontId="0" fillId="0" borderId="15" xfId="0" applyBorder="1" applyProtection="1">
      <protection locked="0"/>
    </xf>
    <xf numFmtId="0" fontId="0" fillId="0" borderId="5" xfId="0" applyBorder="1" applyProtection="1">
      <protection locked="0"/>
    </xf>
    <xf numFmtId="0" fontId="2" fillId="0" borderId="8" xfId="0" applyFont="1" applyBorder="1" applyAlignment="1" applyProtection="1">
      <alignment horizontal="center"/>
      <protection locked="0"/>
    </xf>
    <xf numFmtId="169" fontId="0" fillId="0" borderId="4" xfId="0" applyNumberFormat="1" applyBorder="1" applyProtection="1">
      <protection locked="0"/>
    </xf>
    <xf numFmtId="166" fontId="0" fillId="0" borderId="4" xfId="0" applyNumberFormat="1" applyBorder="1" applyProtection="1">
      <protection locked="0"/>
    </xf>
    <xf numFmtId="166" fontId="0" fillId="0" borderId="15" xfId="0" applyNumberFormat="1" applyBorder="1" applyProtection="1">
      <protection locked="0"/>
    </xf>
    <xf numFmtId="169" fontId="0" fillId="0" borderId="63" xfId="0" applyNumberFormat="1" applyBorder="1" applyProtection="1">
      <protection locked="0"/>
    </xf>
    <xf numFmtId="165" fontId="0" fillId="0" borderId="15" xfId="0" applyNumberFormat="1" applyBorder="1" applyProtection="1">
      <protection locked="0"/>
    </xf>
    <xf numFmtId="0" fontId="4" fillId="0" borderId="28" xfId="0" applyFont="1" applyBorder="1" applyProtection="1">
      <protection locked="0"/>
    </xf>
    <xf numFmtId="3" fontId="0" fillId="0" borderId="4" xfId="0" applyNumberFormat="1" applyBorder="1" applyProtection="1">
      <protection locked="0"/>
    </xf>
    <xf numFmtId="0" fontId="0" fillId="0" borderId="0" xfId="0" applyAlignment="1" applyProtection="1">
      <alignment horizontal="center"/>
      <protection locked="0"/>
    </xf>
    <xf numFmtId="169" fontId="0" fillId="0" borderId="0" xfId="0" applyNumberFormat="1" applyProtection="1">
      <protection locked="0"/>
    </xf>
    <xf numFmtId="166" fontId="0" fillId="0" borderId="0" xfId="0" applyNumberFormat="1" applyProtection="1">
      <protection locked="0"/>
    </xf>
    <xf numFmtId="166" fontId="0" fillId="0" borderId="7" xfId="0" applyNumberFormat="1" applyBorder="1" applyProtection="1">
      <protection locked="0"/>
    </xf>
    <xf numFmtId="166" fontId="2" fillId="0" borderId="7" xfId="0" applyNumberFormat="1" applyFont="1" applyBorder="1" applyAlignment="1" applyProtection="1">
      <alignment horizontal="center"/>
      <protection locked="0"/>
    </xf>
    <xf numFmtId="166" fontId="0" fillId="0" borderId="24" xfId="0" applyNumberFormat="1" applyBorder="1" applyProtection="1">
      <protection locked="0"/>
    </xf>
    <xf numFmtId="166" fontId="0" fillId="0" borderId="45" xfId="0" applyNumberFormat="1" applyBorder="1" applyProtection="1">
      <protection locked="0"/>
    </xf>
    <xf numFmtId="166" fontId="0" fillId="0" borderId="5" xfId="0" applyNumberFormat="1" applyBorder="1" applyProtection="1">
      <protection locked="0"/>
    </xf>
    <xf numFmtId="0" fontId="2" fillId="0" borderId="6" xfId="0" applyFont="1" applyBorder="1" applyAlignment="1" applyProtection="1">
      <alignment horizontal="center"/>
      <protection locked="0"/>
    </xf>
    <xf numFmtId="166" fontId="0" fillId="0" borderId="2" xfId="0" applyNumberFormat="1" applyBorder="1" applyProtection="1">
      <protection locked="0"/>
    </xf>
    <xf numFmtId="166" fontId="0" fillId="0" borderId="3" xfId="0" applyNumberFormat="1" applyBorder="1" applyProtection="1">
      <protection locked="0"/>
    </xf>
    <xf numFmtId="0" fontId="2" fillId="0" borderId="26" xfId="0" applyFont="1" applyBorder="1" applyAlignment="1" applyProtection="1">
      <alignment horizontal="right"/>
      <protection locked="0"/>
    </xf>
    <xf numFmtId="0" fontId="2" fillId="0" borderId="25" xfId="0" applyFont="1" applyBorder="1" applyAlignment="1" applyProtection="1">
      <alignment horizontal="center"/>
      <protection locked="0"/>
    </xf>
    <xf numFmtId="0" fontId="2" fillId="0" borderId="25" xfId="0" applyFont="1" applyBorder="1" applyAlignment="1" applyProtection="1">
      <alignment horizontal="right"/>
      <protection locked="0"/>
    </xf>
    <xf numFmtId="0" fontId="2" fillId="0" borderId="23" xfId="0" applyFont="1" applyBorder="1" applyAlignment="1" applyProtection="1">
      <alignment horizontal="center"/>
      <protection locked="0"/>
    </xf>
    <xf numFmtId="0" fontId="2" fillId="0" borderId="24" xfId="0" applyFont="1" applyBorder="1" applyAlignment="1" applyProtection="1">
      <alignment horizontal="center"/>
      <protection locked="0"/>
    </xf>
    <xf numFmtId="0" fontId="2" fillId="0" borderId="64" xfId="0" applyFont="1" applyBorder="1" applyAlignment="1" applyProtection="1">
      <alignment horizontal="center"/>
      <protection locked="0"/>
    </xf>
    <xf numFmtId="3" fontId="2" fillId="0" borderId="4" xfId="0" applyNumberFormat="1" applyFont="1" applyBorder="1" applyAlignment="1" applyProtection="1">
      <alignment horizontal="center"/>
      <protection locked="0"/>
    </xf>
    <xf numFmtId="166" fontId="2" fillId="0" borderId="4" xfId="0" applyNumberFormat="1" applyFont="1" applyBorder="1" applyAlignment="1" applyProtection="1">
      <alignment horizontal="center"/>
      <protection locked="0"/>
    </xf>
    <xf numFmtId="166" fontId="2" fillId="0" borderId="15" xfId="0" applyNumberFormat="1" applyFont="1" applyBorder="1" applyAlignment="1" applyProtection="1">
      <alignment horizontal="center"/>
      <protection locked="0"/>
    </xf>
    <xf numFmtId="3" fontId="2" fillId="0" borderId="9" xfId="0" applyNumberFormat="1" applyFont="1" applyBorder="1" applyAlignment="1" applyProtection="1">
      <alignment horizontal="center"/>
      <protection locked="0"/>
    </xf>
    <xf numFmtId="166" fontId="0" fillId="0" borderId="4" xfId="0" applyNumberFormat="1" applyBorder="1" applyAlignment="1" applyProtection="1">
      <alignment horizontal="center"/>
      <protection locked="0"/>
    </xf>
    <xf numFmtId="166" fontId="0" fillId="0" borderId="15" xfId="0" applyNumberFormat="1" applyBorder="1" applyAlignment="1" applyProtection="1">
      <alignment horizontal="center"/>
      <protection locked="0"/>
    </xf>
    <xf numFmtId="172" fontId="0" fillId="0" borderId="0" xfId="0" applyNumberFormat="1" applyAlignment="1" applyProtection="1">
      <alignment horizontal="center"/>
      <protection locked="0"/>
    </xf>
    <xf numFmtId="0" fontId="0" fillId="0" borderId="5" xfId="0" applyBorder="1" applyAlignment="1" applyProtection="1">
      <alignment horizontal="center"/>
      <protection locked="0"/>
    </xf>
    <xf numFmtId="0" fontId="0" fillId="0" borderId="8" xfId="0" applyBorder="1" applyProtection="1">
      <protection locked="0"/>
    </xf>
    <xf numFmtId="4" fontId="0" fillId="0" borderId="52" xfId="0" applyNumberFormat="1" applyBorder="1" applyAlignment="1" applyProtection="1">
      <alignment horizontal="center"/>
      <protection locked="0"/>
    </xf>
    <xf numFmtId="3" fontId="0" fillId="0" borderId="3" xfId="0" applyNumberFormat="1" applyBorder="1" applyAlignment="1" applyProtection="1">
      <alignment horizontal="center"/>
      <protection locked="0"/>
    </xf>
    <xf numFmtId="0" fontId="22" fillId="0" borderId="76" xfId="0" applyFont="1" applyBorder="1"/>
    <xf numFmtId="0" fontId="2" fillId="0" borderId="21" xfId="0" applyFont="1" applyBorder="1" applyProtection="1">
      <protection locked="0"/>
    </xf>
    <xf numFmtId="0" fontId="2" fillId="0" borderId="22" xfId="0" applyFont="1" applyBorder="1" applyProtection="1">
      <protection locked="0"/>
    </xf>
    <xf numFmtId="0" fontId="2" fillId="0" borderId="22" xfId="0" applyFont="1" applyBorder="1" applyAlignment="1" applyProtection="1">
      <alignment horizontal="center"/>
      <protection locked="0"/>
    </xf>
    <xf numFmtId="0" fontId="2" fillId="0" borderId="10" xfId="0" applyFont="1" applyBorder="1" applyProtection="1">
      <protection locked="0"/>
    </xf>
    <xf numFmtId="0" fontId="2" fillId="0" borderId="25" xfId="0" applyFont="1" applyBorder="1" applyProtection="1">
      <protection locked="0"/>
    </xf>
    <xf numFmtId="0" fontId="0" fillId="0" borderId="9" xfId="0" applyBorder="1" applyAlignment="1" applyProtection="1">
      <alignment horizontal="center"/>
      <protection locked="0"/>
    </xf>
    <xf numFmtId="3" fontId="0" fillId="0" borderId="4" xfId="0" applyNumberFormat="1" applyBorder="1" applyAlignment="1" applyProtection="1">
      <alignment horizontal="right"/>
      <protection locked="0"/>
    </xf>
    <xf numFmtId="3" fontId="0" fillId="0" borderId="63" xfId="0" applyNumberFormat="1" applyBorder="1" applyAlignment="1" applyProtection="1">
      <alignment horizontal="right"/>
      <protection locked="0"/>
    </xf>
    <xf numFmtId="165" fontId="0" fillId="0" borderId="0" xfId="0" applyNumberFormat="1" applyAlignment="1" applyProtection="1">
      <alignment horizontal="center"/>
      <protection locked="0"/>
    </xf>
    <xf numFmtId="0" fontId="2" fillId="0" borderId="26" xfId="0" applyFont="1" applyBorder="1" applyAlignment="1" applyProtection="1">
      <alignment horizontal="center"/>
      <protection locked="0"/>
    </xf>
    <xf numFmtId="0" fontId="2" fillId="0" borderId="15" xfId="0" applyFont="1" applyBorder="1" applyAlignment="1" applyProtection="1">
      <alignment horizontal="center"/>
      <protection locked="0"/>
    </xf>
    <xf numFmtId="1" fontId="2" fillId="0" borderId="0" xfId="0" applyNumberFormat="1" applyFont="1" applyAlignment="1">
      <alignment horizontal="right"/>
    </xf>
    <xf numFmtId="0" fontId="2" fillId="0" borderId="88" xfId="0" applyFont="1" applyBorder="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89" xfId="0" applyFont="1" applyBorder="1" applyAlignment="1">
      <alignment horizontal="center"/>
    </xf>
    <xf numFmtId="169" fontId="0" fillId="0" borderId="0" xfId="0" applyNumberFormat="1" applyAlignment="1">
      <alignment horizontal="center"/>
    </xf>
    <xf numFmtId="1" fontId="2" fillId="0" borderId="0" xfId="0" applyNumberFormat="1" applyFont="1" applyAlignment="1">
      <alignment horizontal="center"/>
    </xf>
    <xf numFmtId="165" fontId="2" fillId="0" borderId="10" xfId="0" applyNumberFormat="1" applyFont="1" applyBorder="1" applyAlignment="1">
      <alignment horizontal="center"/>
    </xf>
    <xf numFmtId="166" fontId="2" fillId="0" borderId="14" xfId="0" applyNumberFormat="1" applyFont="1" applyBorder="1" applyAlignment="1">
      <alignment horizontal="center"/>
    </xf>
    <xf numFmtId="0" fontId="2" fillId="0" borderId="37" xfId="0" applyFont="1" applyBorder="1" applyAlignment="1">
      <alignment horizontal="center"/>
    </xf>
    <xf numFmtId="0" fontId="2" fillId="0" borderId="67" xfId="0" applyFont="1" applyBorder="1" applyAlignment="1">
      <alignment horizontal="center"/>
    </xf>
    <xf numFmtId="0" fontId="2" fillId="0" borderId="38" xfId="0" applyFont="1" applyBorder="1" applyAlignment="1">
      <alignment horizontal="center"/>
    </xf>
    <xf numFmtId="166" fontId="2" fillId="0" borderId="4" xfId="0" applyNumberFormat="1" applyFont="1" applyBorder="1" applyAlignment="1">
      <alignment horizontal="center"/>
    </xf>
    <xf numFmtId="165" fontId="4" fillId="0" borderId="10" xfId="0" applyNumberFormat="1" applyFont="1" applyBorder="1" applyAlignment="1">
      <alignment horizontal="center"/>
    </xf>
    <xf numFmtId="166" fontId="4" fillId="0" borderId="4" xfId="0" applyNumberFormat="1" applyFont="1" applyBorder="1" applyAlignment="1">
      <alignment horizontal="center"/>
    </xf>
    <xf numFmtId="166" fontId="4" fillId="0" borderId="14" xfId="0" applyNumberFormat="1" applyFont="1" applyBorder="1" applyAlignment="1">
      <alignment horizontal="center"/>
    </xf>
    <xf numFmtId="166" fontId="4" fillId="0" borderId="8" xfId="0" applyNumberFormat="1" applyFont="1" applyBorder="1" applyAlignment="1">
      <alignment horizontal="center"/>
    </xf>
    <xf numFmtId="166" fontId="4" fillId="0" borderId="47" xfId="0" applyNumberFormat="1" applyFont="1" applyBorder="1" applyAlignment="1">
      <alignment horizontal="center"/>
    </xf>
    <xf numFmtId="166" fontId="4" fillId="0" borderId="6" xfId="0" applyNumberFormat="1" applyFont="1" applyBorder="1" applyAlignment="1">
      <alignment horizontal="center"/>
    </xf>
    <xf numFmtId="169" fontId="2" fillId="0" borderId="0" xfId="0" applyNumberFormat="1" applyFont="1" applyAlignment="1">
      <alignment horizontal="center"/>
    </xf>
    <xf numFmtId="0" fontId="2" fillId="0" borderId="71" xfId="0" applyFont="1" applyBorder="1" applyAlignment="1">
      <alignment horizontal="center"/>
    </xf>
    <xf numFmtId="0" fontId="2" fillId="0" borderId="5" xfId="0" applyFont="1" applyBorder="1" applyAlignment="1">
      <alignment horizontal="center"/>
    </xf>
    <xf numFmtId="0" fontId="2" fillId="0" borderId="8" xfId="0" applyFont="1" applyBorder="1" applyAlignment="1">
      <alignment horizontal="center"/>
    </xf>
    <xf numFmtId="10" fontId="0" fillId="0" borderId="0" xfId="0" applyNumberFormat="1" applyAlignment="1">
      <alignment horizontal="center"/>
    </xf>
    <xf numFmtId="166" fontId="4" fillId="0" borderId="25" xfId="0" applyNumberFormat="1" applyFont="1" applyBorder="1" applyAlignment="1">
      <alignment horizontal="center"/>
    </xf>
    <xf numFmtId="166" fontId="4" fillId="0" borderId="39" xfId="0" applyNumberFormat="1" applyFont="1" applyBorder="1" applyAlignment="1">
      <alignment horizontal="center"/>
    </xf>
    <xf numFmtId="166" fontId="4" fillId="0" borderId="7" xfId="0" applyNumberFormat="1" applyFont="1" applyBorder="1" applyAlignment="1">
      <alignment horizontal="center"/>
    </xf>
    <xf numFmtId="0" fontId="0" fillId="0" borderId="2" xfId="0" applyBorder="1" applyAlignment="1">
      <alignment horizontal="center"/>
    </xf>
    <xf numFmtId="165" fontId="0" fillId="0" borderId="3" xfId="0" applyNumberFormat="1" applyBorder="1" applyAlignment="1">
      <alignment horizontal="center"/>
    </xf>
    <xf numFmtId="165" fontId="0" fillId="0" borderId="0" xfId="0" applyNumberFormat="1" applyAlignment="1">
      <alignment horizontal="center"/>
    </xf>
    <xf numFmtId="165" fontId="0" fillId="0" borderId="71" xfId="0" applyNumberFormat="1" applyBorder="1" applyAlignment="1">
      <alignment horizontal="center"/>
    </xf>
    <xf numFmtId="165" fontId="0" fillId="0" borderId="5" xfId="0" applyNumberFormat="1" applyBorder="1" applyAlignment="1">
      <alignment horizontal="center"/>
    </xf>
    <xf numFmtId="165" fontId="2" fillId="0" borderId="7" xfId="0" applyNumberFormat="1" applyFont="1" applyBorder="1" applyAlignment="1">
      <alignment horizontal="center"/>
    </xf>
    <xf numFmtId="0" fontId="0" fillId="0" borderId="5" xfId="0" applyBorder="1" applyAlignment="1">
      <alignment horizontal="center"/>
    </xf>
    <xf numFmtId="0" fontId="4" fillId="0" borderId="71" xfId="0" applyFont="1" applyBorder="1" applyAlignment="1">
      <alignment horizontal="center"/>
    </xf>
    <xf numFmtId="0" fontId="4" fillId="0" borderId="5" xfId="0" applyFont="1" applyBorder="1" applyAlignment="1">
      <alignment horizontal="center"/>
    </xf>
    <xf numFmtId="165" fontId="2" fillId="0" borderId="8" xfId="0" applyNumberFormat="1" applyFont="1" applyBorder="1" applyAlignment="1">
      <alignment horizontal="center"/>
    </xf>
    <xf numFmtId="165" fontId="2" fillId="0" borderId="6" xfId="0" applyNumberFormat="1" applyFont="1" applyBorder="1" applyAlignment="1">
      <alignment horizontal="center"/>
    </xf>
    <xf numFmtId="0" fontId="2" fillId="0" borderId="6" xfId="0" applyFont="1" applyBorder="1"/>
    <xf numFmtId="165" fontId="4" fillId="0" borderId="3" xfId="0" applyNumberFormat="1" applyFont="1" applyBorder="1"/>
    <xf numFmtId="165" fontId="4" fillId="0" borderId="71" xfId="0" applyNumberFormat="1" applyFont="1" applyBorder="1"/>
    <xf numFmtId="165" fontId="4" fillId="0" borderId="37" xfId="0" applyNumberFormat="1" applyFont="1" applyBorder="1" applyAlignment="1">
      <alignment horizontal="center"/>
    </xf>
    <xf numFmtId="166" fontId="4" fillId="0" borderId="38" xfId="0" applyNumberFormat="1" applyFont="1" applyBorder="1" applyAlignment="1">
      <alignment horizontal="center"/>
    </xf>
    <xf numFmtId="166" fontId="4" fillId="0" borderId="67" xfId="0" applyNumberFormat="1" applyFont="1" applyBorder="1" applyAlignment="1">
      <alignment horizontal="center"/>
    </xf>
    <xf numFmtId="165" fontId="0" fillId="0" borderId="10" xfId="0" applyNumberFormat="1" applyBorder="1" applyAlignment="1">
      <alignment horizontal="center"/>
    </xf>
    <xf numFmtId="165" fontId="0" fillId="0" borderId="25" xfId="0" applyNumberFormat="1" applyBorder="1" applyAlignment="1">
      <alignment horizontal="center"/>
    </xf>
    <xf numFmtId="165" fontId="2" fillId="0" borderId="14" xfId="0" applyNumberFormat="1" applyFont="1" applyBorder="1" applyAlignment="1">
      <alignment horizontal="center"/>
    </xf>
    <xf numFmtId="165" fontId="4" fillId="0" borderId="10" xfId="0" applyNumberFormat="1" applyFont="1" applyBorder="1"/>
    <xf numFmtId="165" fontId="2" fillId="0" borderId="25" xfId="0" applyNumberFormat="1" applyFont="1" applyBorder="1" applyAlignment="1">
      <alignment horizontal="center"/>
    </xf>
    <xf numFmtId="165" fontId="2" fillId="0" borderId="10" xfId="0" applyNumberFormat="1" applyFont="1" applyBorder="1"/>
    <xf numFmtId="166" fontId="2" fillId="0" borderId="25" xfId="0" applyNumberFormat="1" applyFont="1" applyBorder="1" applyAlignment="1">
      <alignment horizontal="center"/>
    </xf>
    <xf numFmtId="165" fontId="0" fillId="0" borderId="85" xfId="0" applyNumberFormat="1" applyBorder="1" applyAlignment="1">
      <alignment horizontal="center"/>
    </xf>
    <xf numFmtId="165" fontId="2" fillId="0" borderId="85" xfId="0" applyNumberFormat="1" applyFont="1" applyBorder="1" applyAlignment="1">
      <alignment horizontal="center"/>
    </xf>
    <xf numFmtId="165" fontId="0" fillId="0" borderId="14" xfId="0" applyNumberFormat="1" applyBorder="1" applyAlignment="1">
      <alignment horizontal="center"/>
    </xf>
    <xf numFmtId="165" fontId="0" fillId="0" borderId="84" xfId="0" applyNumberFormat="1" applyBorder="1" applyAlignment="1">
      <alignment horizontal="center"/>
    </xf>
    <xf numFmtId="165" fontId="2" fillId="0" borderId="84" xfId="0" applyNumberFormat="1" applyFont="1" applyBorder="1" applyAlignment="1">
      <alignment horizontal="center"/>
    </xf>
    <xf numFmtId="0" fontId="2" fillId="0" borderId="54" xfId="0" applyFont="1" applyBorder="1" applyAlignment="1">
      <alignment horizontal="center"/>
    </xf>
    <xf numFmtId="0" fontId="2" fillId="0" borderId="95" xfId="0" applyFont="1" applyBorder="1" applyAlignment="1">
      <alignment horizontal="center"/>
    </xf>
    <xf numFmtId="0" fontId="0" fillId="0" borderId="96" xfId="0" applyBorder="1"/>
    <xf numFmtId="0" fontId="2" fillId="0" borderId="70" xfId="0" applyFont="1" applyBorder="1" applyAlignment="1">
      <alignment horizontal="center"/>
    </xf>
    <xf numFmtId="166" fontId="2" fillId="0" borderId="9" xfId="0" applyNumberFormat="1" applyFont="1" applyBorder="1"/>
    <xf numFmtId="3" fontId="2" fillId="0" borderId="15" xfId="0" applyNumberFormat="1" applyFont="1" applyBorder="1" applyAlignment="1">
      <alignment horizontal="center"/>
    </xf>
    <xf numFmtId="0" fontId="2" fillId="0" borderId="46" xfId="0" applyFont="1" applyBorder="1" applyAlignment="1">
      <alignment horizontal="center"/>
    </xf>
    <xf numFmtId="165" fontId="4" fillId="0" borderId="85" xfId="0" applyNumberFormat="1" applyFont="1" applyBorder="1" applyAlignment="1">
      <alignment horizontal="center"/>
    </xf>
    <xf numFmtId="165" fontId="4" fillId="0" borderId="89" xfId="0" applyNumberFormat="1" applyFont="1" applyBorder="1" applyAlignment="1">
      <alignment horizontal="center"/>
    </xf>
    <xf numFmtId="165" fontId="4" fillId="0" borderId="84" xfId="0" applyNumberFormat="1" applyFont="1" applyBorder="1" applyAlignment="1">
      <alignment horizontal="center"/>
    </xf>
    <xf numFmtId="0" fontId="2" fillId="0" borderId="11" xfId="0" applyFont="1" applyBorder="1"/>
    <xf numFmtId="0" fontId="0" fillId="0" borderId="97" xfId="0" applyBorder="1"/>
    <xf numFmtId="0" fontId="2" fillId="0" borderId="13" xfId="0" applyFont="1" applyBorder="1" applyAlignment="1">
      <alignment horizontal="center"/>
    </xf>
    <xf numFmtId="165" fontId="0" fillId="0" borderId="37" xfId="0" applyNumberFormat="1" applyBorder="1" applyAlignment="1">
      <alignment horizontal="center"/>
    </xf>
    <xf numFmtId="165" fontId="0" fillId="0" borderId="46" xfId="0" applyNumberFormat="1" applyBorder="1" applyAlignment="1">
      <alignment horizontal="center"/>
    </xf>
    <xf numFmtId="165" fontId="0" fillId="0" borderId="67" xfId="0" applyNumberFormat="1" applyBorder="1" applyAlignment="1">
      <alignment horizontal="center"/>
    </xf>
    <xf numFmtId="165" fontId="0" fillId="0" borderId="27" xfId="0" applyNumberFormat="1" applyBorder="1" applyAlignment="1">
      <alignment horizontal="center"/>
    </xf>
    <xf numFmtId="165" fontId="0" fillId="0" borderId="28" xfId="0" applyNumberFormat="1" applyBorder="1" applyAlignment="1">
      <alignment horizontal="center"/>
    </xf>
    <xf numFmtId="165" fontId="0" fillId="0" borderId="68" xfId="0" applyNumberFormat="1" applyBorder="1" applyAlignment="1">
      <alignment horizontal="center"/>
    </xf>
    <xf numFmtId="0" fontId="2" fillId="0" borderId="98" xfId="0" applyFont="1" applyBorder="1" applyAlignment="1">
      <alignment horizontal="center"/>
    </xf>
    <xf numFmtId="0" fontId="2" fillId="0" borderId="86" xfId="0" applyFont="1" applyBorder="1" applyAlignment="1">
      <alignment horizontal="center"/>
    </xf>
    <xf numFmtId="165" fontId="0" fillId="0" borderId="87" xfId="0" applyNumberFormat="1" applyBorder="1" applyAlignment="1">
      <alignment horizontal="center"/>
    </xf>
    <xf numFmtId="165" fontId="0" fillId="0" borderId="86" xfId="0" applyNumberFormat="1" applyBorder="1" applyAlignment="1">
      <alignment horizontal="center"/>
    </xf>
    <xf numFmtId="165" fontId="4" fillId="0" borderId="11" xfId="0" applyNumberFormat="1" applyFont="1" applyBorder="1" applyAlignment="1">
      <alignment horizontal="center"/>
    </xf>
    <xf numFmtId="169" fontId="13" fillId="0" borderId="0" xfId="0" applyNumberFormat="1" applyFont="1"/>
    <xf numFmtId="169" fontId="13" fillId="0" borderId="22" xfId="0" applyNumberFormat="1" applyFont="1" applyBorder="1"/>
    <xf numFmtId="0" fontId="0" fillId="6" borderId="33" xfId="0" applyFill="1" applyBorder="1"/>
    <xf numFmtId="0" fontId="2" fillId="6" borderId="34" xfId="0" applyFont="1" applyFill="1" applyBorder="1" applyAlignment="1">
      <alignment horizontal="right"/>
    </xf>
    <xf numFmtId="0" fontId="4" fillId="0" borderId="25" xfId="0" applyFont="1" applyBorder="1"/>
    <xf numFmtId="0" fontId="15" fillId="0" borderId="33" xfId="0" applyFont="1" applyBorder="1"/>
    <xf numFmtId="0" fontId="16" fillId="0" borderId="34" xfId="0" applyFont="1" applyBorder="1" applyAlignment="1">
      <alignment horizontal="left"/>
    </xf>
    <xf numFmtId="0" fontId="0" fillId="0" borderId="7" xfId="0" applyBorder="1" applyAlignment="1">
      <alignment horizontal="center"/>
    </xf>
    <xf numFmtId="0" fontId="2" fillId="0" borderId="7" xfId="0" applyFont="1" applyBorder="1" applyAlignment="1">
      <alignment horizontal="center"/>
    </xf>
    <xf numFmtId="0" fontId="27" fillId="0" borderId="0" xfId="0" applyFont="1"/>
    <xf numFmtId="0" fontId="27" fillId="0" borderId="0" xfId="0" applyFont="1" applyAlignment="1">
      <alignment horizontal="center"/>
    </xf>
    <xf numFmtId="0" fontId="0" fillId="0" borderId="11" xfId="0" applyBorder="1"/>
    <xf numFmtId="165" fontId="2" fillId="0" borderId="0" xfId="0" applyNumberFormat="1" applyFont="1" applyAlignment="1">
      <alignment horizontal="center"/>
    </xf>
    <xf numFmtId="165" fontId="2" fillId="0" borderId="46" xfId="0" applyNumberFormat="1" applyFont="1" applyBorder="1" applyAlignment="1">
      <alignment horizontal="center"/>
    </xf>
    <xf numFmtId="3" fontId="0" fillId="7" borderId="0" xfId="0" applyNumberFormat="1" applyFill="1" applyAlignment="1">
      <alignment horizontal="center"/>
    </xf>
    <xf numFmtId="169" fontId="0" fillId="7" borderId="0" xfId="0" applyNumberFormat="1" applyFill="1" applyAlignment="1">
      <alignment horizontal="center"/>
    </xf>
    <xf numFmtId="0" fontId="2" fillId="0" borderId="3" xfId="0" applyFont="1" applyBorder="1" applyAlignment="1">
      <alignment horizontal="center"/>
    </xf>
    <xf numFmtId="0" fontId="0" fillId="0" borderId="3" xfId="0" applyBorder="1" applyAlignment="1">
      <alignment horizontal="center"/>
    </xf>
    <xf numFmtId="3" fontId="4" fillId="0" borderId="0" xfId="0" applyNumberFormat="1" applyFont="1" applyAlignment="1">
      <alignment horizontal="center"/>
    </xf>
    <xf numFmtId="165" fontId="0" fillId="0" borderId="94" xfId="0" applyNumberFormat="1" applyBorder="1" applyAlignment="1">
      <alignment horizontal="center"/>
    </xf>
    <xf numFmtId="165" fontId="2" fillId="0" borderId="94" xfId="0" applyNumberFormat="1" applyFont="1" applyBorder="1" applyAlignment="1">
      <alignment horizontal="center"/>
    </xf>
    <xf numFmtId="166" fontId="4" fillId="0" borderId="0" xfId="0" applyNumberFormat="1" applyFont="1"/>
    <xf numFmtId="3" fontId="0" fillId="0" borderId="0" xfId="0" applyNumberFormat="1" applyAlignment="1">
      <alignment horizontal="center"/>
    </xf>
    <xf numFmtId="0" fontId="4" fillId="0" borderId="1" xfId="0" applyFont="1" applyBorder="1" applyAlignment="1">
      <alignment horizontal="center"/>
    </xf>
    <xf numFmtId="165" fontId="4" fillId="0" borderId="7" xfId="0" applyNumberFormat="1" applyFont="1" applyBorder="1" applyAlignment="1">
      <alignment horizontal="center"/>
    </xf>
    <xf numFmtId="165" fontId="4" fillId="0" borderId="14" xfId="0" applyNumberFormat="1" applyFont="1" applyBorder="1" applyAlignment="1">
      <alignment horizontal="center"/>
    </xf>
    <xf numFmtId="3" fontId="5" fillId="0" borderId="22" xfId="0" applyNumberFormat="1" applyFont="1" applyBorder="1"/>
    <xf numFmtId="3" fontId="5" fillId="0" borderId="0" xfId="0" applyNumberFormat="1" applyFont="1"/>
    <xf numFmtId="172" fontId="5" fillId="0" borderId="28" xfId="0" applyNumberFormat="1" applyFont="1" applyBorder="1"/>
    <xf numFmtId="1" fontId="5" fillId="0" borderId="28" xfId="0" applyNumberFormat="1" applyFont="1" applyBorder="1"/>
    <xf numFmtId="166" fontId="5" fillId="0" borderId="28" xfId="0" applyNumberFormat="1" applyFont="1" applyBorder="1"/>
    <xf numFmtId="169" fontId="5" fillId="0" borderId="28" xfId="0" applyNumberFormat="1" applyFont="1" applyBorder="1"/>
    <xf numFmtId="169" fontId="5" fillId="0" borderId="25" xfId="0" applyNumberFormat="1" applyFont="1" applyBorder="1"/>
    <xf numFmtId="166" fontId="5" fillId="0" borderId="25" xfId="0" applyNumberFormat="1" applyFont="1" applyBorder="1"/>
    <xf numFmtId="166" fontId="5" fillId="0" borderId="0" xfId="0" applyNumberFormat="1" applyFont="1" applyAlignment="1">
      <alignment horizontal="right"/>
    </xf>
    <xf numFmtId="3" fontId="5" fillId="0" borderId="0" xfId="0" applyNumberFormat="1" applyFont="1" applyAlignment="1">
      <alignment horizontal="right"/>
    </xf>
    <xf numFmtId="168" fontId="5" fillId="0" borderId="0" xfId="0" applyNumberFormat="1" applyFont="1" applyAlignment="1">
      <alignment horizontal="right"/>
    </xf>
    <xf numFmtId="10" fontId="2" fillId="0" borderId="0" xfId="0" applyNumberFormat="1" applyFont="1"/>
    <xf numFmtId="165" fontId="13" fillId="0" borderId="22" xfId="0" applyNumberFormat="1" applyFont="1" applyBorder="1"/>
    <xf numFmtId="0" fontId="4" fillId="0" borderId="22" xfId="0" applyFont="1" applyBorder="1"/>
    <xf numFmtId="0" fontId="0" fillId="0" borderId="65" xfId="0" applyBorder="1"/>
    <xf numFmtId="166" fontId="0" fillId="0" borderId="94" xfId="0" applyNumberFormat="1" applyBorder="1" applyAlignment="1">
      <alignment horizontal="center"/>
    </xf>
    <xf numFmtId="166" fontId="4" fillId="0" borderId="23" xfId="0" applyNumberFormat="1" applyFont="1" applyBorder="1" applyAlignment="1">
      <alignment horizontal="center"/>
    </xf>
    <xf numFmtId="166" fontId="4" fillId="0" borderId="66" xfId="0" applyNumberFormat="1" applyFont="1" applyBorder="1" applyAlignment="1">
      <alignment horizontal="center"/>
    </xf>
    <xf numFmtId="166" fontId="0" fillId="0" borderId="84" xfId="0" applyNumberFormat="1" applyBorder="1" applyAlignment="1">
      <alignment horizontal="center"/>
    </xf>
    <xf numFmtId="166" fontId="2" fillId="0" borderId="84" xfId="0" applyNumberFormat="1" applyFont="1" applyBorder="1" applyAlignment="1">
      <alignment horizontal="center"/>
    </xf>
    <xf numFmtId="166" fontId="0" fillId="0" borderId="89" xfId="0" applyNumberFormat="1" applyBorder="1" applyAlignment="1">
      <alignment horizontal="center"/>
    </xf>
    <xf numFmtId="166" fontId="0" fillId="0" borderId="7" xfId="0" applyNumberFormat="1" applyBorder="1" applyAlignment="1">
      <alignment horizontal="center"/>
    </xf>
    <xf numFmtId="9" fontId="0" fillId="0" borderId="84" xfId="0" applyNumberFormat="1" applyBorder="1" applyAlignment="1">
      <alignment horizontal="center"/>
    </xf>
    <xf numFmtId="166" fontId="0" fillId="0" borderId="14" xfId="0" applyNumberFormat="1" applyBorder="1" applyAlignment="1">
      <alignment horizontal="center"/>
    </xf>
    <xf numFmtId="9" fontId="0" fillId="0" borderId="0" xfId="0" applyNumberFormat="1" applyAlignment="1">
      <alignment horizontal="center"/>
    </xf>
    <xf numFmtId="0" fontId="2" fillId="0" borderId="85" xfId="0" applyFont="1" applyBorder="1" applyAlignment="1">
      <alignment horizontal="center"/>
    </xf>
    <xf numFmtId="0" fontId="2" fillId="0" borderId="21" xfId="0" applyFont="1" applyBorder="1" applyAlignment="1">
      <alignment horizontal="center"/>
    </xf>
    <xf numFmtId="9" fontId="0" fillId="0" borderId="98" xfId="0" applyNumberFormat="1" applyBorder="1" applyAlignment="1">
      <alignment horizontal="center"/>
    </xf>
    <xf numFmtId="166" fontId="4" fillId="0" borderId="12" xfId="0" applyNumberFormat="1" applyFont="1" applyBorder="1" applyAlignment="1">
      <alignment horizontal="center"/>
    </xf>
    <xf numFmtId="166" fontId="4" fillId="0" borderId="13" xfId="0" applyNumberFormat="1" applyFont="1" applyBorder="1" applyAlignment="1">
      <alignment horizontal="center"/>
    </xf>
    <xf numFmtId="9" fontId="2" fillId="0" borderId="84" xfId="0" applyNumberFormat="1" applyFont="1" applyBorder="1" applyAlignment="1">
      <alignment horizontal="center"/>
    </xf>
    <xf numFmtId="9" fontId="0" fillId="0" borderId="86" xfId="0" applyNumberFormat="1" applyBorder="1" applyAlignment="1">
      <alignment horizontal="center"/>
    </xf>
    <xf numFmtId="165" fontId="2" fillId="0" borderId="34" xfId="0" applyNumberFormat="1" applyFont="1" applyBorder="1"/>
    <xf numFmtId="3" fontId="0" fillId="0" borderId="4" xfId="0" applyNumberFormat="1" applyBorder="1" applyAlignment="1">
      <alignment horizontal="center"/>
    </xf>
    <xf numFmtId="3" fontId="0" fillId="0" borderId="14" xfId="0" applyNumberFormat="1" applyBorder="1" applyAlignment="1">
      <alignment horizontal="center"/>
    </xf>
    <xf numFmtId="3" fontId="0" fillId="0" borderId="38" xfId="0" applyNumberFormat="1" applyBorder="1" applyAlignment="1">
      <alignment horizontal="center"/>
    </xf>
    <xf numFmtId="0" fontId="2" fillId="0" borderId="25" xfId="0" applyFont="1" applyBorder="1"/>
    <xf numFmtId="0" fontId="2" fillId="0" borderId="64" xfId="0" applyFont="1" applyBorder="1"/>
    <xf numFmtId="0" fontId="0" fillId="0" borderId="23" xfId="0" applyBorder="1" applyAlignment="1">
      <alignment horizontal="center"/>
    </xf>
    <xf numFmtId="0" fontId="2" fillId="0" borderId="63" xfId="0" applyFont="1" applyBorder="1"/>
    <xf numFmtId="0" fontId="27" fillId="0" borderId="25" xfId="0" applyFont="1" applyBorder="1" applyAlignment="1">
      <alignment horizontal="right"/>
    </xf>
    <xf numFmtId="0" fontId="2" fillId="0" borderId="4" xfId="0" applyFont="1" applyBorder="1" applyAlignment="1">
      <alignment horizontal="center"/>
    </xf>
    <xf numFmtId="0" fontId="27" fillId="0" borderId="97" xfId="0" applyFont="1" applyBorder="1" applyAlignment="1">
      <alignment horizontal="right"/>
    </xf>
    <xf numFmtId="3" fontId="0" fillId="0" borderId="39" xfId="0" applyNumberFormat="1" applyBorder="1" applyAlignment="1">
      <alignment horizontal="center"/>
    </xf>
    <xf numFmtId="3" fontId="0" fillId="0" borderId="7" xfId="0" applyNumberFormat="1" applyBorder="1" applyAlignment="1">
      <alignment horizontal="center"/>
    </xf>
    <xf numFmtId="0" fontId="2" fillId="0" borderId="46" xfId="0" applyFont="1" applyBorder="1"/>
    <xf numFmtId="0" fontId="2" fillId="0" borderId="35" xfId="0" applyFont="1" applyBorder="1" applyAlignment="1">
      <alignment horizontal="center"/>
    </xf>
    <xf numFmtId="0" fontId="2" fillId="0" borderId="65" xfId="0" applyFont="1" applyBorder="1" applyAlignment="1">
      <alignment horizontal="center"/>
    </xf>
    <xf numFmtId="3" fontId="0" fillId="0" borderId="0" xfId="0" applyNumberFormat="1"/>
    <xf numFmtId="3" fontId="0" fillId="0" borderId="7" xfId="0" applyNumberFormat="1" applyBorder="1"/>
    <xf numFmtId="3" fontId="0" fillId="0" borderId="15" xfId="0" applyNumberFormat="1" applyBorder="1" applyAlignment="1">
      <alignment horizontal="center"/>
    </xf>
    <xf numFmtId="0" fontId="2" fillId="0" borderId="22" xfId="0" applyFont="1" applyBorder="1"/>
    <xf numFmtId="3" fontId="0" fillId="0" borderId="23" xfId="0" applyNumberFormat="1" applyBorder="1" applyAlignment="1">
      <alignment horizontal="center"/>
    </xf>
    <xf numFmtId="3" fontId="0" fillId="0" borderId="24" xfId="0" applyNumberFormat="1" applyBorder="1" applyAlignment="1">
      <alignment horizontal="center"/>
    </xf>
    <xf numFmtId="0" fontId="27" fillId="0" borderId="25" xfId="0" applyFont="1" applyBorder="1"/>
    <xf numFmtId="0" fontId="27" fillId="0" borderId="34" xfId="0" applyFont="1" applyBorder="1" applyAlignment="1">
      <alignment horizontal="right"/>
    </xf>
    <xf numFmtId="0" fontId="0" fillId="0" borderId="39" xfId="0" applyBorder="1" applyAlignment="1">
      <alignment horizontal="center"/>
    </xf>
    <xf numFmtId="173" fontId="0" fillId="0" borderId="0" xfId="0" applyNumberFormat="1" applyAlignment="1" applyProtection="1">
      <alignment horizontal="center"/>
      <protection locked="0"/>
    </xf>
    <xf numFmtId="165" fontId="0" fillId="0" borderId="0" xfId="0" applyNumberFormat="1" applyAlignment="1">
      <alignment horizontal="right"/>
    </xf>
    <xf numFmtId="167" fontId="5" fillId="0" borderId="0" xfId="0" applyNumberFormat="1" applyFont="1" applyAlignment="1">
      <alignment horizontal="right"/>
    </xf>
    <xf numFmtId="166" fontId="2" fillId="0" borderId="0" xfId="0" applyNumberFormat="1" applyFont="1"/>
    <xf numFmtId="165" fontId="13" fillId="0" borderId="0" xfId="0" applyNumberFormat="1" applyFont="1"/>
    <xf numFmtId="0" fontId="0" fillId="0" borderId="12" xfId="0" applyBorder="1" applyAlignment="1" applyProtection="1">
      <alignment horizontal="center"/>
      <protection locked="0"/>
    </xf>
    <xf numFmtId="0" fontId="0" fillId="0" borderId="70" xfId="0" applyBorder="1" applyProtection="1">
      <protection locked="0"/>
    </xf>
    <xf numFmtId="165" fontId="0" fillId="0" borderId="4" xfId="0" applyNumberFormat="1" applyBorder="1" applyAlignment="1">
      <alignment horizontal="center"/>
    </xf>
    <xf numFmtId="0" fontId="4" fillId="0" borderId="28" xfId="0" applyFont="1" applyBorder="1"/>
    <xf numFmtId="0" fontId="0" fillId="0" borderId="63" xfId="0" applyBorder="1"/>
    <xf numFmtId="0" fontId="4" fillId="0" borderId="63" xfId="0" applyFont="1" applyBorder="1"/>
    <xf numFmtId="14" fontId="2" fillId="0" borderId="1" xfId="0" applyNumberFormat="1" applyFont="1" applyBorder="1" applyAlignment="1">
      <alignment horizontal="center"/>
    </xf>
    <xf numFmtId="14" fontId="2" fillId="0" borderId="34" xfId="0" applyNumberFormat="1" applyFont="1" applyBorder="1" applyAlignment="1">
      <alignment horizontal="center"/>
    </xf>
    <xf numFmtId="166" fontId="0" fillId="0" borderId="10" xfId="0" applyNumberFormat="1" applyBorder="1"/>
    <xf numFmtId="166" fontId="0" fillId="0" borderId="25" xfId="0" applyNumberFormat="1" applyBorder="1"/>
    <xf numFmtId="166" fontId="0" fillId="0" borderId="21" xfId="0" applyNumberFormat="1" applyBorder="1"/>
    <xf numFmtId="165" fontId="2" fillId="0" borderId="33" xfId="0" applyNumberFormat="1" applyFont="1" applyBorder="1"/>
    <xf numFmtId="166" fontId="2" fillId="0" borderId="72" xfId="0" applyNumberFormat="1" applyFont="1" applyBorder="1"/>
    <xf numFmtId="166" fontId="0" fillId="0" borderId="1" xfId="0" applyNumberFormat="1" applyBorder="1"/>
    <xf numFmtId="166" fontId="0" fillId="0" borderId="71" xfId="0" applyNumberFormat="1" applyBorder="1"/>
    <xf numFmtId="1" fontId="2" fillId="2" borderId="44" xfId="0" applyNumberFormat="1" applyFont="1" applyFill="1" applyBorder="1" applyAlignment="1">
      <alignment horizontal="center"/>
    </xf>
    <xf numFmtId="1" fontId="0" fillId="0" borderId="0" xfId="0" applyNumberFormat="1"/>
    <xf numFmtId="3" fontId="2" fillId="2" borderId="44" xfId="0" applyNumberFormat="1" applyFont="1" applyFill="1" applyBorder="1" applyAlignment="1">
      <alignment horizontal="center"/>
    </xf>
    <xf numFmtId="3" fontId="2" fillId="3" borderId="88" xfId="0" applyNumberFormat="1" applyFont="1" applyFill="1" applyBorder="1" applyAlignment="1">
      <alignment horizontal="center"/>
    </xf>
    <xf numFmtId="3" fontId="2" fillId="3" borderId="84" xfId="0" applyNumberFormat="1" applyFont="1" applyFill="1" applyBorder="1" applyAlignment="1">
      <alignment horizontal="center"/>
    </xf>
    <xf numFmtId="3" fontId="2" fillId="3" borderId="89" xfId="0" applyNumberFormat="1" applyFont="1" applyFill="1" applyBorder="1" applyAlignment="1">
      <alignment horizontal="center"/>
    </xf>
    <xf numFmtId="3" fontId="2" fillId="0" borderId="34" xfId="0" applyNumberFormat="1" applyFont="1" applyBorder="1" applyAlignment="1">
      <alignment horizontal="center"/>
    </xf>
    <xf numFmtId="3" fontId="2" fillId="3" borderId="44" xfId="0" applyNumberFormat="1" applyFont="1" applyFill="1" applyBorder="1" applyAlignment="1">
      <alignment horizontal="center"/>
    </xf>
    <xf numFmtId="0" fontId="17" fillId="0" borderId="0" xfId="0" applyFont="1" applyAlignment="1" applyProtection="1">
      <alignment horizontal="center"/>
      <protection locked="0"/>
    </xf>
    <xf numFmtId="0" fontId="0" fillId="0" borderId="4" xfId="0" applyBorder="1"/>
    <xf numFmtId="8" fontId="4" fillId="0" borderId="26" xfId="1" applyNumberFormat="1" applyFont="1" applyBorder="1" applyAlignment="1" applyProtection="1">
      <alignment horizontal="right"/>
    </xf>
    <xf numFmtId="0" fontId="2" fillId="6" borderId="33" xfId="0" applyFont="1" applyFill="1" applyBorder="1" applyAlignment="1">
      <alignment horizontal="left"/>
    </xf>
    <xf numFmtId="0" fontId="27" fillId="6" borderId="34" xfId="0" applyFont="1" applyFill="1" applyBorder="1" applyAlignment="1">
      <alignment horizontal="right"/>
    </xf>
    <xf numFmtId="0" fontId="2" fillId="6" borderId="35" xfId="0" applyFont="1" applyFill="1" applyBorder="1" applyAlignment="1">
      <alignment horizontal="center"/>
    </xf>
    <xf numFmtId="0" fontId="2" fillId="6" borderId="65" xfId="0" applyFont="1" applyFill="1" applyBorder="1" applyAlignment="1">
      <alignment horizontal="center"/>
    </xf>
    <xf numFmtId="0" fontId="0" fillId="6" borderId="3" xfId="0" applyFill="1" applyBorder="1"/>
    <xf numFmtId="0" fontId="2" fillId="6" borderId="0" xfId="0" applyFont="1" applyFill="1"/>
    <xf numFmtId="3" fontId="2" fillId="6" borderId="39" xfId="0" applyNumberFormat="1" applyFont="1" applyFill="1" applyBorder="1" applyAlignment="1">
      <alignment horizontal="center"/>
    </xf>
    <xf numFmtId="0" fontId="0" fillId="6" borderId="37" xfId="0" applyFill="1" applyBorder="1"/>
    <xf numFmtId="0" fontId="2" fillId="6" borderId="46" xfId="0" applyFont="1" applyFill="1" applyBorder="1"/>
    <xf numFmtId="0" fontId="27" fillId="6" borderId="34" xfId="0" applyFont="1" applyFill="1" applyBorder="1" applyAlignment="1">
      <alignment horizontal="center"/>
    </xf>
    <xf numFmtId="0" fontId="2" fillId="6" borderId="1" xfId="0" applyFont="1" applyFill="1" applyBorder="1" applyAlignment="1">
      <alignment horizontal="left"/>
    </xf>
    <xf numFmtId="0" fontId="27" fillId="6" borderId="2" xfId="0" applyFont="1" applyFill="1" applyBorder="1" applyAlignment="1">
      <alignment horizontal="right"/>
    </xf>
    <xf numFmtId="0" fontId="2" fillId="6" borderId="47" xfId="0" applyFont="1" applyFill="1" applyBorder="1" applyAlignment="1">
      <alignment horizontal="center"/>
    </xf>
    <xf numFmtId="0" fontId="0" fillId="6" borderId="10" xfId="0" applyFill="1" applyBorder="1"/>
    <xf numFmtId="3" fontId="0" fillId="6" borderId="4" xfId="0" applyNumberFormat="1" applyFill="1" applyBorder="1" applyAlignment="1">
      <alignment horizontal="center"/>
    </xf>
    <xf numFmtId="3" fontId="0" fillId="0" borderId="53" xfId="0" applyNumberFormat="1" applyBorder="1" applyAlignment="1">
      <alignment horizontal="center"/>
    </xf>
    <xf numFmtId="0" fontId="2" fillId="0" borderId="11" xfId="0" applyFont="1" applyBorder="1" applyProtection="1">
      <protection locked="0"/>
    </xf>
    <xf numFmtId="0" fontId="0" fillId="0" borderId="97" xfId="0" applyBorder="1" applyProtection="1">
      <protection locked="0"/>
    </xf>
    <xf numFmtId="0" fontId="0" fillId="0" borderId="37" xfId="0" applyBorder="1" applyProtection="1">
      <protection locked="0"/>
    </xf>
    <xf numFmtId="0" fontId="30" fillId="0" borderId="0" xfId="0" applyFont="1" applyProtection="1">
      <protection locked="0"/>
    </xf>
    <xf numFmtId="0" fontId="16" fillId="0" borderId="0" xfId="0" applyFont="1" applyAlignment="1">
      <alignment horizontal="center"/>
    </xf>
    <xf numFmtId="0" fontId="2" fillId="0" borderId="9" xfId="0" applyFont="1" applyBorder="1" applyAlignment="1">
      <alignment horizontal="center"/>
    </xf>
    <xf numFmtId="165" fontId="2" fillId="0" borderId="15" xfId="0" applyNumberFormat="1" applyFont="1" applyBorder="1" applyAlignment="1">
      <alignment horizontal="center"/>
    </xf>
    <xf numFmtId="165" fontId="2" fillId="0" borderId="24" xfId="0" applyNumberFormat="1" applyFont="1" applyBorder="1" applyAlignment="1">
      <alignment horizontal="center"/>
    </xf>
    <xf numFmtId="0" fontId="2" fillId="8" borderId="70" xfId="0" applyFont="1" applyFill="1" applyBorder="1" applyAlignment="1">
      <alignment horizontal="center"/>
    </xf>
    <xf numFmtId="10" fontId="2" fillId="8" borderId="38" xfId="0" applyNumberFormat="1" applyFont="1" applyFill="1" applyBorder="1" applyAlignment="1">
      <alignment horizontal="center"/>
    </xf>
    <xf numFmtId="10" fontId="2" fillId="8" borderId="45" xfId="0" applyNumberFormat="1" applyFont="1" applyFill="1" applyBorder="1" applyAlignment="1">
      <alignment horizontal="center"/>
    </xf>
    <xf numFmtId="165" fontId="0" fillId="0" borderId="103" xfId="0" applyNumberFormat="1" applyBorder="1" applyAlignment="1">
      <alignment horizontal="center"/>
    </xf>
    <xf numFmtId="2" fontId="5" fillId="0" borderId="0" xfId="0" applyNumberFormat="1" applyFont="1"/>
    <xf numFmtId="0" fontId="2" fillId="0" borderId="66" xfId="0" applyFont="1" applyBorder="1" applyAlignment="1" applyProtection="1">
      <alignment horizontal="center"/>
      <protection locked="0"/>
    </xf>
    <xf numFmtId="169" fontId="0" fillId="0" borderId="15" xfId="0" applyNumberFormat="1" applyBorder="1" applyProtection="1">
      <protection locked="0"/>
    </xf>
    <xf numFmtId="0" fontId="4" fillId="0" borderId="11" xfId="0" applyFont="1" applyBorder="1" applyProtection="1">
      <protection locked="0"/>
    </xf>
    <xf numFmtId="0" fontId="1" fillId="0" borderId="0" xfId="0" applyFont="1"/>
    <xf numFmtId="165" fontId="0" fillId="0" borderId="61" xfId="0" applyNumberFormat="1" applyBorder="1"/>
    <xf numFmtId="0" fontId="2" fillId="0" borderId="65" xfId="0" applyFont="1" applyBorder="1" applyAlignment="1" applyProtection="1">
      <alignment horizontal="center"/>
      <protection locked="0"/>
    </xf>
    <xf numFmtId="3" fontId="27" fillId="0" borderId="0" xfId="0" applyNumberFormat="1" applyFont="1"/>
    <xf numFmtId="3" fontId="2" fillId="0" borderId="0" xfId="0" applyNumberFormat="1" applyFont="1"/>
    <xf numFmtId="0" fontId="2" fillId="0" borderId="35" xfId="0" applyFont="1" applyBorder="1" applyAlignment="1" applyProtection="1">
      <alignment horizontal="center"/>
      <protection locked="0"/>
    </xf>
    <xf numFmtId="17" fontId="2" fillId="0" borderId="0" xfId="0" applyNumberFormat="1" applyFont="1" applyAlignment="1" applyProtection="1">
      <alignment horizontal="center"/>
      <protection locked="0"/>
    </xf>
    <xf numFmtId="3" fontId="0" fillId="8" borderId="12" xfId="0" applyNumberFormat="1" applyFill="1" applyBorder="1" applyAlignment="1" applyProtection="1">
      <alignment horizontal="center"/>
      <protection locked="0"/>
    </xf>
    <xf numFmtId="0" fontId="15" fillId="0" borderId="0" xfId="0" applyFont="1" applyAlignment="1" applyProtection="1">
      <alignment horizontal="right"/>
      <protection locked="0"/>
    </xf>
    <xf numFmtId="0" fontId="1" fillId="0" borderId="105" xfId="0" applyFont="1" applyBorder="1" applyProtection="1">
      <protection locked="0"/>
    </xf>
    <xf numFmtId="0" fontId="0" fillId="0" borderId="108" xfId="0" applyBorder="1" applyProtection="1">
      <protection locked="0"/>
    </xf>
    <xf numFmtId="0" fontId="1" fillId="0" borderId="3" xfId="0" applyFont="1" applyBorder="1" applyProtection="1">
      <protection locked="0"/>
    </xf>
    <xf numFmtId="3" fontId="0" fillId="8" borderId="39" xfId="0" applyNumberFormat="1" applyFill="1" applyBorder="1" applyProtection="1">
      <protection locked="0"/>
    </xf>
    <xf numFmtId="0" fontId="1" fillId="0" borderId="1" xfId="0" applyFont="1" applyBorder="1" applyProtection="1">
      <protection locked="0"/>
    </xf>
    <xf numFmtId="0" fontId="1" fillId="0" borderId="37" xfId="0" applyFont="1" applyBorder="1" applyProtection="1">
      <protection locked="0"/>
    </xf>
    <xf numFmtId="0" fontId="0" fillId="8" borderId="39" xfId="0" applyFill="1" applyBorder="1" applyProtection="1">
      <protection locked="0"/>
    </xf>
    <xf numFmtId="3" fontId="0" fillId="8" borderId="99" xfId="0" applyNumberFormat="1" applyFill="1" applyBorder="1" applyAlignment="1" applyProtection="1">
      <alignment horizontal="center"/>
      <protection locked="0"/>
    </xf>
    <xf numFmtId="3" fontId="0" fillId="8" borderId="90" xfId="0" applyNumberFormat="1" applyFill="1" applyBorder="1" applyAlignment="1" applyProtection="1">
      <alignment horizontal="center"/>
      <protection locked="0"/>
    </xf>
    <xf numFmtId="3" fontId="0" fillId="8" borderId="95" xfId="0" applyNumberFormat="1" applyFill="1" applyBorder="1" applyAlignment="1" applyProtection="1">
      <alignment horizontal="center"/>
      <protection locked="0"/>
    </xf>
    <xf numFmtId="0" fontId="1" fillId="0" borderId="0" xfId="0" applyFont="1" applyProtection="1">
      <protection locked="0"/>
    </xf>
    <xf numFmtId="3" fontId="0" fillId="0" borderId="0" xfId="0" applyNumberFormat="1" applyProtection="1">
      <protection locked="0"/>
    </xf>
    <xf numFmtId="17" fontId="2" fillId="0" borderId="7" xfId="0" applyNumberFormat="1" applyFont="1" applyBorder="1" applyAlignment="1" applyProtection="1">
      <alignment horizontal="center"/>
      <protection locked="0"/>
    </xf>
    <xf numFmtId="3" fontId="0" fillId="8" borderId="53" xfId="0" applyNumberFormat="1" applyFill="1" applyBorder="1" applyProtection="1">
      <protection locked="0"/>
    </xf>
    <xf numFmtId="0" fontId="2" fillId="0" borderId="51" xfId="0" applyFont="1" applyBorder="1" applyAlignment="1" applyProtection="1">
      <alignment horizontal="center"/>
      <protection locked="0"/>
    </xf>
    <xf numFmtId="3" fontId="5" fillId="0" borderId="0" xfId="0" applyNumberFormat="1" applyFont="1" applyAlignment="1">
      <alignment horizontal="center"/>
    </xf>
    <xf numFmtId="17" fontId="0" fillId="0" borderId="0" xfId="0" applyNumberFormat="1" applyAlignment="1" applyProtection="1">
      <alignment horizontal="center"/>
      <protection locked="0"/>
    </xf>
    <xf numFmtId="0" fontId="4" fillId="0" borderId="2" xfId="0" applyFont="1" applyBorder="1" applyProtection="1">
      <protection locked="0"/>
    </xf>
    <xf numFmtId="0" fontId="0" fillId="0" borderId="110" xfId="0" applyBorder="1" applyProtection="1">
      <protection locked="0"/>
    </xf>
    <xf numFmtId="0" fontId="1" fillId="0" borderId="10" xfId="0" applyFont="1" applyBorder="1" applyProtection="1">
      <protection locked="0"/>
    </xf>
    <xf numFmtId="0" fontId="1" fillId="0" borderId="104" xfId="0" applyFont="1" applyBorder="1" applyAlignment="1" applyProtection="1">
      <alignment horizontal="right"/>
      <protection locked="0"/>
    </xf>
    <xf numFmtId="169" fontId="0" fillId="8" borderId="4" xfId="0" applyNumberFormat="1" applyFill="1" applyBorder="1" applyAlignment="1" applyProtection="1">
      <alignment horizontal="center"/>
      <protection locked="0"/>
    </xf>
    <xf numFmtId="169" fontId="0" fillId="8" borderId="38" xfId="0" applyNumberFormat="1" applyFill="1" applyBorder="1" applyAlignment="1" applyProtection="1">
      <alignment horizontal="center"/>
      <protection locked="0"/>
    </xf>
    <xf numFmtId="165" fontId="0" fillId="0" borderId="0" xfId="0" applyNumberFormat="1" applyProtection="1">
      <protection hidden="1"/>
    </xf>
    <xf numFmtId="0" fontId="0" fillId="0" borderId="105" xfId="0" applyBorder="1"/>
    <xf numFmtId="166" fontId="0" fillId="0" borderId="27" xfId="0" applyNumberFormat="1" applyBorder="1"/>
    <xf numFmtId="165" fontId="0" fillId="0" borderId="30" xfId="0" applyNumberFormat="1" applyBorder="1"/>
    <xf numFmtId="0" fontId="1" fillId="0" borderId="0" xfId="0" applyFont="1" applyAlignment="1">
      <alignment horizontal="right"/>
    </xf>
    <xf numFmtId="0" fontId="1" fillId="0" borderId="27" xfId="0" applyFont="1" applyBorder="1"/>
    <xf numFmtId="0" fontId="1" fillId="0" borderId="25" xfId="0" applyFont="1" applyBorder="1"/>
    <xf numFmtId="0" fontId="2" fillId="3" borderId="27" xfId="0" applyFont="1" applyFill="1" applyBorder="1" applyAlignment="1">
      <alignment horizontal="center"/>
    </xf>
    <xf numFmtId="0" fontId="2" fillId="3" borderId="12" xfId="0" applyFont="1" applyFill="1" applyBorder="1" applyAlignment="1">
      <alignment horizontal="center"/>
    </xf>
    <xf numFmtId="0" fontId="2" fillId="3" borderId="99" xfId="0" applyFont="1" applyFill="1" applyBorder="1" applyAlignment="1">
      <alignment horizontal="center"/>
    </xf>
    <xf numFmtId="3" fontId="0" fillId="0" borderId="104" xfId="0" applyNumberFormat="1" applyBorder="1" applyAlignment="1">
      <alignment horizontal="center"/>
    </xf>
    <xf numFmtId="0" fontId="2" fillId="0" borderId="26" xfId="0" applyFont="1" applyBorder="1" applyAlignment="1">
      <alignment horizontal="center"/>
    </xf>
    <xf numFmtId="0" fontId="0" fillId="0" borderId="26" xfId="0" applyBorder="1" applyAlignment="1">
      <alignment horizontal="center"/>
    </xf>
    <xf numFmtId="0" fontId="0" fillId="0" borderId="107" xfId="0" applyBorder="1" applyAlignment="1">
      <alignment horizontal="center"/>
    </xf>
    <xf numFmtId="0" fontId="2" fillId="6" borderId="0" xfId="0" applyFont="1" applyFill="1" applyAlignment="1">
      <alignment horizontal="right"/>
    </xf>
    <xf numFmtId="0" fontId="2" fillId="6" borderId="46" xfId="0" applyFont="1" applyFill="1" applyBorder="1" applyAlignment="1">
      <alignment horizontal="right"/>
    </xf>
    <xf numFmtId="0" fontId="2" fillId="0" borderId="110" xfId="0" applyFont="1" applyBorder="1" applyAlignment="1">
      <alignment horizontal="right"/>
    </xf>
    <xf numFmtId="3" fontId="0" fillId="0" borderId="107" xfId="0" applyNumberFormat="1" applyBorder="1" applyAlignment="1">
      <alignment horizontal="center"/>
    </xf>
    <xf numFmtId="0" fontId="2" fillId="0" borderId="102" xfId="0" applyFont="1" applyBorder="1" applyAlignment="1">
      <alignment horizontal="right"/>
    </xf>
    <xf numFmtId="169" fontId="0" fillId="6" borderId="38" xfId="0" applyNumberFormat="1" applyFill="1" applyBorder="1" applyAlignment="1">
      <alignment horizontal="center"/>
    </xf>
    <xf numFmtId="0" fontId="2" fillId="6" borderId="104" xfId="0" applyFont="1" applyFill="1" applyBorder="1" applyAlignment="1">
      <alignment horizontal="right"/>
    </xf>
    <xf numFmtId="166" fontId="2" fillId="0" borderId="113" xfId="0" applyNumberFormat="1" applyFont="1" applyBorder="1" applyAlignment="1" applyProtection="1">
      <alignment horizontal="center"/>
      <protection locked="0"/>
    </xf>
    <xf numFmtId="166" fontId="2" fillId="0" borderId="114" xfId="0" applyNumberFormat="1" applyFont="1" applyBorder="1" applyAlignment="1" applyProtection="1">
      <alignment horizontal="center"/>
      <protection locked="0"/>
    </xf>
    <xf numFmtId="0" fontId="2" fillId="0" borderId="74" xfId="0" applyFont="1" applyBorder="1" applyAlignment="1" applyProtection="1">
      <alignment horizontal="center"/>
      <protection locked="0"/>
    </xf>
    <xf numFmtId="0" fontId="2" fillId="0" borderId="36" xfId="0" applyFont="1" applyBorder="1" applyAlignment="1" applyProtection="1">
      <alignment horizontal="center"/>
      <protection locked="0"/>
    </xf>
    <xf numFmtId="169" fontId="1" fillId="0" borderId="111" xfId="0" applyNumberFormat="1" applyFont="1" applyBorder="1" applyAlignment="1" applyProtection="1">
      <alignment horizontal="center"/>
      <protection locked="0"/>
    </xf>
    <xf numFmtId="169" fontId="1" fillId="0" borderId="112" xfId="0" applyNumberFormat="1" applyFont="1" applyBorder="1" applyAlignment="1" applyProtection="1">
      <alignment horizontal="center"/>
      <protection locked="0"/>
    </xf>
    <xf numFmtId="166" fontId="1" fillId="0" borderId="100" xfId="0" applyNumberFormat="1" applyFont="1" applyBorder="1" applyAlignment="1" applyProtection="1">
      <alignment horizontal="center"/>
      <protection locked="0"/>
    </xf>
    <xf numFmtId="166" fontId="1" fillId="0" borderId="99" xfId="0" applyNumberFormat="1" applyFont="1" applyBorder="1" applyAlignment="1" applyProtection="1">
      <alignment horizontal="center"/>
      <protection locked="0"/>
    </xf>
    <xf numFmtId="0" fontId="2" fillId="0" borderId="71" xfId="0" applyFont="1" applyBorder="1" applyProtection="1">
      <protection locked="0"/>
    </xf>
    <xf numFmtId="165" fontId="0" fillId="0" borderId="117" xfId="0" applyNumberFormat="1" applyBorder="1" applyProtection="1">
      <protection locked="0"/>
    </xf>
    <xf numFmtId="0" fontId="1" fillId="0" borderId="46" xfId="0" applyFont="1" applyBorder="1"/>
    <xf numFmtId="0" fontId="0" fillId="0" borderId="118" xfId="0" applyBorder="1"/>
    <xf numFmtId="0" fontId="0" fillId="0" borderId="121" xfId="0" applyBorder="1"/>
    <xf numFmtId="0" fontId="4" fillId="0" borderId="121" xfId="0" applyFont="1" applyBorder="1"/>
    <xf numFmtId="0" fontId="1" fillId="0" borderId="121" xfId="0" applyFont="1" applyBorder="1"/>
    <xf numFmtId="168" fontId="5" fillId="0" borderId="115" xfId="0" applyNumberFormat="1" applyFont="1" applyBorder="1" applyProtection="1">
      <protection locked="0"/>
    </xf>
    <xf numFmtId="3" fontId="2" fillId="0" borderId="51" xfId="0" applyNumberFormat="1" applyFont="1" applyBorder="1" applyProtection="1">
      <protection locked="0"/>
    </xf>
    <xf numFmtId="3" fontId="5" fillId="0" borderId="51" xfId="0" applyNumberFormat="1" applyFont="1" applyBorder="1" applyProtection="1">
      <protection locked="0"/>
    </xf>
    <xf numFmtId="172" fontId="2" fillId="0" borderId="51" xfId="0" applyNumberFormat="1" applyFont="1" applyBorder="1" applyProtection="1">
      <protection locked="0"/>
    </xf>
    <xf numFmtId="3" fontId="27" fillId="0" borderId="51" xfId="0" applyNumberFormat="1" applyFont="1" applyBorder="1" applyProtection="1">
      <protection locked="0"/>
    </xf>
    <xf numFmtId="165" fontId="2" fillId="0" borderId="51" xfId="0" applyNumberFormat="1" applyFont="1" applyBorder="1" applyProtection="1">
      <protection locked="0"/>
    </xf>
    <xf numFmtId="3" fontId="26" fillId="0" borderId="51" xfId="0" applyNumberFormat="1" applyFont="1" applyBorder="1" applyProtection="1">
      <protection locked="0"/>
    </xf>
    <xf numFmtId="9" fontId="2" fillId="0" borderId="51" xfId="0" applyNumberFormat="1" applyFont="1" applyBorder="1" applyAlignment="1" applyProtection="1">
      <alignment horizontal="center"/>
      <protection locked="0"/>
    </xf>
    <xf numFmtId="166" fontId="2" fillId="0" borderId="51" xfId="0" applyNumberFormat="1" applyFont="1" applyBorder="1" applyProtection="1">
      <protection locked="0"/>
    </xf>
    <xf numFmtId="1" fontId="2" fillId="0" borderId="51" xfId="0" applyNumberFormat="1" applyFont="1" applyBorder="1" applyProtection="1">
      <protection locked="0"/>
    </xf>
    <xf numFmtId="3" fontId="5" fillId="0" borderId="0" xfId="0" applyNumberFormat="1" applyFont="1" applyProtection="1">
      <protection hidden="1"/>
    </xf>
    <xf numFmtId="3" fontId="27" fillId="0" borderId="0" xfId="0" applyNumberFormat="1" applyFont="1" applyProtection="1">
      <protection hidden="1"/>
    </xf>
    <xf numFmtId="3" fontId="5" fillId="0" borderId="0" xfId="0" applyNumberFormat="1" applyFont="1" applyProtection="1">
      <protection locked="0"/>
    </xf>
    <xf numFmtId="0" fontId="2" fillId="0" borderId="73" xfId="0" applyFont="1" applyBorder="1" applyAlignment="1" applyProtection="1">
      <alignment horizontal="center"/>
      <protection locked="0"/>
    </xf>
    <xf numFmtId="0" fontId="2" fillId="0" borderId="117" xfId="0" applyFont="1" applyBorder="1" applyAlignment="1" applyProtection="1">
      <alignment horizontal="center"/>
      <protection locked="0"/>
    </xf>
    <xf numFmtId="1" fontId="5" fillId="0" borderId="0" xfId="0" applyNumberFormat="1" applyFont="1"/>
    <xf numFmtId="169" fontId="2" fillId="0" borderId="51" xfId="0" applyNumberFormat="1" applyFont="1" applyBorder="1" applyProtection="1">
      <protection locked="0"/>
    </xf>
    <xf numFmtId="169" fontId="5" fillId="0" borderId="0" xfId="0" applyNumberFormat="1" applyFont="1"/>
    <xf numFmtId="0" fontId="2" fillId="0" borderId="51" xfId="0" applyFont="1" applyBorder="1" applyProtection="1">
      <protection locked="0"/>
    </xf>
    <xf numFmtId="2" fontId="2" fillId="0" borderId="51" xfId="0" applyNumberFormat="1" applyFont="1" applyBorder="1" applyProtection="1">
      <protection locked="0"/>
    </xf>
    <xf numFmtId="1" fontId="2" fillId="0" borderId="51" xfId="0" applyNumberFormat="1" applyFont="1" applyBorder="1" applyAlignment="1" applyProtection="1">
      <alignment horizontal="right"/>
      <protection locked="0"/>
    </xf>
    <xf numFmtId="166" fontId="2" fillId="0" borderId="51" xfId="0" applyNumberFormat="1" applyFont="1" applyBorder="1" applyAlignment="1" applyProtection="1">
      <alignment horizontal="right"/>
      <protection locked="0"/>
    </xf>
    <xf numFmtId="168" fontId="2" fillId="0" borderId="51" xfId="0" applyNumberFormat="1" applyFont="1" applyBorder="1" applyProtection="1">
      <protection locked="0"/>
    </xf>
    <xf numFmtId="165" fontId="13" fillId="0" borderId="51" xfId="0" applyNumberFormat="1" applyFont="1" applyBorder="1"/>
    <xf numFmtId="10" fontId="2" fillId="0" borderId="51" xfId="0" applyNumberFormat="1" applyFont="1" applyBorder="1" applyProtection="1">
      <protection locked="0"/>
    </xf>
    <xf numFmtId="165" fontId="5" fillId="0" borderId="0" xfId="0" applyNumberFormat="1" applyFont="1" applyProtection="1">
      <protection locked="0"/>
    </xf>
    <xf numFmtId="165" fontId="27" fillId="0" borderId="0" xfId="0" applyNumberFormat="1" applyFont="1"/>
    <xf numFmtId="0" fontId="1" fillId="0" borderId="118" xfId="0" applyFont="1" applyBorder="1" applyProtection="1">
      <protection locked="0"/>
    </xf>
    <xf numFmtId="165" fontId="0" fillId="0" borderId="130" xfId="0" applyNumberFormat="1" applyBorder="1" applyProtection="1">
      <protection locked="0"/>
    </xf>
    <xf numFmtId="0" fontId="2" fillId="0" borderId="127" xfId="0" applyFont="1" applyBorder="1" applyProtection="1">
      <protection locked="0"/>
    </xf>
    <xf numFmtId="169" fontId="0" fillId="8" borderId="114" xfId="0" applyNumberFormat="1" applyFill="1" applyBorder="1" applyAlignment="1" applyProtection="1">
      <alignment horizontal="center"/>
      <protection locked="0"/>
    </xf>
    <xf numFmtId="169" fontId="0" fillId="8" borderId="112" xfId="0" applyNumberFormat="1" applyFill="1" applyBorder="1" applyAlignment="1" applyProtection="1">
      <alignment horizontal="center"/>
      <protection locked="0"/>
    </xf>
    <xf numFmtId="3" fontId="0" fillId="0" borderId="2" xfId="0" applyNumberFormat="1" applyBorder="1" applyProtection="1">
      <protection locked="0"/>
    </xf>
    <xf numFmtId="3" fontId="0" fillId="0" borderId="6" xfId="0" applyNumberFormat="1" applyBorder="1" applyProtection="1">
      <protection locked="0"/>
    </xf>
    <xf numFmtId="0" fontId="2" fillId="0" borderId="5" xfId="0" applyFont="1" applyBorder="1" applyProtection="1">
      <protection locked="0"/>
    </xf>
    <xf numFmtId="1" fontId="2" fillId="0" borderId="120" xfId="0" applyNumberFormat="1" applyFont="1" applyBorder="1" applyAlignment="1" applyProtection="1">
      <alignment horizontal="center"/>
      <protection locked="0"/>
    </xf>
    <xf numFmtId="0" fontId="0" fillId="0" borderId="126" xfId="0" applyBorder="1" applyProtection="1">
      <protection locked="0"/>
    </xf>
    <xf numFmtId="0" fontId="0" fillId="0" borderId="124" xfId="0" applyBorder="1" applyProtection="1">
      <protection locked="0"/>
    </xf>
    <xf numFmtId="0" fontId="0" fillId="9" borderId="123" xfId="0" applyFill="1" applyBorder="1" applyProtection="1">
      <protection locked="0"/>
    </xf>
    <xf numFmtId="3" fontId="0" fillId="9" borderId="123" xfId="0" applyNumberFormat="1" applyFill="1" applyBorder="1" applyProtection="1">
      <protection locked="0"/>
    </xf>
    <xf numFmtId="0" fontId="0" fillId="0" borderId="100" xfId="0" applyBorder="1" applyAlignment="1" applyProtection="1">
      <alignment horizontal="center"/>
      <protection locked="0"/>
    </xf>
    <xf numFmtId="0" fontId="0" fillId="0" borderId="99" xfId="0" applyBorder="1" applyAlignment="1" applyProtection="1">
      <alignment horizontal="center"/>
      <protection locked="0"/>
    </xf>
    <xf numFmtId="165" fontId="0" fillId="0" borderId="112" xfId="0" applyNumberFormat="1" applyBorder="1" applyProtection="1">
      <protection locked="0"/>
    </xf>
    <xf numFmtId="165" fontId="2" fillId="0" borderId="36" xfId="0" applyNumberFormat="1" applyFont="1" applyBorder="1" applyProtection="1">
      <protection locked="0"/>
    </xf>
    <xf numFmtId="165" fontId="0" fillId="0" borderId="36" xfId="0" applyNumberFormat="1" applyBorder="1" applyProtection="1">
      <protection locked="0"/>
    </xf>
    <xf numFmtId="0" fontId="0" fillId="0" borderId="11" xfId="0" applyBorder="1" applyProtection="1">
      <protection locked="0"/>
    </xf>
    <xf numFmtId="0" fontId="35" fillId="0" borderId="0" xfId="0" applyFont="1" applyAlignment="1" applyProtection="1">
      <alignment horizontal="right"/>
      <protection locked="0"/>
    </xf>
    <xf numFmtId="3" fontId="35" fillId="0" borderId="71" xfId="0" applyNumberFormat="1" applyFont="1" applyBorder="1" applyProtection="1">
      <protection locked="0"/>
    </xf>
    <xf numFmtId="3" fontId="35" fillId="0" borderId="5" xfId="0" applyNumberFormat="1" applyFont="1" applyBorder="1" applyProtection="1">
      <protection locked="0"/>
    </xf>
    <xf numFmtId="3" fontId="35" fillId="0" borderId="8" xfId="0" applyNumberFormat="1" applyFont="1" applyBorder="1" applyProtection="1">
      <protection locked="0"/>
    </xf>
    <xf numFmtId="0" fontId="4" fillId="0" borderId="5" xfId="0" applyFont="1" applyBorder="1" applyProtection="1">
      <protection locked="0"/>
    </xf>
    <xf numFmtId="0" fontId="35" fillId="0" borderId="8" xfId="0" applyFont="1" applyBorder="1" applyAlignment="1" applyProtection="1">
      <alignment horizontal="right"/>
      <protection locked="0"/>
    </xf>
    <xf numFmtId="0" fontId="4" fillId="0" borderId="132" xfId="0" applyFont="1" applyBorder="1" applyProtection="1">
      <protection locked="0"/>
    </xf>
    <xf numFmtId="3" fontId="35" fillId="12" borderId="0" xfId="0" applyNumberFormat="1" applyFont="1" applyFill="1" applyProtection="1">
      <protection locked="0"/>
    </xf>
    <xf numFmtId="3" fontId="35" fillId="12" borderId="7" xfId="0" applyNumberFormat="1" applyFont="1" applyFill="1" applyBorder="1" applyProtection="1">
      <protection locked="0"/>
    </xf>
    <xf numFmtId="3" fontId="35" fillId="11" borderId="0" xfId="0" applyNumberFormat="1" applyFont="1" applyFill="1" applyProtection="1">
      <protection locked="0"/>
    </xf>
    <xf numFmtId="3" fontId="0" fillId="0" borderId="131" xfId="0" applyNumberFormat="1" applyBorder="1" applyProtection="1">
      <protection locked="0"/>
    </xf>
    <xf numFmtId="3" fontId="0" fillId="0" borderId="132" xfId="0" applyNumberFormat="1" applyBorder="1" applyProtection="1">
      <protection locked="0"/>
    </xf>
    <xf numFmtId="3" fontId="0" fillId="0" borderId="133" xfId="0" applyNumberFormat="1" applyBorder="1" applyProtection="1">
      <protection locked="0"/>
    </xf>
    <xf numFmtId="0" fontId="1" fillId="0" borderId="150" xfId="0" applyFont="1" applyBorder="1" applyProtection="1">
      <protection locked="0"/>
    </xf>
    <xf numFmtId="0" fontId="1" fillId="0" borderId="131" xfId="0" applyFont="1" applyBorder="1" applyProtection="1">
      <protection locked="0"/>
    </xf>
    <xf numFmtId="0" fontId="35" fillId="0" borderId="132" xfId="0" applyFont="1" applyBorder="1" applyAlignment="1" applyProtection="1">
      <alignment horizontal="right"/>
      <protection locked="0"/>
    </xf>
    <xf numFmtId="165" fontId="0" fillId="0" borderId="132" xfId="0" applyNumberFormat="1" applyBorder="1" applyProtection="1">
      <protection locked="0"/>
    </xf>
    <xf numFmtId="0" fontId="1" fillId="0" borderId="134" xfId="0" applyFont="1" applyBorder="1" applyProtection="1">
      <protection locked="0"/>
    </xf>
    <xf numFmtId="0" fontId="35" fillId="0" borderId="135" xfId="0" applyFont="1" applyBorder="1" applyAlignment="1" applyProtection="1">
      <alignment horizontal="right"/>
      <protection locked="0"/>
    </xf>
    <xf numFmtId="165" fontId="0" fillId="0" borderId="151" xfId="0" applyNumberFormat="1" applyBorder="1" applyProtection="1">
      <protection locked="0"/>
    </xf>
    <xf numFmtId="165" fontId="0" fillId="0" borderId="131" xfId="0" applyNumberFormat="1" applyBorder="1" applyProtection="1">
      <protection locked="0"/>
    </xf>
    <xf numFmtId="168" fontId="2" fillId="0" borderId="5" xfId="0" applyNumberFormat="1" applyFont="1" applyBorder="1" applyAlignment="1" applyProtection="1">
      <alignment horizontal="center"/>
      <protection locked="0"/>
    </xf>
    <xf numFmtId="0" fontId="2" fillId="0" borderId="72" xfId="0" applyFont="1" applyBorder="1" applyAlignment="1" applyProtection="1">
      <alignment horizontal="center"/>
      <protection locked="0"/>
    </xf>
    <xf numFmtId="165" fontId="0" fillId="0" borderId="30" xfId="0" applyNumberFormat="1" applyBorder="1" applyProtection="1">
      <protection locked="0"/>
    </xf>
    <xf numFmtId="165" fontId="0" fillId="0" borderId="31" xfId="0" applyNumberFormat="1" applyBorder="1" applyProtection="1">
      <protection locked="0"/>
    </xf>
    <xf numFmtId="0" fontId="2" fillId="5" borderId="130" xfId="0" applyFont="1" applyFill="1" applyBorder="1" applyAlignment="1" applyProtection="1">
      <alignment horizontal="center"/>
      <protection locked="0"/>
    </xf>
    <xf numFmtId="0" fontId="2" fillId="5" borderId="36" xfId="0" applyFont="1" applyFill="1" applyBorder="1" applyAlignment="1" applyProtection="1">
      <alignment horizontal="center"/>
      <protection locked="0"/>
    </xf>
    <xf numFmtId="0" fontId="2" fillId="5" borderId="72" xfId="0" applyFont="1" applyFill="1" applyBorder="1" applyAlignment="1" applyProtection="1">
      <alignment horizontal="center"/>
      <protection locked="0"/>
    </xf>
    <xf numFmtId="165" fontId="0" fillId="0" borderId="29" xfId="0" applyNumberFormat="1" applyBorder="1" applyProtection="1">
      <protection locked="0"/>
    </xf>
    <xf numFmtId="165" fontId="0" fillId="0" borderId="152" xfId="0" applyNumberFormat="1" applyBorder="1" applyProtection="1">
      <protection locked="0"/>
    </xf>
    <xf numFmtId="165" fontId="0" fillId="0" borderId="72" xfId="0" applyNumberFormat="1" applyBorder="1" applyProtection="1">
      <protection locked="0"/>
    </xf>
    <xf numFmtId="0" fontId="2" fillId="0" borderId="127" xfId="0" applyFont="1" applyBorder="1" applyAlignment="1" applyProtection="1">
      <alignment horizontal="center"/>
      <protection locked="0"/>
    </xf>
    <xf numFmtId="165" fontId="2" fillId="0" borderId="128" xfId="0" applyNumberFormat="1" applyFont="1" applyBorder="1" applyProtection="1">
      <protection locked="0"/>
    </xf>
    <xf numFmtId="165" fontId="0" fillId="0" borderId="7" xfId="0" applyNumberFormat="1" applyBorder="1" applyProtection="1">
      <protection locked="0"/>
    </xf>
    <xf numFmtId="0" fontId="0" fillId="0" borderId="128" xfId="0" applyBorder="1" applyProtection="1">
      <protection locked="0"/>
    </xf>
    <xf numFmtId="0" fontId="0" fillId="0" borderId="150" xfId="0" applyBorder="1" applyProtection="1">
      <protection locked="0"/>
    </xf>
    <xf numFmtId="0" fontId="0" fillId="0" borderId="149" xfId="0" applyBorder="1" applyProtection="1">
      <protection locked="0"/>
    </xf>
    <xf numFmtId="0" fontId="1" fillId="0" borderId="71" xfId="0" applyFont="1" applyBorder="1" applyProtection="1">
      <protection locked="0"/>
    </xf>
    <xf numFmtId="0" fontId="0" fillId="0" borderId="131" xfId="0" applyBorder="1" applyProtection="1">
      <protection locked="0"/>
    </xf>
    <xf numFmtId="165" fontId="5" fillId="0" borderId="149" xfId="0" applyNumberFormat="1" applyFont="1" applyBorder="1"/>
    <xf numFmtId="166" fontId="1" fillId="0" borderId="0" xfId="0" applyNumberFormat="1" applyFont="1" applyAlignment="1">
      <alignment horizontal="left"/>
    </xf>
    <xf numFmtId="165" fontId="0" fillId="0" borderId="95" xfId="0" applyNumberFormat="1" applyBorder="1"/>
    <xf numFmtId="166" fontId="26" fillId="0" borderId="0" xfId="0" applyNumberFormat="1" applyFont="1"/>
    <xf numFmtId="165" fontId="0" fillId="0" borderId="137" xfId="0" applyNumberFormat="1" applyBorder="1" applyProtection="1">
      <protection locked="0"/>
    </xf>
    <xf numFmtId="0" fontId="16" fillId="0" borderId="128" xfId="0" applyFont="1" applyBorder="1" applyAlignment="1">
      <alignment horizontal="center"/>
    </xf>
    <xf numFmtId="1" fontId="0" fillId="0" borderId="128" xfId="0" applyNumberFormat="1" applyBorder="1" applyAlignment="1">
      <alignment horizontal="center"/>
    </xf>
    <xf numFmtId="1" fontId="0" fillId="0" borderId="129" xfId="0" applyNumberFormat="1" applyBorder="1" applyAlignment="1">
      <alignment horizontal="center"/>
    </xf>
    <xf numFmtId="1" fontId="1" fillId="0" borderId="0" xfId="0" applyNumberFormat="1" applyFont="1" applyAlignment="1">
      <alignment horizontal="center"/>
    </xf>
    <xf numFmtId="0" fontId="2" fillId="0" borderId="28" xfId="0" applyFont="1" applyBorder="1" applyAlignment="1">
      <alignment horizontal="center"/>
    </xf>
    <xf numFmtId="3" fontId="5" fillId="0" borderId="115" xfId="0" applyNumberFormat="1" applyFont="1" applyBorder="1"/>
    <xf numFmtId="3" fontId="27" fillId="0" borderId="28" xfId="0" applyNumberFormat="1" applyFont="1" applyBorder="1"/>
    <xf numFmtId="174" fontId="27" fillId="0" borderId="0" xfId="0" applyNumberFormat="1" applyFont="1" applyAlignment="1" applyProtection="1">
      <alignment horizontal="center"/>
      <protection locked="0"/>
    </xf>
    <xf numFmtId="172" fontId="5" fillId="0" borderId="0" xfId="0" applyNumberFormat="1" applyFont="1"/>
    <xf numFmtId="3" fontId="5" fillId="0" borderId="149" xfId="0" applyNumberFormat="1" applyFont="1" applyBorder="1"/>
    <xf numFmtId="166" fontId="5" fillId="0" borderId="149" xfId="0" applyNumberFormat="1" applyFont="1" applyBorder="1"/>
    <xf numFmtId="0" fontId="0" fillId="13" borderId="0" xfId="0" applyFill="1"/>
    <xf numFmtId="0" fontId="0" fillId="13" borderId="33" xfId="0" applyFill="1" applyBorder="1"/>
    <xf numFmtId="0" fontId="2" fillId="13" borderId="34" xfId="0" applyFont="1" applyFill="1" applyBorder="1" applyAlignment="1">
      <alignment horizontal="right"/>
    </xf>
    <xf numFmtId="0" fontId="2" fillId="13" borderId="3" xfId="0" applyFont="1" applyFill="1" applyBorder="1"/>
    <xf numFmtId="0" fontId="2" fillId="0" borderId="34" xfId="0" applyFont="1" applyBorder="1"/>
    <xf numFmtId="1" fontId="2" fillId="0" borderId="146" xfId="0" applyNumberFormat="1" applyFont="1" applyBorder="1" applyAlignment="1">
      <alignment horizontal="center"/>
    </xf>
    <xf numFmtId="1" fontId="2" fillId="0" borderId="47" xfId="0" applyNumberFormat="1" applyFont="1" applyBorder="1" applyAlignment="1">
      <alignment horizontal="center"/>
    </xf>
    <xf numFmtId="1" fontId="2" fillId="0" borderId="54" xfId="0" applyNumberFormat="1" applyFont="1" applyBorder="1" applyAlignment="1">
      <alignment horizontal="center"/>
    </xf>
    <xf numFmtId="0" fontId="2" fillId="0" borderId="127" xfId="0" applyFont="1" applyBorder="1" applyAlignment="1">
      <alignment horizontal="center"/>
    </xf>
    <xf numFmtId="0" fontId="2" fillId="0" borderId="130" xfId="0" applyFont="1" applyBorder="1" applyAlignment="1">
      <alignment horizontal="center"/>
    </xf>
    <xf numFmtId="0" fontId="2" fillId="0" borderId="36" xfId="0" applyFont="1" applyBorder="1" applyAlignment="1">
      <alignment horizontal="center"/>
    </xf>
    <xf numFmtId="0" fontId="0" fillId="0" borderId="138" xfId="0" applyBorder="1"/>
    <xf numFmtId="0" fontId="0" fillId="0" borderId="147" xfId="0" applyBorder="1"/>
    <xf numFmtId="0" fontId="2" fillId="6" borderId="34" xfId="0" applyFont="1" applyFill="1" applyBorder="1"/>
    <xf numFmtId="165" fontId="0" fillId="0" borderId="53" xfId="0" applyNumberFormat="1" applyBorder="1"/>
    <xf numFmtId="0" fontId="1" fillId="0" borderId="2" xfId="0" applyFont="1" applyBorder="1" applyProtection="1">
      <protection locked="0"/>
    </xf>
    <xf numFmtId="169" fontId="0" fillId="0" borderId="2" xfId="0" applyNumberFormat="1" applyBorder="1" applyAlignment="1" applyProtection="1">
      <alignment horizontal="center"/>
      <protection locked="0"/>
    </xf>
    <xf numFmtId="0" fontId="1" fillId="0" borderId="155" xfId="0" applyFont="1" applyBorder="1"/>
    <xf numFmtId="0" fontId="0" fillId="0" borderId="11" xfId="0" applyBorder="1" applyAlignment="1" applyProtection="1">
      <alignment horizontal="center"/>
      <protection locked="0"/>
    </xf>
    <xf numFmtId="165" fontId="0" fillId="0" borderId="156" xfId="0" applyNumberFormat="1" applyBorder="1" applyProtection="1">
      <protection locked="0"/>
    </xf>
    <xf numFmtId="165" fontId="0" fillId="0" borderId="157" xfId="0" applyNumberFormat="1" applyBorder="1" applyProtection="1">
      <protection locked="0"/>
    </xf>
    <xf numFmtId="0" fontId="0" fillId="0" borderId="13" xfId="0" applyBorder="1" applyAlignment="1" applyProtection="1">
      <alignment horizontal="center"/>
      <protection locked="0"/>
    </xf>
    <xf numFmtId="165" fontId="0" fillId="0" borderId="158" xfId="0" applyNumberFormat="1" applyBorder="1" applyProtection="1">
      <protection locked="0"/>
    </xf>
    <xf numFmtId="165" fontId="0" fillId="0" borderId="159" xfId="0" applyNumberFormat="1" applyBorder="1" applyProtection="1">
      <protection locked="0"/>
    </xf>
    <xf numFmtId="165" fontId="0" fillId="0" borderId="160" xfId="0" applyNumberFormat="1" applyBorder="1" applyProtection="1">
      <protection locked="0"/>
    </xf>
    <xf numFmtId="165" fontId="0" fillId="0" borderId="162" xfId="0" applyNumberFormat="1" applyBorder="1" applyProtection="1">
      <protection locked="0"/>
    </xf>
    <xf numFmtId="165" fontId="0" fillId="0" borderId="161" xfId="0" applyNumberFormat="1" applyBorder="1" applyProtection="1">
      <protection locked="0"/>
    </xf>
    <xf numFmtId="166" fontId="0" fillId="0" borderId="3" xfId="0" applyNumberFormat="1" applyBorder="1"/>
    <xf numFmtId="0" fontId="0" fillId="0" borderId="156" xfId="0" applyBorder="1"/>
    <xf numFmtId="166" fontId="0" fillId="0" borderId="131" xfId="0" applyNumberFormat="1" applyBorder="1" applyAlignment="1">
      <alignment horizontal="right"/>
    </xf>
    <xf numFmtId="166" fontId="0" fillId="0" borderId="84" xfId="0" applyNumberFormat="1" applyBorder="1" applyAlignment="1">
      <alignment horizontal="right"/>
    </xf>
    <xf numFmtId="166" fontId="0" fillId="0" borderId="9" xfId="0" applyNumberFormat="1" applyBorder="1" applyAlignment="1">
      <alignment horizontal="right"/>
    </xf>
    <xf numFmtId="166" fontId="0" fillId="0" borderId="109" xfId="0" applyNumberFormat="1" applyBorder="1" applyAlignment="1">
      <alignment horizontal="right"/>
    </xf>
    <xf numFmtId="166" fontId="0" fillId="0" borderId="100" xfId="0" applyNumberFormat="1" applyBorder="1" applyAlignment="1">
      <alignment horizontal="right"/>
    </xf>
    <xf numFmtId="166" fontId="0" fillId="0" borderId="98" xfId="0" applyNumberFormat="1" applyBorder="1" applyAlignment="1">
      <alignment horizontal="right"/>
    </xf>
    <xf numFmtId="166" fontId="0" fillId="0" borderId="163" xfId="0" applyNumberFormat="1" applyBorder="1" applyAlignment="1">
      <alignment horizontal="right"/>
    </xf>
    <xf numFmtId="166" fontId="0" fillId="0" borderId="101" xfId="0" applyNumberFormat="1" applyBorder="1" applyAlignment="1">
      <alignment horizontal="right"/>
    </xf>
    <xf numFmtId="166" fontId="0" fillId="0" borderId="87" xfId="0" applyNumberFormat="1" applyBorder="1" applyAlignment="1">
      <alignment horizontal="right"/>
    </xf>
    <xf numFmtId="166" fontId="0" fillId="0" borderId="69" xfId="0" applyNumberFormat="1" applyBorder="1" applyAlignment="1">
      <alignment horizontal="right"/>
    </xf>
    <xf numFmtId="166" fontId="0" fillId="0" borderId="94" xfId="0" applyNumberFormat="1" applyBorder="1" applyAlignment="1">
      <alignment horizontal="right"/>
    </xf>
    <xf numFmtId="1" fontId="2" fillId="0" borderId="146" xfId="0" applyNumberFormat="1" applyFont="1" applyBorder="1" applyAlignment="1">
      <alignment horizontal="right"/>
    </xf>
    <xf numFmtId="1" fontId="2" fillId="0" borderId="88" xfId="0" applyNumberFormat="1" applyFont="1" applyBorder="1" applyAlignment="1">
      <alignment horizontal="right"/>
    </xf>
    <xf numFmtId="0" fontId="2" fillId="0" borderId="127" xfId="0" applyFont="1" applyBorder="1" applyAlignment="1">
      <alignment horizontal="right"/>
    </xf>
    <xf numFmtId="0" fontId="2" fillId="0" borderId="44" xfId="0" applyFont="1" applyBorder="1" applyAlignment="1">
      <alignment horizontal="right"/>
    </xf>
    <xf numFmtId="166" fontId="0" fillId="0" borderId="150" xfId="0" applyNumberFormat="1" applyBorder="1" applyAlignment="1">
      <alignment horizontal="right"/>
    </xf>
    <xf numFmtId="166" fontId="0" fillId="0" borderId="148" xfId="0" applyNumberFormat="1" applyBorder="1" applyAlignment="1">
      <alignment horizontal="right"/>
    </xf>
    <xf numFmtId="166" fontId="0" fillId="0" borderId="151" xfId="0" applyNumberFormat="1" applyBorder="1" applyAlignment="1">
      <alignment horizontal="right"/>
    </xf>
    <xf numFmtId="166" fontId="2" fillId="3" borderId="127" xfId="0" applyNumberFormat="1" applyFont="1" applyFill="1" applyBorder="1" applyAlignment="1">
      <alignment horizontal="right"/>
    </xf>
    <xf numFmtId="166" fontId="2" fillId="3" borderId="130" xfId="0" applyNumberFormat="1" applyFont="1" applyFill="1" applyBorder="1" applyAlignment="1">
      <alignment horizontal="right"/>
    </xf>
    <xf numFmtId="166" fontId="2" fillId="3" borderId="36" xfId="0" applyNumberFormat="1" applyFont="1" applyFill="1" applyBorder="1" applyAlignment="1">
      <alignment horizontal="right"/>
    </xf>
    <xf numFmtId="166" fontId="0" fillId="0" borderId="11" xfId="0" applyNumberFormat="1" applyBorder="1" applyAlignment="1">
      <alignment horizontal="right"/>
    </xf>
    <xf numFmtId="166" fontId="0" fillId="0" borderId="12" xfId="0" applyNumberFormat="1" applyBorder="1" applyAlignment="1">
      <alignment horizontal="right"/>
    </xf>
    <xf numFmtId="166" fontId="0" fillId="0" borderId="99" xfId="0" applyNumberFormat="1" applyBorder="1" applyAlignment="1">
      <alignment horizontal="right"/>
    </xf>
    <xf numFmtId="166" fontId="0" fillId="0" borderId="134" xfId="0" applyNumberFormat="1" applyBorder="1" applyAlignment="1">
      <alignment horizontal="right"/>
    </xf>
    <xf numFmtId="166" fontId="0" fillId="0" borderId="137" xfId="0" applyNumberFormat="1" applyBorder="1" applyAlignment="1">
      <alignment horizontal="right"/>
    </xf>
    <xf numFmtId="166" fontId="0" fillId="0" borderId="114" xfId="0" applyNumberFormat="1" applyBorder="1" applyAlignment="1">
      <alignment horizontal="right"/>
    </xf>
    <xf numFmtId="166" fontId="0" fillId="0" borderId="156" xfId="0" applyNumberFormat="1" applyBorder="1" applyAlignment="1">
      <alignment horizontal="right"/>
    </xf>
    <xf numFmtId="166" fontId="0" fillId="0" borderId="160" xfId="0" applyNumberFormat="1" applyBorder="1" applyAlignment="1">
      <alignment horizontal="right"/>
    </xf>
    <xf numFmtId="166" fontId="0" fillId="0" borderId="162" xfId="0" applyNumberFormat="1" applyBorder="1" applyAlignment="1">
      <alignment horizontal="right"/>
    </xf>
    <xf numFmtId="166" fontId="0" fillId="0" borderId="122" xfId="0" applyNumberFormat="1" applyBorder="1" applyAlignment="1">
      <alignment horizontal="right"/>
    </xf>
    <xf numFmtId="166" fontId="0" fillId="0" borderId="153" xfId="0" applyNumberFormat="1" applyBorder="1" applyAlignment="1">
      <alignment horizontal="right"/>
    </xf>
    <xf numFmtId="166" fontId="2" fillId="13" borderId="127" xfId="0" applyNumberFormat="1" applyFont="1" applyFill="1" applyBorder="1" applyAlignment="1">
      <alignment horizontal="right"/>
    </xf>
    <xf numFmtId="166" fontId="2" fillId="13" borderId="130" xfId="0" applyNumberFormat="1" applyFont="1" applyFill="1" applyBorder="1" applyAlignment="1">
      <alignment horizontal="right"/>
    </xf>
    <xf numFmtId="166" fontId="2" fillId="13" borderId="36" xfId="0" applyNumberFormat="1" applyFont="1" applyFill="1" applyBorder="1" applyAlignment="1">
      <alignment horizontal="right"/>
    </xf>
    <xf numFmtId="166" fontId="5" fillId="0" borderId="0" xfId="0" applyNumberFormat="1" applyFont="1" applyProtection="1">
      <protection locked="0"/>
    </xf>
    <xf numFmtId="165" fontId="5" fillId="0" borderId="25" xfId="0" applyNumberFormat="1" applyFont="1" applyBorder="1" applyProtection="1">
      <protection locked="0"/>
    </xf>
    <xf numFmtId="17" fontId="2" fillId="8" borderId="130" xfId="0" applyNumberFormat="1" applyFont="1" applyFill="1" applyBorder="1" applyAlignment="1" applyProtection="1">
      <alignment horizontal="center"/>
      <protection locked="0"/>
    </xf>
    <xf numFmtId="165" fontId="2" fillId="6" borderId="130" xfId="0" applyNumberFormat="1" applyFont="1" applyFill="1" applyBorder="1" applyProtection="1">
      <protection locked="0"/>
    </xf>
    <xf numFmtId="176" fontId="1" fillId="0" borderId="160" xfId="0" applyNumberFormat="1" applyFont="1" applyBorder="1" applyAlignment="1">
      <alignment horizontal="center"/>
    </xf>
    <xf numFmtId="165" fontId="0" fillId="0" borderId="160" xfId="0" applyNumberFormat="1" applyBorder="1"/>
    <xf numFmtId="165" fontId="0" fillId="0" borderId="160" xfId="0" applyNumberFormat="1" applyBorder="1" applyAlignment="1">
      <alignment horizontal="right"/>
    </xf>
    <xf numFmtId="165" fontId="2" fillId="0" borderId="160" xfId="0" applyNumberFormat="1" applyFont="1" applyBorder="1"/>
    <xf numFmtId="165" fontId="1" fillId="0" borderId="0" xfId="0" applyNumberFormat="1" applyFont="1"/>
    <xf numFmtId="176" fontId="1" fillId="16" borderId="160" xfId="0" applyNumberFormat="1" applyFont="1" applyFill="1" applyBorder="1" applyAlignment="1">
      <alignment horizontal="center"/>
    </xf>
    <xf numFmtId="165" fontId="0" fillId="16" borderId="160" xfId="0" applyNumberFormat="1" applyFill="1" applyBorder="1"/>
    <xf numFmtId="165" fontId="0" fillId="16" borderId="160" xfId="0" applyNumberFormat="1" applyFill="1" applyBorder="1" applyAlignment="1">
      <alignment horizontal="right"/>
    </xf>
    <xf numFmtId="165" fontId="2" fillId="16" borderId="160" xfId="0" applyNumberFormat="1" applyFont="1" applyFill="1" applyBorder="1"/>
    <xf numFmtId="169" fontId="0" fillId="8" borderId="47" xfId="0" applyNumberFormat="1" applyFill="1" applyBorder="1" applyAlignment="1" applyProtection="1">
      <alignment horizontal="center"/>
      <protection locked="0"/>
    </xf>
    <xf numFmtId="169" fontId="0" fillId="8" borderId="12" xfId="0" applyNumberFormat="1" applyFill="1" applyBorder="1" applyAlignment="1" applyProtection="1">
      <alignment horizontal="center"/>
      <protection locked="0"/>
    </xf>
    <xf numFmtId="169" fontId="0" fillId="8" borderId="99" xfId="0" applyNumberFormat="1" applyFill="1" applyBorder="1" applyAlignment="1" applyProtection="1">
      <alignment horizontal="center"/>
      <protection locked="0"/>
    </xf>
    <xf numFmtId="3" fontId="0" fillId="0" borderId="117" xfId="0" applyNumberFormat="1" applyBorder="1" applyAlignment="1">
      <alignment horizontal="center"/>
    </xf>
    <xf numFmtId="0" fontId="0" fillId="0" borderId="122" xfId="0" applyBorder="1"/>
    <xf numFmtId="1" fontId="1" fillId="0" borderId="0" xfId="0" applyNumberFormat="1" applyFont="1"/>
    <xf numFmtId="3" fontId="0" fillId="0" borderId="30" xfId="0" applyNumberFormat="1" applyBorder="1" applyAlignment="1">
      <alignment horizontal="center"/>
    </xf>
    <xf numFmtId="17" fontId="0" fillId="0" borderId="5" xfId="0" applyNumberFormat="1" applyBorder="1" applyAlignment="1">
      <alignment horizontal="center"/>
    </xf>
    <xf numFmtId="3" fontId="2" fillId="0" borderId="0" xfId="0" applyNumberFormat="1" applyFont="1" applyAlignment="1">
      <alignment horizontal="center"/>
    </xf>
    <xf numFmtId="17" fontId="0" fillId="0" borderId="0" xfId="0" applyNumberFormat="1" applyAlignment="1">
      <alignment horizontal="center"/>
    </xf>
    <xf numFmtId="0" fontId="35" fillId="0" borderId="13" xfId="0" applyFont="1" applyBorder="1" applyAlignment="1">
      <alignment horizontal="right"/>
    </xf>
    <xf numFmtId="0" fontId="35" fillId="0" borderId="100" xfId="0" applyFont="1" applyBorder="1"/>
    <xf numFmtId="0" fontId="35" fillId="0" borderId="12" xfId="0" applyFont="1" applyBorder="1"/>
    <xf numFmtId="0" fontId="35" fillId="0" borderId="97" xfId="0" applyFont="1" applyBorder="1"/>
    <xf numFmtId="0" fontId="35" fillId="0" borderId="11" xfId="0" applyFont="1" applyBorder="1"/>
    <xf numFmtId="0" fontId="35" fillId="0" borderId="13" xfId="0" applyFont="1" applyBorder="1"/>
    <xf numFmtId="0" fontId="0" fillId="0" borderId="134" xfId="0" applyBorder="1"/>
    <xf numFmtId="0" fontId="0" fillId="0" borderId="135" xfId="0" applyBorder="1"/>
    <xf numFmtId="0" fontId="1" fillId="0" borderId="136" xfId="0" applyFont="1" applyBorder="1" applyAlignment="1">
      <alignment horizontal="right"/>
    </xf>
    <xf numFmtId="168" fontId="0" fillId="0" borderId="139" xfId="0" applyNumberFormat="1" applyBorder="1"/>
    <xf numFmtId="168" fontId="0" fillId="0" borderId="137" xfId="0" applyNumberFormat="1" applyBorder="1"/>
    <xf numFmtId="168" fontId="0" fillId="0" borderId="135" xfId="0" applyNumberFormat="1" applyBorder="1"/>
    <xf numFmtId="168" fontId="0" fillId="0" borderId="134" xfId="0" applyNumberFormat="1" applyBorder="1"/>
    <xf numFmtId="168" fontId="0" fillId="0" borderId="136" xfId="0" applyNumberFormat="1" applyBorder="1"/>
    <xf numFmtId="3" fontId="0" fillId="0" borderId="139" xfId="0" applyNumberFormat="1" applyBorder="1"/>
    <xf numFmtId="3" fontId="0" fillId="0" borderId="137" xfId="0" applyNumberFormat="1" applyBorder="1"/>
    <xf numFmtId="3" fontId="0" fillId="0" borderId="135" xfId="0" applyNumberFormat="1" applyBorder="1"/>
    <xf numFmtId="3" fontId="0" fillId="0" borderId="134" xfId="0" applyNumberFormat="1" applyBorder="1"/>
    <xf numFmtId="3" fontId="0" fillId="0" borderId="136" xfId="0" applyNumberFormat="1" applyBorder="1"/>
    <xf numFmtId="1" fontId="35" fillId="0" borderId="100" xfId="0" applyNumberFormat="1" applyFont="1" applyBorder="1"/>
    <xf numFmtId="1" fontId="35" fillId="0" borderId="12" xfId="0" applyNumberFormat="1" applyFont="1" applyBorder="1"/>
    <xf numFmtId="1" fontId="35" fillId="0" borderId="97" xfId="0" applyNumberFormat="1" applyFont="1" applyBorder="1"/>
    <xf numFmtId="1" fontId="35" fillId="0" borderId="11" xfId="0" applyNumberFormat="1" applyFont="1" applyBorder="1"/>
    <xf numFmtId="1" fontId="35" fillId="0" borderId="13" xfId="0" applyNumberFormat="1" applyFont="1" applyBorder="1"/>
    <xf numFmtId="0" fontId="0" fillId="0" borderId="146" xfId="0" applyBorder="1"/>
    <xf numFmtId="3" fontId="35" fillId="0" borderId="142" xfId="0" applyNumberFormat="1" applyFont="1" applyBorder="1"/>
    <xf numFmtId="3" fontId="35" fillId="0" borderId="140" xfId="0" applyNumberFormat="1" applyFont="1" applyBorder="1"/>
    <xf numFmtId="3" fontId="35" fillId="0" borderId="143" xfId="0" applyNumberFormat="1" applyFont="1" applyBorder="1"/>
    <xf numFmtId="0" fontId="1" fillId="0" borderId="8" xfId="0" applyFont="1" applyBorder="1" applyAlignment="1">
      <alignment horizontal="right"/>
    </xf>
    <xf numFmtId="3" fontId="1" fillId="0" borderId="144" xfId="0" applyNumberFormat="1" applyFont="1" applyBorder="1"/>
    <xf numFmtId="3" fontId="1" fillId="0" borderId="141" xfId="0" applyNumberFormat="1" applyFont="1" applyBorder="1"/>
    <xf numFmtId="3" fontId="1" fillId="0" borderId="145" xfId="0" applyNumberFormat="1" applyFont="1" applyBorder="1"/>
    <xf numFmtId="0" fontId="35" fillId="0" borderId="68" xfId="0" applyFont="1" applyBorder="1" applyAlignment="1">
      <alignment horizontal="right"/>
    </xf>
    <xf numFmtId="0" fontId="35" fillId="0" borderId="28" xfId="0" applyFont="1" applyBorder="1"/>
    <xf numFmtId="0" fontId="35" fillId="0" borderId="7" xfId="0" applyFont="1" applyBorder="1" applyAlignment="1">
      <alignment horizontal="right"/>
    </xf>
    <xf numFmtId="1" fontId="35" fillId="0" borderId="28" xfId="0" applyNumberFormat="1" applyFont="1" applyBorder="1"/>
    <xf numFmtId="1" fontId="35" fillId="0" borderId="68" xfId="0" applyNumberFormat="1" applyFont="1" applyBorder="1"/>
    <xf numFmtId="1" fontId="35" fillId="0" borderId="3" xfId="0" applyNumberFormat="1" applyFont="1" applyBorder="1"/>
    <xf numFmtId="1" fontId="35" fillId="0" borderId="0" xfId="0" applyNumberFormat="1" applyFont="1"/>
    <xf numFmtId="1" fontId="35" fillId="0" borderId="7" xfId="0" applyNumberFormat="1" applyFont="1" applyBorder="1"/>
    <xf numFmtId="0" fontId="0" fillId="0" borderId="131" xfId="0" applyBorder="1"/>
    <xf numFmtId="0" fontId="1" fillId="0" borderId="133" xfId="0" applyFont="1" applyBorder="1" applyAlignment="1">
      <alignment horizontal="right"/>
    </xf>
    <xf numFmtId="165" fontId="0" fillId="0" borderId="156" xfId="0" applyNumberFormat="1" applyBorder="1"/>
    <xf numFmtId="165" fontId="0" fillId="0" borderId="158" xfId="0" applyNumberFormat="1" applyBorder="1"/>
    <xf numFmtId="165" fontId="0" fillId="0" borderId="111" xfId="0" applyNumberFormat="1" applyBorder="1"/>
    <xf numFmtId="165" fontId="0" fillId="0" borderId="116" xfId="0" applyNumberFormat="1" applyBorder="1"/>
    <xf numFmtId="165" fontId="0" fillId="0" borderId="125" xfId="0" applyNumberFormat="1" applyBorder="1"/>
    <xf numFmtId="169" fontId="0" fillId="0" borderId="0" xfId="0" applyNumberFormat="1"/>
    <xf numFmtId="3" fontId="1" fillId="0" borderId="39" xfId="0" applyNumberFormat="1" applyFont="1" applyBorder="1" applyAlignment="1">
      <alignment horizontal="center"/>
    </xf>
    <xf numFmtId="3" fontId="2" fillId="0" borderId="39" xfId="0" applyNumberFormat="1" applyFont="1" applyBorder="1" applyAlignment="1">
      <alignment horizontal="center"/>
    </xf>
    <xf numFmtId="3" fontId="2" fillId="0" borderId="7" xfId="0" applyNumberFormat="1" applyFont="1" applyBorder="1" applyAlignment="1">
      <alignment horizontal="center"/>
    </xf>
    <xf numFmtId="0" fontId="1" fillId="5" borderId="127" xfId="0" applyFont="1" applyFill="1" applyBorder="1" applyAlignment="1">
      <alignment horizontal="center"/>
    </xf>
    <xf numFmtId="0" fontId="1" fillId="5" borderId="130" xfId="0" applyFont="1" applyFill="1" applyBorder="1" applyAlignment="1">
      <alignment horizontal="center"/>
    </xf>
    <xf numFmtId="1" fontId="1" fillId="0" borderId="30" xfId="0" applyNumberFormat="1" applyFont="1" applyBorder="1" applyAlignment="1">
      <alignment horizontal="center"/>
    </xf>
    <xf numFmtId="165" fontId="0" fillId="0" borderId="53" xfId="0" applyNumberFormat="1" applyBorder="1" applyAlignment="1">
      <alignment horizontal="center"/>
    </xf>
    <xf numFmtId="1" fontId="1" fillId="0" borderId="148" xfId="0" applyNumberFormat="1" applyFont="1" applyBorder="1" applyAlignment="1">
      <alignment horizontal="center"/>
    </xf>
    <xf numFmtId="166" fontId="1" fillId="5" borderId="2" xfId="0" applyNumberFormat="1" applyFont="1" applyFill="1" applyBorder="1" applyAlignment="1" applyProtection="1">
      <alignment horizontal="center"/>
      <protection locked="0"/>
    </xf>
    <xf numFmtId="169" fontId="1" fillId="5" borderId="0" xfId="0" applyNumberFormat="1" applyFont="1" applyFill="1" applyAlignment="1" applyProtection="1">
      <alignment horizontal="center"/>
      <protection locked="0"/>
    </xf>
    <xf numFmtId="166" fontId="2" fillId="5" borderId="5" xfId="0" applyNumberFormat="1" applyFont="1" applyFill="1" applyBorder="1" applyAlignment="1" applyProtection="1">
      <alignment horizontal="center"/>
      <protection locked="0"/>
    </xf>
    <xf numFmtId="3" fontId="27" fillId="0" borderId="142" xfId="0" applyNumberFormat="1" applyFont="1" applyBorder="1"/>
    <xf numFmtId="3" fontId="27" fillId="0" borderId="140" xfId="0" applyNumberFormat="1" applyFont="1" applyBorder="1"/>
    <xf numFmtId="3" fontId="27" fillId="0" borderId="143" xfId="0" applyNumberFormat="1" applyFont="1" applyBorder="1"/>
    <xf numFmtId="0" fontId="27" fillId="0" borderId="147" xfId="0" applyFont="1" applyBorder="1" applyAlignment="1">
      <alignment horizontal="right"/>
    </xf>
    <xf numFmtId="3" fontId="27" fillId="0" borderId="27" xfId="0" applyNumberFormat="1" applyFont="1" applyBorder="1"/>
    <xf numFmtId="6" fontId="2" fillId="6" borderId="27" xfId="0" applyNumberFormat="1" applyFont="1" applyFill="1" applyBorder="1" applyAlignment="1">
      <alignment horizontal="right"/>
    </xf>
    <xf numFmtId="6" fontId="2" fillId="6" borderId="53" xfId="0" applyNumberFormat="1" applyFont="1" applyFill="1" applyBorder="1" applyAlignment="1">
      <alignment horizontal="right"/>
    </xf>
    <xf numFmtId="168" fontId="0" fillId="0" borderId="0" xfId="0" applyNumberFormat="1"/>
    <xf numFmtId="165" fontId="0" fillId="0" borderId="135" xfId="0" applyNumberFormat="1" applyBorder="1" applyAlignment="1">
      <alignment horizontal="center"/>
    </xf>
    <xf numFmtId="165" fontId="2" fillId="0" borderId="161" xfId="0" applyNumberFormat="1" applyFont="1" applyBorder="1" applyAlignment="1">
      <alignment horizontal="center"/>
    </xf>
    <xf numFmtId="166" fontId="0" fillId="0" borderId="154" xfId="0" applyNumberFormat="1" applyBorder="1" applyAlignment="1">
      <alignment horizontal="center"/>
    </xf>
    <xf numFmtId="166" fontId="4" fillId="0" borderId="122" xfId="0" applyNumberFormat="1" applyFont="1" applyBorder="1" applyAlignment="1">
      <alignment horizontal="center"/>
    </xf>
    <xf numFmtId="9" fontId="0" fillId="0" borderId="138" xfId="0" applyNumberFormat="1" applyBorder="1" applyAlignment="1">
      <alignment horizontal="center"/>
    </xf>
    <xf numFmtId="166" fontId="0" fillId="0" borderId="138" xfId="0" applyNumberFormat="1" applyBorder="1" applyAlignment="1">
      <alignment horizontal="center"/>
    </xf>
    <xf numFmtId="166" fontId="4" fillId="0" borderId="138" xfId="0" applyNumberFormat="1" applyFont="1" applyBorder="1" applyAlignment="1">
      <alignment horizontal="center"/>
    </xf>
    <xf numFmtId="166" fontId="2" fillId="0" borderId="0" xfId="0" applyNumberFormat="1" applyFont="1" applyAlignment="1">
      <alignment horizontal="center"/>
    </xf>
    <xf numFmtId="165" fontId="1" fillId="0" borderId="10" xfId="0" applyNumberFormat="1" applyFont="1" applyBorder="1" applyAlignment="1">
      <alignment horizontal="center"/>
    </xf>
    <xf numFmtId="165" fontId="1" fillId="0" borderId="25" xfId="0" applyNumberFormat="1" applyFont="1" applyBorder="1" applyAlignment="1">
      <alignment horizontal="center"/>
    </xf>
    <xf numFmtId="169" fontId="1" fillId="0" borderId="0" xfId="0" applyNumberFormat="1" applyFont="1" applyAlignment="1">
      <alignment horizontal="center"/>
    </xf>
    <xf numFmtId="0" fontId="0" fillId="0" borderId="40" xfId="0" applyBorder="1"/>
    <xf numFmtId="2" fontId="6" fillId="0" borderId="41" xfId="0" applyNumberFormat="1" applyFont="1" applyBorder="1" applyAlignment="1">
      <alignment horizontal="left"/>
    </xf>
    <xf numFmtId="0" fontId="36" fillId="0" borderId="41" xfId="0" applyFont="1" applyBorder="1" applyAlignment="1">
      <alignment horizontal="center"/>
    </xf>
    <xf numFmtId="0" fontId="0" fillId="0" borderId="41" xfId="0" applyBorder="1"/>
    <xf numFmtId="0" fontId="8" fillId="0" borderId="41" xfId="0" applyFont="1" applyBorder="1"/>
    <xf numFmtId="0" fontId="7" fillId="0" borderId="42" xfId="0" applyFont="1" applyBorder="1"/>
    <xf numFmtId="0" fontId="0" fillId="0" borderId="16" xfId="0" applyBorder="1"/>
    <xf numFmtId="0" fontId="7" fillId="0" borderId="0" xfId="0" applyFont="1"/>
    <xf numFmtId="0" fontId="7" fillId="0" borderId="20" xfId="0" applyFont="1" applyBorder="1"/>
    <xf numFmtId="2" fontId="9" fillId="0" borderId="0" xfId="0" applyNumberFormat="1" applyFont="1" applyAlignment="1">
      <alignment horizontal="left"/>
    </xf>
    <xf numFmtId="3" fontId="5" fillId="0" borderId="22" xfId="0" applyNumberFormat="1" applyFont="1" applyBorder="1" applyProtection="1">
      <protection locked="0"/>
    </xf>
    <xf numFmtId="3" fontId="5" fillId="0" borderId="121" xfId="0" applyNumberFormat="1" applyFont="1" applyBorder="1" applyProtection="1">
      <protection locked="0"/>
    </xf>
    <xf numFmtId="166" fontId="5" fillId="0" borderId="149" xfId="0" applyNumberFormat="1" applyFont="1" applyBorder="1" applyProtection="1">
      <protection locked="0"/>
    </xf>
    <xf numFmtId="165" fontId="2" fillId="15" borderId="35" xfId="0" applyNumberFormat="1" applyFont="1" applyFill="1" applyBorder="1" applyProtection="1">
      <protection locked="0"/>
    </xf>
    <xf numFmtId="17" fontId="2" fillId="16" borderId="35" xfId="0" applyNumberFormat="1" applyFont="1" applyFill="1" applyBorder="1" applyAlignment="1" applyProtection="1">
      <alignment horizontal="center"/>
      <protection locked="0"/>
    </xf>
    <xf numFmtId="17" fontId="2" fillId="16" borderId="168" xfId="0" applyNumberFormat="1" applyFont="1" applyFill="1" applyBorder="1" applyAlignment="1" applyProtection="1">
      <alignment horizontal="center"/>
      <protection locked="0"/>
    </xf>
    <xf numFmtId="165" fontId="2" fillId="15" borderId="168" xfId="0" applyNumberFormat="1" applyFont="1" applyFill="1" applyBorder="1" applyProtection="1">
      <protection locked="0"/>
    </xf>
    <xf numFmtId="165" fontId="2" fillId="0" borderId="103" xfId="0" applyNumberFormat="1" applyFont="1" applyBorder="1" applyAlignment="1">
      <alignment horizontal="center"/>
    </xf>
    <xf numFmtId="174" fontId="27" fillId="0" borderId="108" xfId="0" applyNumberFormat="1" applyFont="1" applyBorder="1" applyAlignment="1">
      <alignment horizontal="right"/>
    </xf>
    <xf numFmtId="174" fontId="27" fillId="0" borderId="149" xfId="0" applyNumberFormat="1" applyFont="1" applyBorder="1" applyAlignment="1">
      <alignment horizontal="right"/>
    </xf>
    <xf numFmtId="3" fontId="5" fillId="0" borderId="28" xfId="0" applyNumberFormat="1" applyFont="1" applyBorder="1" applyAlignment="1">
      <alignment horizontal="right"/>
    </xf>
    <xf numFmtId="3" fontId="2" fillId="7" borderId="0" xfId="0" applyNumberFormat="1" applyFont="1" applyFill="1" applyAlignment="1">
      <alignment horizontal="center"/>
    </xf>
    <xf numFmtId="169" fontId="2" fillId="7" borderId="0" xfId="0" applyNumberFormat="1" applyFont="1" applyFill="1" applyAlignment="1">
      <alignment horizontal="center"/>
    </xf>
    <xf numFmtId="3" fontId="2" fillId="0" borderId="3" xfId="0" applyNumberFormat="1" applyFont="1" applyBorder="1" applyAlignment="1">
      <alignment horizontal="center"/>
    </xf>
    <xf numFmtId="169" fontId="4" fillId="0" borderId="171" xfId="0" applyNumberFormat="1" applyFont="1" applyBorder="1" applyAlignment="1">
      <alignment horizontal="center"/>
    </xf>
    <xf numFmtId="169" fontId="0" fillId="0" borderId="171" xfId="0" applyNumberFormat="1" applyBorder="1" applyAlignment="1">
      <alignment horizontal="center"/>
    </xf>
    <xf numFmtId="3" fontId="1" fillId="0" borderId="0" xfId="0" applyNumberFormat="1" applyFont="1" applyAlignment="1">
      <alignment horizontal="center"/>
    </xf>
    <xf numFmtId="3" fontId="1" fillId="0" borderId="7" xfId="0" applyNumberFormat="1" applyFont="1" applyBorder="1" applyAlignment="1">
      <alignment horizontal="center"/>
    </xf>
    <xf numFmtId="165" fontId="0" fillId="0" borderId="150" xfId="0" applyNumberFormat="1" applyBorder="1" applyAlignment="1">
      <alignment horizontal="center"/>
    </xf>
    <xf numFmtId="165" fontId="0" fillId="0" borderId="149" xfId="0" applyNumberFormat="1" applyBorder="1" applyAlignment="1">
      <alignment horizontal="center"/>
    </xf>
    <xf numFmtId="165" fontId="4" fillId="0" borderId="154" xfId="0" applyNumberFormat="1" applyFont="1" applyBorder="1" applyAlignment="1">
      <alignment horizontal="center"/>
    </xf>
    <xf numFmtId="165" fontId="0" fillId="0" borderId="171" xfId="0" applyNumberFormat="1" applyBorder="1" applyAlignment="1">
      <alignment horizontal="center"/>
    </xf>
    <xf numFmtId="165" fontId="4" fillId="0" borderId="171" xfId="0" applyNumberFormat="1" applyFont="1" applyBorder="1" applyAlignment="1">
      <alignment horizontal="center"/>
    </xf>
    <xf numFmtId="165" fontId="2" fillId="0" borderId="171" xfId="0" applyNumberFormat="1" applyFont="1" applyBorder="1" applyAlignment="1">
      <alignment horizontal="center"/>
    </xf>
    <xf numFmtId="166" fontId="4" fillId="0" borderId="171" xfId="0" applyNumberFormat="1" applyFont="1" applyBorder="1"/>
    <xf numFmtId="166" fontId="4" fillId="0" borderId="171" xfId="0" applyNumberFormat="1" applyFont="1" applyBorder="1" applyAlignment="1">
      <alignment horizontal="center"/>
    </xf>
    <xf numFmtId="165" fontId="0" fillId="0" borderId="156" xfId="0" applyNumberFormat="1" applyBorder="1" applyAlignment="1">
      <alignment horizontal="center"/>
    </xf>
    <xf numFmtId="165" fontId="0" fillId="0" borderId="132" xfId="0" applyNumberFormat="1" applyBorder="1" applyAlignment="1">
      <alignment horizontal="center"/>
    </xf>
    <xf numFmtId="165" fontId="0" fillId="0" borderId="158" xfId="0" applyNumberFormat="1" applyBorder="1" applyAlignment="1">
      <alignment horizontal="center"/>
    </xf>
    <xf numFmtId="165" fontId="2" fillId="0" borderId="156" xfId="0" applyNumberFormat="1" applyFont="1" applyBorder="1" applyAlignment="1">
      <alignment horizontal="center"/>
    </xf>
    <xf numFmtId="165" fontId="2" fillId="0" borderId="132" xfId="0" applyNumberFormat="1" applyFont="1" applyBorder="1" applyAlignment="1">
      <alignment horizontal="center"/>
    </xf>
    <xf numFmtId="165" fontId="2" fillId="0" borderId="158" xfId="0" applyNumberFormat="1" applyFont="1" applyBorder="1" applyAlignment="1">
      <alignment horizontal="center"/>
    </xf>
    <xf numFmtId="166" fontId="2" fillId="0" borderId="75" xfId="0" applyNumberFormat="1" applyFont="1" applyBorder="1"/>
    <xf numFmtId="166" fontId="2" fillId="0" borderId="69" xfId="0" applyNumberFormat="1" applyFont="1" applyBorder="1"/>
    <xf numFmtId="166" fontId="1" fillId="0" borderId="4" xfId="0" applyNumberFormat="1" applyFont="1" applyBorder="1" applyAlignment="1">
      <alignment horizontal="center"/>
    </xf>
    <xf numFmtId="3" fontId="1" fillId="0" borderId="15" xfId="0" applyNumberFormat="1" applyFont="1" applyBorder="1" applyAlignment="1">
      <alignment horizontal="center"/>
    </xf>
    <xf numFmtId="0" fontId="1" fillId="0" borderId="28" xfId="0" applyFont="1" applyBorder="1" applyAlignment="1" applyProtection="1">
      <alignment horizontal="right"/>
      <protection locked="0"/>
    </xf>
    <xf numFmtId="1" fontId="1" fillId="0" borderId="0" xfId="0" applyNumberFormat="1" applyFont="1" applyAlignment="1" applyProtection="1">
      <alignment horizontal="center"/>
      <protection locked="0"/>
    </xf>
    <xf numFmtId="17" fontId="0" fillId="0" borderId="2" xfId="0" applyNumberFormat="1" applyBorder="1" applyAlignment="1" applyProtection="1">
      <alignment horizontal="center"/>
      <protection locked="0"/>
    </xf>
    <xf numFmtId="17" fontId="0" fillId="0" borderId="6" xfId="0" applyNumberFormat="1" applyBorder="1" applyAlignment="1" applyProtection="1">
      <alignment horizontal="center"/>
      <protection locked="0"/>
    </xf>
    <xf numFmtId="1" fontId="0" fillId="0" borderId="0" xfId="0" applyNumberFormat="1" applyAlignment="1" applyProtection="1">
      <alignment horizontal="center"/>
      <protection locked="0"/>
    </xf>
    <xf numFmtId="14" fontId="2" fillId="0" borderId="0" xfId="0" applyNumberFormat="1" applyFont="1" applyAlignment="1" applyProtection="1">
      <alignment horizontal="center"/>
      <protection locked="0"/>
    </xf>
    <xf numFmtId="0" fontId="0" fillId="0" borderId="132" xfId="0" applyBorder="1" applyProtection="1">
      <protection locked="0"/>
    </xf>
    <xf numFmtId="165" fontId="2" fillId="0" borderId="0" xfId="0" applyNumberFormat="1" applyFont="1" applyAlignment="1" applyProtection="1">
      <alignment horizontal="center"/>
      <protection locked="0"/>
    </xf>
    <xf numFmtId="0" fontId="0" fillId="0" borderId="73" xfId="0" applyBorder="1" applyProtection="1">
      <protection locked="0"/>
    </xf>
    <xf numFmtId="0" fontId="0" fillId="0" borderId="170" xfId="0" applyBorder="1" applyProtection="1">
      <protection locked="0"/>
    </xf>
    <xf numFmtId="0" fontId="4" fillId="0" borderId="10" xfId="0" applyFont="1" applyBorder="1" applyProtection="1">
      <protection locked="0"/>
    </xf>
    <xf numFmtId="0" fontId="0" fillId="0" borderId="104" xfId="0" applyBorder="1" applyProtection="1">
      <protection locked="0"/>
    </xf>
    <xf numFmtId="0" fontId="1" fillId="0" borderId="27" xfId="0" applyFont="1" applyBorder="1" applyProtection="1">
      <protection locked="0"/>
    </xf>
    <xf numFmtId="0" fontId="0" fillId="0" borderId="105" xfId="0" applyBorder="1" applyProtection="1">
      <protection locked="0"/>
    </xf>
    <xf numFmtId="0" fontId="2" fillId="0" borderId="33" xfId="0" applyFont="1" applyBorder="1" applyAlignment="1" applyProtection="1">
      <alignment horizontal="left"/>
      <protection locked="0"/>
    </xf>
    <xf numFmtId="0" fontId="2" fillId="0" borderId="34" xfId="0" applyFont="1" applyBorder="1" applyProtection="1">
      <protection locked="0"/>
    </xf>
    <xf numFmtId="165" fontId="0" fillId="0" borderId="12" xfId="0" applyNumberFormat="1" applyBorder="1" applyProtection="1">
      <protection locked="0"/>
    </xf>
    <xf numFmtId="165" fontId="0" fillId="0" borderId="23" xfId="0" applyNumberFormat="1" applyBorder="1" applyProtection="1">
      <protection locked="0"/>
    </xf>
    <xf numFmtId="165" fontId="2" fillId="6" borderId="164" xfId="0" applyNumberFormat="1" applyFont="1" applyFill="1" applyBorder="1" applyAlignment="1" applyProtection="1">
      <alignment horizontal="center"/>
      <protection locked="0"/>
    </xf>
    <xf numFmtId="0" fontId="2" fillId="0" borderId="5" xfId="0" applyFont="1" applyBorder="1" applyAlignment="1" applyProtection="1">
      <alignment horizontal="center"/>
      <protection locked="0"/>
    </xf>
    <xf numFmtId="173" fontId="2" fillId="0" borderId="164" xfId="0" applyNumberFormat="1" applyFont="1" applyBorder="1" applyAlignment="1" applyProtection="1">
      <alignment horizontal="center"/>
      <protection locked="0"/>
    </xf>
    <xf numFmtId="173" fontId="2" fillId="0" borderId="90" xfId="0" applyNumberFormat="1" applyFont="1" applyBorder="1" applyAlignment="1" applyProtection="1">
      <alignment horizontal="center"/>
      <protection locked="0"/>
    </xf>
    <xf numFmtId="173" fontId="2" fillId="0" borderId="3" xfId="0" applyNumberFormat="1" applyFont="1" applyBorder="1" applyAlignment="1" applyProtection="1">
      <alignment horizontal="center"/>
      <protection locked="0"/>
    </xf>
    <xf numFmtId="173" fontId="2" fillId="0" borderId="0" xfId="0" applyNumberFormat="1" applyFont="1" applyAlignment="1" applyProtection="1">
      <alignment horizontal="center"/>
      <protection locked="0"/>
    </xf>
    <xf numFmtId="173" fontId="2" fillId="0" borderId="7" xfId="0" applyNumberFormat="1" applyFont="1" applyBorder="1" applyAlignment="1" applyProtection="1">
      <alignment horizontal="center"/>
      <protection locked="0"/>
    </xf>
    <xf numFmtId="165" fontId="0" fillId="0" borderId="164" xfId="0" applyNumberFormat="1" applyBorder="1" applyProtection="1">
      <protection locked="0"/>
    </xf>
    <xf numFmtId="165" fontId="0" fillId="0" borderId="90" xfId="0" applyNumberFormat="1" applyBorder="1" applyProtection="1">
      <protection locked="0"/>
    </xf>
    <xf numFmtId="165" fontId="0" fillId="0" borderId="95" xfId="0" applyNumberFormat="1" applyBorder="1" applyProtection="1">
      <protection locked="0"/>
    </xf>
    <xf numFmtId="164" fontId="2" fillId="14" borderId="168" xfId="0" applyNumberFormat="1" applyFont="1" applyFill="1" applyBorder="1" applyProtection="1">
      <protection locked="0"/>
    </xf>
    <xf numFmtId="164" fontId="2" fillId="14" borderId="130" xfId="0" applyNumberFormat="1" applyFont="1" applyFill="1" applyBorder="1" applyProtection="1">
      <protection locked="0"/>
    </xf>
    <xf numFmtId="164" fontId="2" fillId="10" borderId="0" xfId="0" applyNumberFormat="1" applyFont="1" applyFill="1" applyProtection="1">
      <protection locked="0"/>
    </xf>
    <xf numFmtId="17" fontId="2" fillId="8" borderId="169" xfId="0" applyNumberFormat="1" applyFont="1" applyFill="1" applyBorder="1" applyAlignment="1" applyProtection="1">
      <alignment horizontal="center"/>
      <protection locked="0"/>
    </xf>
    <xf numFmtId="165" fontId="2" fillId="6" borderId="169" xfId="0" applyNumberFormat="1" applyFont="1" applyFill="1" applyBorder="1" applyProtection="1">
      <protection locked="0"/>
    </xf>
    <xf numFmtId="0" fontId="0" fillId="0" borderId="172" xfId="0" applyBorder="1" applyProtection="1">
      <protection locked="0"/>
    </xf>
    <xf numFmtId="165" fontId="0" fillId="0" borderId="177" xfId="0" applyNumberFormat="1" applyBorder="1" applyProtection="1">
      <protection locked="0"/>
    </xf>
    <xf numFmtId="173" fontId="2" fillId="0" borderId="95" xfId="0" applyNumberFormat="1" applyFont="1" applyBorder="1" applyAlignment="1" applyProtection="1">
      <alignment horizontal="center"/>
      <protection locked="0"/>
    </xf>
    <xf numFmtId="165" fontId="0" fillId="0" borderId="182" xfId="0" applyNumberFormat="1" applyBorder="1" applyProtection="1">
      <protection locked="0"/>
    </xf>
    <xf numFmtId="0" fontId="0" fillId="0" borderId="71" xfId="0" applyBorder="1" applyAlignment="1">
      <alignment horizontal="center"/>
    </xf>
    <xf numFmtId="166" fontId="4" fillId="0" borderId="183" xfId="0" applyNumberFormat="1" applyFont="1" applyBorder="1" applyAlignment="1">
      <alignment horizontal="center"/>
    </xf>
    <xf numFmtId="0" fontId="2" fillId="0" borderId="175" xfId="0" applyFont="1" applyBorder="1" applyAlignment="1">
      <alignment horizontal="center"/>
    </xf>
    <xf numFmtId="165" fontId="4" fillId="0" borderId="184" xfId="0" applyNumberFormat="1" applyFont="1" applyBorder="1" applyAlignment="1">
      <alignment horizontal="center"/>
    </xf>
    <xf numFmtId="165" fontId="2" fillId="0" borderId="184" xfId="0" applyNumberFormat="1" applyFont="1" applyBorder="1" applyAlignment="1">
      <alignment horizontal="center"/>
    </xf>
    <xf numFmtId="165" fontId="0" fillId="0" borderId="27" xfId="0" applyNumberFormat="1" applyBorder="1" applyProtection="1">
      <protection locked="0"/>
    </xf>
    <xf numFmtId="164" fontId="0" fillId="0" borderId="12" xfId="0" applyNumberFormat="1" applyBorder="1" applyProtection="1">
      <protection locked="0"/>
    </xf>
    <xf numFmtId="165" fontId="0" fillId="0" borderId="148" xfId="0" applyNumberFormat="1" applyBorder="1" applyProtection="1">
      <protection locked="0"/>
    </xf>
    <xf numFmtId="165" fontId="0" fillId="0" borderId="181" xfId="0" applyNumberFormat="1" applyBorder="1" applyProtection="1">
      <protection locked="0"/>
    </xf>
    <xf numFmtId="165" fontId="0" fillId="0" borderId="103" xfId="0" applyNumberFormat="1" applyBorder="1" applyProtection="1">
      <protection locked="0"/>
    </xf>
    <xf numFmtId="165" fontId="0" fillId="0" borderId="39" xfId="0" applyNumberFormat="1" applyBorder="1" applyProtection="1">
      <protection locked="0"/>
    </xf>
    <xf numFmtId="165" fontId="0" fillId="0" borderId="3" xfId="0" applyNumberFormat="1" applyBorder="1" applyProtection="1">
      <protection locked="0"/>
    </xf>
    <xf numFmtId="0" fontId="2" fillId="6" borderId="3" xfId="0" applyFont="1" applyFill="1" applyBorder="1"/>
    <xf numFmtId="0" fontId="0" fillId="6" borderId="0" xfId="0" applyFill="1"/>
    <xf numFmtId="0" fontId="2" fillId="6" borderId="27" xfId="0" applyFont="1" applyFill="1" applyBorder="1" applyAlignment="1">
      <alignment horizontal="center"/>
    </xf>
    <xf numFmtId="0" fontId="2" fillId="6" borderId="51" xfId="0" applyFont="1" applyFill="1" applyBorder="1" applyAlignment="1">
      <alignment horizontal="center"/>
    </xf>
    <xf numFmtId="0" fontId="2" fillId="6" borderId="39" xfId="0" applyFont="1" applyFill="1" applyBorder="1" applyAlignment="1">
      <alignment horizontal="center"/>
    </xf>
    <xf numFmtId="0" fontId="2" fillId="6" borderId="7" xfId="0" applyFont="1" applyFill="1" applyBorder="1" applyAlignment="1">
      <alignment horizontal="center"/>
    </xf>
    <xf numFmtId="164" fontId="2" fillId="0" borderId="0" xfId="0" applyNumberFormat="1" applyFont="1" applyAlignment="1">
      <alignment horizontal="center"/>
    </xf>
    <xf numFmtId="10" fontId="2" fillId="0" borderId="0" xfId="0" applyNumberFormat="1" applyFont="1" applyAlignment="1" applyProtection="1">
      <alignment horizontal="center"/>
      <protection locked="0"/>
    </xf>
    <xf numFmtId="165" fontId="0" fillId="0" borderId="183" xfId="0" applyNumberFormat="1" applyBorder="1" applyProtection="1">
      <protection locked="0"/>
    </xf>
    <xf numFmtId="164" fontId="2" fillId="6" borderId="130" xfId="0" applyNumberFormat="1" applyFont="1" applyFill="1" applyBorder="1" applyProtection="1">
      <protection locked="0"/>
    </xf>
    <xf numFmtId="164" fontId="2" fillId="6" borderId="169" xfId="0" applyNumberFormat="1" applyFont="1" applyFill="1" applyBorder="1" applyProtection="1">
      <protection locked="0"/>
    </xf>
    <xf numFmtId="165" fontId="2" fillId="0" borderId="101" xfId="0" applyNumberFormat="1" applyFont="1" applyBorder="1" applyAlignment="1" applyProtection="1">
      <alignment horizontal="center"/>
      <protection locked="0"/>
    </xf>
    <xf numFmtId="165" fontId="2" fillId="0" borderId="31" xfId="0" applyNumberFormat="1" applyFont="1" applyBorder="1" applyAlignment="1" applyProtection="1">
      <alignment horizontal="center"/>
      <protection locked="0"/>
    </xf>
    <xf numFmtId="165" fontId="2" fillId="0" borderId="162" xfId="0" applyNumberFormat="1" applyFont="1" applyBorder="1" applyAlignment="1" applyProtection="1">
      <alignment horizontal="center"/>
      <protection locked="0"/>
    </xf>
    <xf numFmtId="165" fontId="2" fillId="0" borderId="153" xfId="0" applyNumberFormat="1" applyFont="1" applyBorder="1" applyAlignment="1" applyProtection="1">
      <alignment horizontal="center"/>
      <protection locked="0"/>
    </xf>
    <xf numFmtId="165" fontId="2" fillId="14" borderId="168" xfId="0" applyNumberFormat="1" applyFont="1" applyFill="1" applyBorder="1" applyProtection="1">
      <protection locked="0"/>
    </xf>
    <xf numFmtId="165" fontId="2" fillId="14" borderId="35" xfId="0" applyNumberFormat="1" applyFont="1" applyFill="1" applyBorder="1" applyProtection="1">
      <protection locked="0"/>
    </xf>
    <xf numFmtId="165" fontId="2" fillId="16" borderId="99" xfId="0" applyNumberFormat="1" applyFont="1" applyFill="1" applyBorder="1" applyAlignment="1" applyProtection="1">
      <alignment horizontal="center"/>
      <protection locked="0"/>
    </xf>
    <xf numFmtId="165" fontId="2" fillId="16" borderId="162" xfId="0" applyNumberFormat="1" applyFont="1" applyFill="1" applyBorder="1" applyAlignment="1" applyProtection="1">
      <alignment horizontal="center"/>
      <protection locked="0"/>
    </xf>
    <xf numFmtId="165" fontId="2" fillId="16" borderId="114" xfId="0" applyNumberFormat="1" applyFont="1" applyFill="1" applyBorder="1" applyAlignment="1" applyProtection="1">
      <alignment horizontal="center"/>
      <protection locked="0"/>
    </xf>
    <xf numFmtId="165" fontId="2" fillId="14" borderId="36" xfId="0" applyNumberFormat="1" applyFont="1" applyFill="1" applyBorder="1" applyAlignment="1" applyProtection="1">
      <alignment horizontal="center"/>
      <protection locked="0"/>
    </xf>
    <xf numFmtId="165" fontId="2" fillId="14" borderId="54" xfId="0" applyNumberFormat="1" applyFont="1" applyFill="1" applyBorder="1" applyAlignment="1" applyProtection="1">
      <alignment horizontal="center"/>
      <protection locked="0"/>
    </xf>
    <xf numFmtId="165" fontId="2" fillId="14" borderId="95" xfId="0" applyNumberFormat="1" applyFont="1" applyFill="1" applyBorder="1" applyAlignment="1" applyProtection="1">
      <alignment horizontal="center"/>
      <protection locked="0"/>
    </xf>
    <xf numFmtId="0" fontId="2" fillId="14" borderId="36" xfId="0" applyFont="1" applyFill="1" applyBorder="1" applyAlignment="1" applyProtection="1">
      <alignment horizontal="center"/>
      <protection locked="0"/>
    </xf>
    <xf numFmtId="0" fontId="2" fillId="8" borderId="168" xfId="0" applyFont="1" applyFill="1" applyBorder="1" applyAlignment="1" applyProtection="1">
      <alignment horizontal="center"/>
      <protection locked="0"/>
    </xf>
    <xf numFmtId="0" fontId="2" fillId="16" borderId="169" xfId="0" applyFont="1" applyFill="1" applyBorder="1" applyAlignment="1" applyProtection="1">
      <alignment horizontal="center"/>
      <protection locked="0"/>
    </xf>
    <xf numFmtId="165" fontId="0" fillId="16" borderId="31" xfId="0" applyNumberFormat="1" applyFill="1" applyBorder="1" applyAlignment="1" applyProtection="1">
      <alignment horizontal="center"/>
      <protection locked="0"/>
    </xf>
    <xf numFmtId="165" fontId="0" fillId="16" borderId="15" xfId="0" applyNumberFormat="1" applyFill="1" applyBorder="1" applyAlignment="1" applyProtection="1">
      <alignment horizontal="center"/>
      <protection locked="0"/>
    </xf>
    <xf numFmtId="165" fontId="0" fillId="16" borderId="24" xfId="0" applyNumberFormat="1" applyFill="1" applyBorder="1" applyAlignment="1" applyProtection="1">
      <alignment horizontal="center"/>
      <protection locked="0"/>
    </xf>
    <xf numFmtId="0" fontId="1" fillId="0" borderId="97" xfId="0" applyFont="1" applyBorder="1"/>
    <xf numFmtId="0" fontId="9" fillId="6" borderId="76" xfId="0" applyFont="1" applyFill="1" applyBorder="1" applyAlignment="1">
      <alignment horizontal="left"/>
    </xf>
    <xf numFmtId="0" fontId="0" fillId="6" borderId="77" xfId="0" applyFill="1" applyBorder="1"/>
    <xf numFmtId="0" fontId="18" fillId="6" borderId="76" xfId="0" applyFont="1" applyFill="1" applyBorder="1"/>
    <xf numFmtId="0" fontId="0" fillId="6" borderId="76" xfId="0" applyFill="1" applyBorder="1"/>
    <xf numFmtId="0" fontId="0" fillId="6" borderId="76" xfId="0" applyFill="1" applyBorder="1" applyProtection="1">
      <protection locked="0"/>
    </xf>
    <xf numFmtId="0" fontId="0" fillId="6" borderId="0" xfId="0" applyFill="1" applyProtection="1">
      <protection locked="0"/>
    </xf>
    <xf numFmtId="0" fontId="0" fillId="6" borderId="77" xfId="0" applyFill="1" applyBorder="1" applyProtection="1">
      <protection locked="0"/>
    </xf>
    <xf numFmtId="0" fontId="0" fillId="6" borderId="78" xfId="0" applyFill="1" applyBorder="1" applyProtection="1">
      <protection locked="0"/>
    </xf>
    <xf numFmtId="0" fontId="0" fillId="6" borderId="79" xfId="0" applyFill="1" applyBorder="1" applyProtection="1">
      <protection locked="0"/>
    </xf>
    <xf numFmtId="0" fontId="0" fillId="6" borderId="80" xfId="0" applyFill="1" applyBorder="1" applyProtection="1">
      <protection locked="0"/>
    </xf>
    <xf numFmtId="3" fontId="2" fillId="6" borderId="4" xfId="0" applyNumberFormat="1" applyFont="1" applyFill="1" applyBorder="1" applyProtection="1">
      <protection locked="0"/>
    </xf>
    <xf numFmtId="3" fontId="2" fillId="6" borderId="119" xfId="0" applyNumberFormat="1" applyFont="1" applyFill="1" applyBorder="1" applyProtection="1">
      <protection locked="0"/>
    </xf>
    <xf numFmtId="172" fontId="2" fillId="6" borderId="4" xfId="0" applyNumberFormat="1" applyFont="1" applyFill="1" applyBorder="1" applyProtection="1">
      <protection locked="0"/>
    </xf>
    <xf numFmtId="172" fontId="2" fillId="6" borderId="119" xfId="0" applyNumberFormat="1" applyFont="1" applyFill="1" applyBorder="1" applyProtection="1">
      <protection locked="0"/>
    </xf>
    <xf numFmtId="3" fontId="27" fillId="6" borderId="4" xfId="0" applyNumberFormat="1" applyFont="1" applyFill="1" applyBorder="1" applyProtection="1">
      <protection locked="0"/>
    </xf>
    <xf numFmtId="3" fontId="27" fillId="6" borderId="119" xfId="0" applyNumberFormat="1" applyFont="1" applyFill="1" applyBorder="1" applyProtection="1">
      <protection locked="0"/>
    </xf>
    <xf numFmtId="3" fontId="5" fillId="6" borderId="4" xfId="0" applyNumberFormat="1" applyFont="1" applyFill="1" applyBorder="1" applyProtection="1">
      <protection locked="0"/>
    </xf>
    <xf numFmtId="3" fontId="5" fillId="6" borderId="119" xfId="0" applyNumberFormat="1" applyFont="1" applyFill="1" applyBorder="1" applyProtection="1">
      <protection locked="0"/>
    </xf>
    <xf numFmtId="165" fontId="2" fillId="6" borderId="4" xfId="0" applyNumberFormat="1" applyFont="1" applyFill="1" applyBorder="1" applyProtection="1">
      <protection locked="0"/>
    </xf>
    <xf numFmtId="165" fontId="2" fillId="6" borderId="119" xfId="0" applyNumberFormat="1" applyFont="1" applyFill="1" applyBorder="1" applyProtection="1">
      <protection locked="0"/>
    </xf>
    <xf numFmtId="9" fontId="2" fillId="6" borderId="4" xfId="0" applyNumberFormat="1" applyFont="1" applyFill="1" applyBorder="1" applyAlignment="1" applyProtection="1">
      <alignment horizontal="right"/>
      <protection locked="0"/>
    </xf>
    <xf numFmtId="9" fontId="2" fillId="6" borderId="119" xfId="0" applyNumberFormat="1" applyFont="1" applyFill="1" applyBorder="1" applyAlignment="1" applyProtection="1">
      <alignment horizontal="right"/>
      <protection locked="0"/>
    </xf>
    <xf numFmtId="1" fontId="2" fillId="0" borderId="127" xfId="0" applyNumberFormat="1" applyFont="1" applyBorder="1" applyAlignment="1">
      <alignment horizontal="center"/>
    </xf>
    <xf numFmtId="1" fontId="2" fillId="0" borderId="44" xfId="0" applyNumberFormat="1" applyFont="1" applyBorder="1" applyAlignment="1">
      <alignment horizontal="center"/>
    </xf>
    <xf numFmtId="0" fontId="2" fillId="17" borderId="3" xfId="0" applyFont="1" applyFill="1" applyBorder="1"/>
    <xf numFmtId="0" fontId="0" fillId="17" borderId="0" xfId="0" applyFill="1"/>
    <xf numFmtId="0" fontId="2" fillId="17" borderId="27" xfId="0" applyFont="1" applyFill="1" applyBorder="1" applyAlignment="1">
      <alignment horizontal="center"/>
    </xf>
    <xf numFmtId="0" fontId="2" fillId="17" borderId="87" xfId="0" applyFont="1" applyFill="1" applyBorder="1" applyAlignment="1">
      <alignment horizontal="center"/>
    </xf>
    <xf numFmtId="166" fontId="0" fillId="0" borderId="1" xfId="0" applyNumberFormat="1" applyBorder="1" applyAlignment="1">
      <alignment horizontal="center"/>
    </xf>
    <xf numFmtId="166" fontId="0" fillId="0" borderId="2" xfId="0" applyNumberFormat="1" applyBorder="1" applyAlignment="1">
      <alignment horizontal="center"/>
    </xf>
    <xf numFmtId="166" fontId="0" fillId="0" borderId="6" xfId="0" applyNumberFormat="1" applyBorder="1" applyAlignment="1">
      <alignment horizontal="center"/>
    </xf>
    <xf numFmtId="166" fontId="0" fillId="0" borderId="88" xfId="0" applyNumberFormat="1" applyBorder="1" applyAlignment="1">
      <alignment horizontal="center"/>
    </xf>
    <xf numFmtId="0" fontId="0" fillId="17" borderId="33" xfId="0" applyFill="1" applyBorder="1"/>
    <xf numFmtId="0" fontId="2" fillId="17" borderId="34" xfId="0" applyFont="1" applyFill="1" applyBorder="1" applyAlignment="1">
      <alignment horizontal="right"/>
    </xf>
    <xf numFmtId="166" fontId="2" fillId="17" borderId="74" xfId="0" applyNumberFormat="1" applyFont="1" applyFill="1" applyBorder="1" applyAlignment="1">
      <alignment horizontal="right"/>
    </xf>
    <xf numFmtId="166" fontId="2" fillId="17" borderId="44" xfId="0" applyNumberFormat="1" applyFont="1" applyFill="1" applyBorder="1" applyAlignment="1">
      <alignment horizontal="right"/>
    </xf>
    <xf numFmtId="8" fontId="2" fillId="0" borderId="69" xfId="0" applyNumberFormat="1" applyFont="1" applyBorder="1" applyAlignment="1">
      <alignment horizontal="right"/>
    </xf>
    <xf numFmtId="8" fontId="2" fillId="0" borderId="94" xfId="0" applyNumberFormat="1" applyFont="1" applyBorder="1" applyAlignment="1">
      <alignment horizontal="right"/>
    </xf>
    <xf numFmtId="0" fontId="0" fillId="17" borderId="3" xfId="0" applyFill="1" applyBorder="1"/>
    <xf numFmtId="0" fontId="2" fillId="17" borderId="0" xfId="0" applyFont="1" applyFill="1"/>
    <xf numFmtId="8" fontId="2" fillId="17" borderId="27" xfId="0" applyNumberFormat="1" applyFont="1" applyFill="1" applyBorder="1" applyAlignment="1">
      <alignment horizontal="right"/>
    </xf>
    <xf numFmtId="8" fontId="2" fillId="17" borderId="87" xfId="0" applyNumberFormat="1" applyFont="1" applyFill="1" applyBorder="1" applyAlignment="1">
      <alignment horizontal="right"/>
    </xf>
    <xf numFmtId="0" fontId="2" fillId="17" borderId="34" xfId="0" applyFont="1" applyFill="1" applyBorder="1"/>
    <xf numFmtId="8" fontId="2" fillId="17" borderId="127" xfId="0" applyNumberFormat="1" applyFont="1" applyFill="1" applyBorder="1" applyAlignment="1">
      <alignment horizontal="right"/>
    </xf>
    <xf numFmtId="8" fontId="2" fillId="17" borderId="44" xfId="0" applyNumberFormat="1" applyFont="1" applyFill="1" applyBorder="1" applyAlignment="1">
      <alignment horizontal="right"/>
    </xf>
    <xf numFmtId="1" fontId="2" fillId="0" borderId="130" xfId="0" applyNumberFormat="1" applyFont="1" applyBorder="1" applyAlignment="1">
      <alignment horizontal="center"/>
    </xf>
    <xf numFmtId="1" fontId="2" fillId="0" borderId="36" xfId="0" applyNumberFormat="1" applyFont="1" applyBorder="1" applyAlignment="1">
      <alignment horizontal="center"/>
    </xf>
    <xf numFmtId="166" fontId="0" fillId="0" borderId="127" xfId="0" applyNumberFormat="1" applyBorder="1" applyAlignment="1">
      <alignment horizontal="center"/>
    </xf>
    <xf numFmtId="166" fontId="0" fillId="0" borderId="130" xfId="0" applyNumberFormat="1" applyBorder="1" applyAlignment="1">
      <alignment horizontal="center"/>
    </xf>
    <xf numFmtId="166" fontId="0" fillId="0" borderId="36" xfId="0" applyNumberFormat="1" applyBorder="1" applyAlignment="1">
      <alignment horizontal="center"/>
    </xf>
    <xf numFmtId="8" fontId="2" fillId="13" borderId="30" xfId="0" applyNumberFormat="1" applyFont="1" applyFill="1" applyBorder="1" applyAlignment="1">
      <alignment horizontal="right"/>
    </xf>
    <xf numFmtId="8" fontId="2" fillId="0" borderId="150" xfId="0" applyNumberFormat="1" applyFont="1" applyBorder="1" applyAlignment="1">
      <alignment horizontal="right"/>
    </xf>
    <xf numFmtId="8" fontId="2" fillId="0" borderId="122" xfId="0" applyNumberFormat="1" applyFont="1" applyBorder="1" applyAlignment="1">
      <alignment horizontal="right"/>
    </xf>
    <xf numFmtId="8" fontId="2" fillId="0" borderId="153" xfId="0" applyNumberFormat="1" applyFont="1" applyBorder="1" applyAlignment="1">
      <alignment horizontal="right"/>
    </xf>
    <xf numFmtId="0" fontId="2" fillId="13" borderId="0" xfId="0" applyFont="1" applyFill="1"/>
    <xf numFmtId="8" fontId="2" fillId="13" borderId="27" xfId="0" applyNumberFormat="1" applyFont="1" applyFill="1" applyBorder="1" applyAlignment="1">
      <alignment horizontal="right"/>
    </xf>
    <xf numFmtId="8" fontId="2" fillId="13" borderId="31" xfId="0" applyNumberFormat="1" applyFont="1" applyFill="1" applyBorder="1" applyAlignment="1">
      <alignment horizontal="right"/>
    </xf>
    <xf numFmtId="0" fontId="2" fillId="13" borderId="34" xfId="0" applyFont="1" applyFill="1" applyBorder="1"/>
    <xf numFmtId="8" fontId="2" fillId="13" borderId="127" xfId="0" applyNumberFormat="1" applyFont="1" applyFill="1" applyBorder="1" applyAlignment="1">
      <alignment horizontal="right"/>
    </xf>
    <xf numFmtId="8" fontId="2" fillId="13" borderId="130" xfId="0" applyNumberFormat="1" applyFont="1" applyFill="1" applyBorder="1" applyAlignment="1">
      <alignment horizontal="right"/>
    </xf>
    <xf numFmtId="8" fontId="2" fillId="13" borderId="36" xfId="0" applyNumberFormat="1" applyFont="1" applyFill="1" applyBorder="1" applyAlignment="1">
      <alignment horizontal="right"/>
    </xf>
    <xf numFmtId="166" fontId="2" fillId="6" borderId="4" xfId="0" applyNumberFormat="1" applyFont="1" applyFill="1" applyBorder="1" applyProtection="1">
      <protection locked="0"/>
    </xf>
    <xf numFmtId="166" fontId="2" fillId="6" borderId="119" xfId="0" applyNumberFormat="1" applyFont="1" applyFill="1" applyBorder="1" applyProtection="1">
      <protection locked="0"/>
    </xf>
    <xf numFmtId="3" fontId="2" fillId="6" borderId="185" xfId="0" applyNumberFormat="1" applyFont="1" applyFill="1" applyBorder="1" applyProtection="1">
      <protection locked="0"/>
    </xf>
    <xf numFmtId="1" fontId="2" fillId="6" borderId="4" xfId="0" applyNumberFormat="1" applyFont="1" applyFill="1" applyBorder="1" applyProtection="1">
      <protection locked="0"/>
    </xf>
    <xf numFmtId="1" fontId="2" fillId="6" borderId="119" xfId="0" applyNumberFormat="1" applyFont="1" applyFill="1" applyBorder="1" applyProtection="1">
      <protection locked="0"/>
    </xf>
    <xf numFmtId="169" fontId="2" fillId="6" borderId="4" xfId="0" applyNumberFormat="1" applyFont="1" applyFill="1" applyBorder="1" applyProtection="1">
      <protection locked="0"/>
    </xf>
    <xf numFmtId="0" fontId="4" fillId="6" borderId="23" xfId="0" applyFont="1" applyFill="1" applyBorder="1" applyProtection="1">
      <protection locked="0"/>
    </xf>
    <xf numFmtId="0" fontId="4" fillId="6" borderId="39" xfId="0" applyFont="1" applyFill="1" applyBorder="1" applyProtection="1">
      <protection locked="0"/>
    </xf>
    <xf numFmtId="0" fontId="4" fillId="6" borderId="30" xfId="0" applyFont="1" applyFill="1" applyBorder="1" applyProtection="1">
      <protection locked="0"/>
    </xf>
    <xf numFmtId="0" fontId="2" fillId="6" borderId="4" xfId="0" applyFont="1" applyFill="1" applyBorder="1" applyProtection="1">
      <protection locked="0"/>
    </xf>
    <xf numFmtId="0" fontId="2" fillId="6" borderId="0" xfId="0" applyFont="1" applyFill="1" applyProtection="1">
      <protection locked="0"/>
    </xf>
    <xf numFmtId="2" fontId="2" fillId="6" borderId="4" xfId="0" applyNumberFormat="1" applyFont="1" applyFill="1" applyBorder="1" applyProtection="1">
      <protection locked="0"/>
    </xf>
    <xf numFmtId="1" fontId="2" fillId="6" borderId="4" xfId="0" applyNumberFormat="1" applyFont="1" applyFill="1" applyBorder="1" applyAlignment="1" applyProtection="1">
      <alignment horizontal="right"/>
      <protection locked="0"/>
    </xf>
    <xf numFmtId="166" fontId="2" fillId="6" borderId="4" xfId="0" applyNumberFormat="1" applyFont="1" applyFill="1" applyBorder="1" applyAlignment="1" applyProtection="1">
      <alignment horizontal="right"/>
      <protection locked="0"/>
    </xf>
    <xf numFmtId="168" fontId="2" fillId="6" borderId="4" xfId="0" applyNumberFormat="1" applyFont="1" applyFill="1" applyBorder="1" applyProtection="1">
      <protection locked="0"/>
    </xf>
    <xf numFmtId="2" fontId="2" fillId="6" borderId="23" xfId="0" applyNumberFormat="1" applyFont="1" applyFill="1" applyBorder="1" applyProtection="1">
      <protection locked="0"/>
    </xf>
    <xf numFmtId="165" fontId="13" fillId="6" borderId="4" xfId="0" applyNumberFormat="1" applyFont="1" applyFill="1" applyBorder="1" applyProtection="1">
      <protection locked="0"/>
    </xf>
    <xf numFmtId="10" fontId="2" fillId="6" borderId="4" xfId="0" applyNumberFormat="1" applyFont="1" applyFill="1" applyBorder="1" applyProtection="1">
      <protection locked="0"/>
    </xf>
    <xf numFmtId="165" fontId="27" fillId="6" borderId="4" xfId="0" applyNumberFormat="1" applyFont="1" applyFill="1" applyBorder="1" applyProtection="1">
      <protection locked="0"/>
    </xf>
    <xf numFmtId="4" fontId="2" fillId="6" borderId="4" xfId="0" applyNumberFormat="1" applyFont="1" applyFill="1" applyBorder="1" applyProtection="1">
      <protection locked="0"/>
    </xf>
    <xf numFmtId="165" fontId="2" fillId="0" borderId="51" xfId="0" applyNumberFormat="1" applyFont="1" applyBorder="1"/>
    <xf numFmtId="0" fontId="35" fillId="0" borderId="0" xfId="0" applyFont="1"/>
    <xf numFmtId="3" fontId="26" fillId="0" borderId="0" xfId="0" applyNumberFormat="1" applyFont="1"/>
    <xf numFmtId="165" fontId="26" fillId="0" borderId="0" xfId="0" applyNumberFormat="1" applyFont="1"/>
    <xf numFmtId="0" fontId="26" fillId="8" borderId="97" xfId="0" applyFont="1" applyFill="1" applyBorder="1" applyAlignment="1">
      <alignment horizontal="center"/>
    </xf>
    <xf numFmtId="0" fontId="26" fillId="8" borderId="25" xfId="0" applyFont="1" applyFill="1" applyBorder="1" applyAlignment="1">
      <alignment horizontal="center"/>
    </xf>
    <xf numFmtId="0" fontId="26" fillId="8" borderId="46" xfId="0" applyFont="1" applyFill="1" applyBorder="1" applyAlignment="1">
      <alignment horizontal="center"/>
    </xf>
    <xf numFmtId="169" fontId="2" fillId="6" borderId="185" xfId="0" applyNumberFormat="1" applyFont="1" applyFill="1" applyBorder="1" applyProtection="1">
      <protection locked="0"/>
    </xf>
    <xf numFmtId="3" fontId="2" fillId="0" borderId="47" xfId="0" applyNumberFormat="1" applyFont="1" applyBorder="1" applyAlignment="1" applyProtection="1">
      <alignment horizontal="center"/>
      <protection locked="0"/>
    </xf>
    <xf numFmtId="3" fontId="2" fillId="0" borderId="61" xfId="0" applyNumberFormat="1" applyFont="1" applyBorder="1" applyAlignment="1" applyProtection="1">
      <alignment horizontal="center"/>
      <protection locked="0"/>
    </xf>
    <xf numFmtId="0" fontId="0" fillId="0" borderId="103" xfId="0" applyBorder="1" applyProtection="1">
      <protection locked="0"/>
    </xf>
    <xf numFmtId="3" fontId="2" fillId="0" borderId="119" xfId="0" applyNumberFormat="1" applyFont="1" applyBorder="1" applyAlignment="1" applyProtection="1">
      <alignment horizontal="center"/>
      <protection locked="0"/>
    </xf>
    <xf numFmtId="0" fontId="0" fillId="0" borderId="121" xfId="0" applyBorder="1" applyProtection="1">
      <protection locked="0"/>
    </xf>
    <xf numFmtId="3" fontId="2" fillId="0" borderId="117" xfId="0" applyNumberFormat="1" applyFont="1" applyBorder="1" applyAlignment="1" applyProtection="1">
      <alignment horizontal="center"/>
      <protection locked="0"/>
    </xf>
    <xf numFmtId="168" fontId="2" fillId="0" borderId="4" xfId="0" applyNumberFormat="1" applyFont="1" applyBorder="1" applyAlignment="1" applyProtection="1">
      <alignment horizontal="center"/>
      <protection locked="0"/>
    </xf>
    <xf numFmtId="169" fontId="2" fillId="0" borderId="119" xfId="0" applyNumberFormat="1" applyFont="1" applyBorder="1" applyAlignment="1" applyProtection="1">
      <alignment horizontal="center"/>
      <protection locked="0"/>
    </xf>
    <xf numFmtId="169" fontId="2" fillId="0" borderId="4" xfId="0" applyNumberFormat="1" applyFont="1" applyBorder="1" applyAlignment="1" applyProtection="1">
      <alignment horizontal="center"/>
      <protection locked="0"/>
    </xf>
    <xf numFmtId="3" fontId="0" fillId="0" borderId="23" xfId="0" applyNumberFormat="1" applyBorder="1" applyProtection="1">
      <protection locked="0"/>
    </xf>
    <xf numFmtId="3" fontId="4" fillId="0" borderId="23" xfId="0" applyNumberFormat="1" applyFont="1" applyBorder="1" applyProtection="1">
      <protection locked="0"/>
    </xf>
    <xf numFmtId="0" fontId="4" fillId="0" borderId="105" xfId="0" applyFont="1" applyBorder="1" applyProtection="1">
      <protection locked="0"/>
    </xf>
    <xf numFmtId="0" fontId="0" fillId="0" borderId="106" xfId="0" applyBorder="1" applyProtection="1">
      <protection locked="0"/>
    </xf>
    <xf numFmtId="3" fontId="0" fillId="0" borderId="107" xfId="0" applyNumberFormat="1" applyBorder="1" applyProtection="1">
      <protection locked="0"/>
    </xf>
    <xf numFmtId="3" fontId="2" fillId="0" borderId="107" xfId="0" applyNumberFormat="1" applyFont="1" applyBorder="1" applyAlignment="1" applyProtection="1">
      <alignment horizontal="center"/>
      <protection locked="0"/>
    </xf>
    <xf numFmtId="169" fontId="2" fillId="0" borderId="107" xfId="0" applyNumberFormat="1" applyFont="1" applyBorder="1" applyAlignment="1" applyProtection="1">
      <alignment horizontal="center"/>
      <protection locked="0"/>
    </xf>
    <xf numFmtId="169" fontId="2" fillId="0" borderId="106" xfId="0" applyNumberFormat="1" applyFont="1" applyBorder="1" applyAlignment="1" applyProtection="1">
      <alignment horizontal="center"/>
      <protection locked="0"/>
    </xf>
    <xf numFmtId="165" fontId="0" fillId="0" borderId="47" xfId="0" applyNumberFormat="1" applyBorder="1" applyProtection="1">
      <protection locked="0"/>
    </xf>
    <xf numFmtId="165" fontId="0" fillId="0" borderId="173" xfId="0" applyNumberFormat="1" applyBorder="1" applyProtection="1">
      <protection locked="0"/>
    </xf>
    <xf numFmtId="165" fontId="0" fillId="0" borderId="122" xfId="0" applyNumberFormat="1" applyBorder="1" applyProtection="1">
      <protection locked="0"/>
    </xf>
    <xf numFmtId="165" fontId="0" fillId="0" borderId="178" xfId="0" applyNumberFormat="1" applyBorder="1" applyProtection="1">
      <protection locked="0"/>
    </xf>
    <xf numFmtId="165" fontId="0" fillId="0" borderId="147" xfId="0" applyNumberFormat="1" applyBorder="1" applyProtection="1">
      <protection locked="0"/>
    </xf>
    <xf numFmtId="0" fontId="0" fillId="0" borderId="117" xfId="0" applyBorder="1" applyProtection="1">
      <protection locked="0"/>
    </xf>
    <xf numFmtId="165" fontId="0" fillId="0" borderId="180" xfId="0" applyNumberFormat="1" applyBorder="1" applyProtection="1">
      <protection locked="0"/>
    </xf>
    <xf numFmtId="165" fontId="0" fillId="0" borderId="120" xfId="0" applyNumberFormat="1" applyBorder="1" applyProtection="1">
      <protection locked="0"/>
    </xf>
    <xf numFmtId="169" fontId="2" fillId="6" borderId="4" xfId="0" applyNumberFormat="1" applyFont="1" applyFill="1" applyBorder="1" applyAlignment="1" applyProtection="1">
      <alignment horizontal="right"/>
      <protection locked="0"/>
    </xf>
    <xf numFmtId="169" fontId="2" fillId="6" borderId="119" xfId="0" applyNumberFormat="1" applyFont="1" applyFill="1" applyBorder="1" applyAlignment="1" applyProtection="1">
      <alignment horizontal="right"/>
      <protection locked="0"/>
    </xf>
    <xf numFmtId="3" fontId="26" fillId="0" borderId="0" xfId="0" applyNumberFormat="1" applyFont="1" applyAlignment="1">
      <alignment horizontal="right"/>
    </xf>
    <xf numFmtId="169" fontId="2" fillId="0" borderId="51" xfId="0" applyNumberFormat="1" applyFont="1" applyBorder="1" applyAlignment="1">
      <alignment horizontal="center"/>
    </xf>
    <xf numFmtId="0" fontId="5" fillId="8" borderId="186" xfId="0" applyFont="1" applyFill="1" applyBorder="1" applyAlignment="1">
      <alignment horizontal="center"/>
    </xf>
    <xf numFmtId="165" fontId="27" fillId="8" borderId="186" xfId="0" applyNumberFormat="1" applyFont="1" applyFill="1" applyBorder="1"/>
    <xf numFmtId="165" fontId="27" fillId="8" borderId="177" xfId="0" applyNumberFormat="1" applyFont="1" applyFill="1" applyBorder="1"/>
    <xf numFmtId="0" fontId="5" fillId="8" borderId="185" xfId="0" applyFont="1" applyFill="1" applyBorder="1" applyAlignment="1">
      <alignment horizontal="center"/>
    </xf>
    <xf numFmtId="166" fontId="5" fillId="8" borderId="185" xfId="0" applyNumberFormat="1" applyFont="1" applyFill="1" applyBorder="1" applyAlignment="1">
      <alignment horizontal="right"/>
    </xf>
    <xf numFmtId="166" fontId="5" fillId="8" borderId="174" xfId="0" applyNumberFormat="1" applyFont="1" applyFill="1" applyBorder="1" applyAlignment="1">
      <alignment horizontal="right"/>
    </xf>
    <xf numFmtId="0" fontId="5" fillId="4" borderId="183" xfId="0" applyFont="1" applyFill="1" applyBorder="1" applyAlignment="1">
      <alignment horizontal="center"/>
    </xf>
    <xf numFmtId="3" fontId="27" fillId="4" borderId="183" xfId="0" applyNumberFormat="1" applyFont="1" applyFill="1" applyBorder="1"/>
    <xf numFmtId="3" fontId="27" fillId="4" borderId="114" xfId="0" applyNumberFormat="1" applyFont="1" applyFill="1" applyBorder="1"/>
    <xf numFmtId="165" fontId="5" fillId="0" borderId="25" xfId="0" applyNumberFormat="1" applyFont="1" applyBorder="1"/>
    <xf numFmtId="165" fontId="26" fillId="0" borderId="28" xfId="0" applyNumberFormat="1" applyFont="1" applyBorder="1"/>
    <xf numFmtId="0" fontId="16" fillId="0" borderId="172" xfId="0" applyFont="1" applyBorder="1" applyAlignment="1">
      <alignment horizontal="left"/>
    </xf>
    <xf numFmtId="0" fontId="2" fillId="0" borderId="172" xfId="0" applyFont="1" applyBorder="1" applyAlignment="1">
      <alignment horizontal="center"/>
    </xf>
    <xf numFmtId="165" fontId="2" fillId="6" borderId="172" xfId="0" applyNumberFormat="1" applyFont="1" applyFill="1" applyBorder="1"/>
    <xf numFmtId="166" fontId="0" fillId="0" borderId="177" xfId="0" applyNumberFormat="1" applyBorder="1"/>
    <xf numFmtId="0" fontId="2" fillId="8" borderId="9" xfId="0" applyFont="1" applyFill="1" applyBorder="1" applyAlignment="1">
      <alignment horizontal="center"/>
    </xf>
    <xf numFmtId="0" fontId="2" fillId="8" borderId="4" xfId="0" applyFont="1" applyFill="1" applyBorder="1" applyAlignment="1">
      <alignment horizontal="center"/>
    </xf>
    <xf numFmtId="0" fontId="2" fillId="8" borderId="15" xfId="0" applyFont="1" applyFill="1" applyBorder="1" applyAlignment="1">
      <alignment horizontal="center"/>
    </xf>
    <xf numFmtId="0" fontId="0" fillId="8" borderId="9" xfId="0" applyFill="1" applyBorder="1"/>
    <xf numFmtId="0" fontId="2" fillId="8" borderId="55" xfId="0" applyFont="1" applyFill="1" applyBorder="1" applyAlignment="1">
      <alignment horizontal="right"/>
    </xf>
    <xf numFmtId="6" fontId="2" fillId="8" borderId="56" xfId="0" applyNumberFormat="1" applyFont="1" applyFill="1" applyBorder="1"/>
    <xf numFmtId="6" fontId="2" fillId="8" borderId="57" xfId="0" applyNumberFormat="1" applyFont="1" applyFill="1" applyBorder="1"/>
    <xf numFmtId="0" fontId="2" fillId="8" borderId="3" xfId="0" applyFont="1" applyFill="1" applyBorder="1" applyAlignment="1">
      <alignment horizontal="right"/>
    </xf>
    <xf numFmtId="165" fontId="2" fillId="8" borderId="39" xfId="0" applyNumberFormat="1" applyFont="1" applyFill="1" applyBorder="1"/>
    <xf numFmtId="165" fontId="2" fillId="8" borderId="7" xfId="0" applyNumberFormat="1" applyFont="1" applyFill="1" applyBorder="1"/>
    <xf numFmtId="0" fontId="2" fillId="8" borderId="33" xfId="0" applyFont="1" applyFill="1" applyBorder="1" applyAlignment="1">
      <alignment horizontal="right"/>
    </xf>
    <xf numFmtId="165" fontId="2" fillId="8" borderId="35" xfId="0" applyNumberFormat="1" applyFont="1" applyFill="1" applyBorder="1"/>
    <xf numFmtId="165" fontId="2" fillId="8" borderId="62" xfId="0" applyNumberFormat="1" applyFont="1" applyFill="1" applyBorder="1"/>
    <xf numFmtId="165" fontId="2" fillId="8" borderId="56" xfId="0" applyNumberFormat="1" applyFont="1" applyFill="1" applyBorder="1"/>
    <xf numFmtId="165" fontId="2" fillId="8" borderId="57" xfId="0" applyNumberFormat="1" applyFont="1" applyFill="1" applyBorder="1"/>
    <xf numFmtId="0" fontId="2" fillId="8" borderId="58" xfId="0" applyFont="1" applyFill="1" applyBorder="1" applyAlignment="1">
      <alignment horizontal="right"/>
    </xf>
    <xf numFmtId="165" fontId="2" fillId="8" borderId="59" xfId="0" applyNumberFormat="1" applyFont="1" applyFill="1" applyBorder="1"/>
    <xf numFmtId="165" fontId="2" fillId="8" borderId="60" xfId="0" applyNumberFormat="1" applyFont="1" applyFill="1" applyBorder="1"/>
    <xf numFmtId="2" fontId="2" fillId="6" borderId="188" xfId="0" applyNumberFormat="1" applyFont="1" applyFill="1" applyBorder="1" applyProtection="1">
      <protection locked="0"/>
    </xf>
    <xf numFmtId="0" fontId="3" fillId="6" borderId="4" xfId="0" applyFont="1" applyFill="1" applyBorder="1"/>
    <xf numFmtId="2" fontId="2" fillId="0" borderId="0" xfId="0" applyNumberFormat="1" applyFont="1" applyProtection="1">
      <protection locked="0"/>
    </xf>
    <xf numFmtId="0" fontId="2" fillId="5" borderId="90" xfId="0" applyFont="1" applyFill="1" applyBorder="1" applyAlignment="1" applyProtection="1">
      <alignment horizontal="center"/>
      <protection locked="0"/>
    </xf>
    <xf numFmtId="0" fontId="2" fillId="5" borderId="190" xfId="0" applyFont="1" applyFill="1" applyBorder="1" applyAlignment="1" applyProtection="1">
      <alignment horizontal="center"/>
      <protection locked="0"/>
    </xf>
    <xf numFmtId="0" fontId="2" fillId="5" borderId="169" xfId="0" applyFont="1" applyFill="1" applyBorder="1" applyAlignment="1" applyProtection="1">
      <alignment horizontal="center"/>
      <protection locked="0"/>
    </xf>
    <xf numFmtId="166" fontId="35" fillId="0" borderId="0" xfId="0" applyNumberFormat="1" applyFont="1"/>
    <xf numFmtId="165" fontId="0" fillId="0" borderId="191" xfId="0" applyNumberFormat="1" applyBorder="1" applyProtection="1">
      <protection locked="0"/>
    </xf>
    <xf numFmtId="165" fontId="0" fillId="0" borderId="186" xfId="0" applyNumberFormat="1" applyBorder="1" applyProtection="1">
      <protection locked="0"/>
    </xf>
    <xf numFmtId="165" fontId="0" fillId="0" borderId="188" xfId="0" applyNumberFormat="1" applyBorder="1" applyProtection="1">
      <protection locked="0"/>
    </xf>
    <xf numFmtId="165" fontId="0" fillId="0" borderId="192" xfId="0" applyNumberFormat="1" applyBorder="1" applyProtection="1">
      <protection locked="0"/>
    </xf>
    <xf numFmtId="165" fontId="0" fillId="0" borderId="119" xfId="0" applyNumberFormat="1" applyBorder="1" applyProtection="1">
      <protection locked="0"/>
    </xf>
    <xf numFmtId="0" fontId="0" fillId="0" borderId="119" xfId="0" applyBorder="1" applyProtection="1">
      <protection locked="0"/>
    </xf>
    <xf numFmtId="0" fontId="0" fillId="6" borderId="1" xfId="0" applyFill="1" applyBorder="1"/>
    <xf numFmtId="6" fontId="2" fillId="6" borderId="101" xfId="0" applyNumberFormat="1" applyFont="1" applyFill="1" applyBorder="1"/>
    <xf numFmtId="6" fontId="2" fillId="6" borderId="39" xfId="0" applyNumberFormat="1" applyFont="1" applyFill="1" applyBorder="1"/>
    <xf numFmtId="165" fontId="4" fillId="0" borderId="94" xfId="0" applyNumberFormat="1" applyFont="1" applyBorder="1" applyAlignment="1">
      <alignment horizontal="center"/>
    </xf>
    <xf numFmtId="166" fontId="27" fillId="0" borderId="0" xfId="0" applyNumberFormat="1" applyFont="1"/>
    <xf numFmtId="0" fontId="0" fillId="13" borderId="1" xfId="0" applyFill="1" applyBorder="1"/>
    <xf numFmtId="0" fontId="2" fillId="13" borderId="0" xfId="0" applyFont="1" applyFill="1" applyAlignment="1">
      <alignment horizontal="center"/>
    </xf>
    <xf numFmtId="0" fontId="0" fillId="17" borderId="1" xfId="0" applyFill="1" applyBorder="1"/>
    <xf numFmtId="0" fontId="2" fillId="17" borderId="0" xfId="0" applyFont="1" applyFill="1" applyAlignment="1">
      <alignment horizontal="right"/>
    </xf>
    <xf numFmtId="8" fontId="2" fillId="17" borderId="101" xfId="0" applyNumberFormat="1" applyFont="1" applyFill="1" applyBorder="1" applyAlignment="1">
      <alignment horizontal="right"/>
    </xf>
    <xf numFmtId="17" fontId="2" fillId="8" borderId="170" xfId="0" applyNumberFormat="1" applyFont="1" applyFill="1" applyBorder="1" applyAlignment="1" applyProtection="1">
      <alignment horizontal="center"/>
      <protection locked="0"/>
    </xf>
    <xf numFmtId="165" fontId="2" fillId="6" borderId="170" xfId="0" applyNumberFormat="1" applyFont="1" applyFill="1" applyBorder="1" applyProtection="1">
      <protection locked="0"/>
    </xf>
    <xf numFmtId="165" fontId="0" fillId="0" borderId="193" xfId="0" applyNumberFormat="1" applyBorder="1" applyProtection="1">
      <protection locked="0"/>
    </xf>
    <xf numFmtId="165" fontId="2" fillId="6" borderId="168" xfId="0" applyNumberFormat="1" applyFont="1" applyFill="1" applyBorder="1" applyProtection="1">
      <protection locked="0"/>
    </xf>
    <xf numFmtId="164" fontId="2" fillId="6" borderId="168" xfId="0" applyNumberFormat="1" applyFont="1" applyFill="1" applyBorder="1" applyProtection="1">
      <protection locked="0"/>
    </xf>
    <xf numFmtId="164" fontId="0" fillId="0" borderId="193" xfId="0" applyNumberFormat="1" applyBorder="1" applyProtection="1">
      <protection locked="0"/>
    </xf>
    <xf numFmtId="165" fontId="0" fillId="0" borderId="71" xfId="0" applyNumberFormat="1" applyBorder="1" applyProtection="1">
      <protection locked="0"/>
    </xf>
    <xf numFmtId="0" fontId="0" fillId="0" borderId="68" xfId="0" applyBorder="1" applyProtection="1">
      <protection locked="0"/>
    </xf>
    <xf numFmtId="0" fontId="0" fillId="0" borderId="194" xfId="0" applyBorder="1" applyProtection="1">
      <protection locked="0"/>
    </xf>
    <xf numFmtId="0" fontId="0" fillId="0" borderId="195" xfId="0" applyBorder="1" applyProtection="1">
      <protection locked="0"/>
    </xf>
    <xf numFmtId="0" fontId="2" fillId="0" borderId="172" xfId="0" applyFont="1" applyBorder="1" applyProtection="1">
      <protection locked="0"/>
    </xf>
    <xf numFmtId="0" fontId="0" fillId="0" borderId="187" xfId="0" applyBorder="1" applyProtection="1">
      <protection locked="0"/>
    </xf>
    <xf numFmtId="0" fontId="0" fillId="0" borderId="161" xfId="0" applyBorder="1" applyProtection="1">
      <protection locked="0"/>
    </xf>
    <xf numFmtId="0" fontId="0" fillId="0" borderId="189" xfId="0" applyBorder="1" applyProtection="1">
      <protection locked="0"/>
    </xf>
    <xf numFmtId="165" fontId="0" fillId="0" borderId="196" xfId="0" applyNumberFormat="1" applyBorder="1" applyProtection="1">
      <protection locked="0"/>
    </xf>
    <xf numFmtId="165" fontId="0" fillId="0" borderId="197" xfId="0" applyNumberFormat="1" applyBorder="1" applyProtection="1">
      <protection locked="0"/>
    </xf>
    <xf numFmtId="165" fontId="0" fillId="0" borderId="198" xfId="0" applyNumberFormat="1" applyBorder="1" applyProtection="1">
      <protection locked="0"/>
    </xf>
    <xf numFmtId="165" fontId="0" fillId="0" borderId="199" xfId="0" applyNumberFormat="1" applyBorder="1" applyProtection="1">
      <protection locked="0"/>
    </xf>
    <xf numFmtId="165" fontId="0" fillId="0" borderId="187" xfId="0" applyNumberFormat="1" applyBorder="1" applyProtection="1">
      <protection locked="0"/>
    </xf>
    <xf numFmtId="165" fontId="0" fillId="0" borderId="195" xfId="0" applyNumberFormat="1" applyBorder="1" applyProtection="1">
      <protection locked="0"/>
    </xf>
    <xf numFmtId="165" fontId="0" fillId="0" borderId="200" xfId="0" applyNumberFormat="1" applyBorder="1" applyProtection="1">
      <protection locked="0"/>
    </xf>
    <xf numFmtId="165" fontId="0" fillId="0" borderId="201" xfId="0" applyNumberFormat="1" applyBorder="1" applyProtection="1">
      <protection locked="0"/>
    </xf>
    <xf numFmtId="165" fontId="0" fillId="0" borderId="202" xfId="0" applyNumberFormat="1" applyBorder="1" applyProtection="1">
      <protection locked="0"/>
    </xf>
    <xf numFmtId="165" fontId="0" fillId="0" borderId="203" xfId="0" applyNumberFormat="1" applyBorder="1" applyProtection="1">
      <protection locked="0"/>
    </xf>
    <xf numFmtId="17" fontId="2" fillId="16" borderId="172" xfId="0" applyNumberFormat="1" applyFont="1" applyFill="1" applyBorder="1" applyAlignment="1" applyProtection="1">
      <alignment horizontal="center"/>
      <protection locked="0"/>
    </xf>
    <xf numFmtId="165" fontId="0" fillId="0" borderId="194" xfId="0" applyNumberFormat="1" applyBorder="1" applyProtection="1">
      <protection locked="0"/>
    </xf>
    <xf numFmtId="165" fontId="2" fillId="15" borderId="172" xfId="0" applyNumberFormat="1" applyFont="1" applyFill="1" applyBorder="1" applyProtection="1">
      <protection locked="0"/>
    </xf>
    <xf numFmtId="165" fontId="2" fillId="14" borderId="169" xfId="0" applyNumberFormat="1" applyFont="1" applyFill="1" applyBorder="1" applyProtection="1">
      <protection locked="0"/>
    </xf>
    <xf numFmtId="164" fontId="2" fillId="14" borderId="169" xfId="0" applyNumberFormat="1" applyFont="1" applyFill="1" applyBorder="1" applyProtection="1">
      <protection locked="0"/>
    </xf>
    <xf numFmtId="165" fontId="0" fillId="8" borderId="101" xfId="0" applyNumberFormat="1" applyFill="1" applyBorder="1" applyAlignment="1" applyProtection="1">
      <alignment horizontal="center"/>
      <protection locked="0"/>
    </xf>
    <xf numFmtId="165" fontId="0" fillId="8" borderId="200" xfId="0" applyNumberFormat="1" applyFill="1" applyBorder="1" applyAlignment="1" applyProtection="1">
      <alignment horizontal="center"/>
      <protection locked="0"/>
    </xf>
    <xf numFmtId="165" fontId="0" fillId="8" borderId="201" xfId="0" applyNumberFormat="1" applyFill="1" applyBorder="1" applyAlignment="1" applyProtection="1">
      <alignment horizontal="center"/>
      <protection locked="0"/>
    </xf>
    <xf numFmtId="165" fontId="2" fillId="6" borderId="168" xfId="0" applyNumberFormat="1" applyFont="1" applyFill="1" applyBorder="1" applyAlignment="1" applyProtection="1">
      <alignment horizontal="center"/>
      <protection locked="0"/>
    </xf>
    <xf numFmtId="165" fontId="2" fillId="8" borderId="182" xfId="0" applyNumberFormat="1" applyFont="1" applyFill="1" applyBorder="1" applyAlignment="1" applyProtection="1">
      <alignment horizontal="center"/>
      <protection locked="0"/>
    </xf>
    <xf numFmtId="165" fontId="2" fillId="8" borderId="200" xfId="0" applyNumberFormat="1" applyFont="1" applyFill="1" applyBorder="1" applyAlignment="1" applyProtection="1">
      <alignment horizontal="center"/>
      <protection locked="0"/>
    </xf>
    <xf numFmtId="165" fontId="2" fillId="8" borderId="205" xfId="0" applyNumberFormat="1" applyFont="1" applyFill="1" applyBorder="1" applyAlignment="1" applyProtection="1">
      <alignment horizontal="center"/>
      <protection locked="0"/>
    </xf>
    <xf numFmtId="165" fontId="2" fillId="6" borderId="170" xfId="0" applyNumberFormat="1" applyFont="1" applyFill="1" applyBorder="1" applyAlignment="1" applyProtection="1">
      <alignment horizontal="center"/>
      <protection locked="0"/>
    </xf>
    <xf numFmtId="165" fontId="2" fillId="0" borderId="200" xfId="0" applyNumberFormat="1" applyFont="1" applyBorder="1" applyAlignment="1" applyProtection="1">
      <alignment horizontal="center"/>
      <protection locked="0"/>
    </xf>
    <xf numFmtId="165" fontId="2" fillId="0" borderId="201" xfId="0" applyNumberFormat="1" applyFont="1" applyBorder="1" applyAlignment="1" applyProtection="1">
      <alignment horizontal="center"/>
      <protection locked="0"/>
    </xf>
    <xf numFmtId="165" fontId="2" fillId="6" borderId="178" xfId="0" applyNumberFormat="1" applyFont="1" applyFill="1" applyBorder="1" applyAlignment="1" applyProtection="1">
      <alignment horizontal="center"/>
      <protection locked="0"/>
    </xf>
    <xf numFmtId="0" fontId="2" fillId="6" borderId="168" xfId="0" applyFont="1" applyFill="1" applyBorder="1" applyAlignment="1" applyProtection="1">
      <alignment horizontal="center"/>
      <protection locked="0"/>
    </xf>
    <xf numFmtId="165" fontId="2" fillId="0" borderId="3" xfId="0" applyNumberFormat="1" applyFont="1" applyBorder="1" applyAlignment="1" applyProtection="1">
      <alignment horizontal="center"/>
      <protection locked="0"/>
    </xf>
    <xf numFmtId="0" fontId="16" fillId="0" borderId="170" xfId="0" applyFont="1" applyBorder="1" applyAlignment="1">
      <alignment horizontal="left"/>
    </xf>
    <xf numFmtId="0" fontId="16" fillId="0" borderId="206" xfId="0" applyFont="1" applyBorder="1" applyAlignment="1">
      <alignment horizontal="left"/>
    </xf>
    <xf numFmtId="0" fontId="2" fillId="0" borderId="170" xfId="0" applyFont="1" applyBorder="1" applyAlignment="1">
      <alignment horizontal="center"/>
    </xf>
    <xf numFmtId="0" fontId="2" fillId="0" borderId="207" xfId="0" applyFont="1" applyBorder="1" applyAlignment="1">
      <alignment horizontal="center"/>
    </xf>
    <xf numFmtId="0" fontId="2" fillId="0" borderId="190" xfId="0" applyFont="1" applyBorder="1" applyAlignment="1">
      <alignment horizontal="center"/>
    </xf>
    <xf numFmtId="165" fontId="0" fillId="0" borderId="203" xfId="0" applyNumberFormat="1" applyBorder="1"/>
    <xf numFmtId="165" fontId="0" fillId="0" borderId="208" xfId="0" applyNumberFormat="1" applyBorder="1"/>
    <xf numFmtId="165" fontId="0" fillId="0" borderId="209" xfId="0" applyNumberFormat="1" applyBorder="1"/>
    <xf numFmtId="165" fontId="0" fillId="0" borderId="195" xfId="0" applyNumberFormat="1" applyBorder="1"/>
    <xf numFmtId="165" fontId="0" fillId="0" borderId="210" xfId="0" applyNumberFormat="1" applyBorder="1"/>
    <xf numFmtId="165" fontId="0" fillId="0" borderId="211" xfId="0" applyNumberFormat="1" applyBorder="1"/>
    <xf numFmtId="165" fontId="2" fillId="6" borderId="170" xfId="0" applyNumberFormat="1" applyFont="1" applyFill="1" applyBorder="1"/>
    <xf numFmtId="165" fontId="2" fillId="6" borderId="207" xfId="0" applyNumberFormat="1" applyFont="1" applyFill="1" applyBorder="1"/>
    <xf numFmtId="165" fontId="2" fillId="6" borderId="190" xfId="0" applyNumberFormat="1" applyFont="1" applyFill="1" applyBorder="1"/>
    <xf numFmtId="165" fontId="0" fillId="0" borderId="197" xfId="0" applyNumberFormat="1" applyBorder="1"/>
    <xf numFmtId="165" fontId="0" fillId="0" borderId="200" xfId="0" applyNumberFormat="1" applyBorder="1"/>
    <xf numFmtId="165" fontId="2" fillId="6" borderId="169" xfId="0" applyNumberFormat="1" applyFont="1" applyFill="1" applyBorder="1"/>
    <xf numFmtId="165" fontId="0" fillId="0" borderId="212" xfId="0" applyNumberFormat="1" applyBorder="1"/>
    <xf numFmtId="165" fontId="2" fillId="6" borderId="168" xfId="0" applyNumberFormat="1" applyFont="1" applyFill="1" applyBorder="1"/>
    <xf numFmtId="165" fontId="2" fillId="6" borderId="206" xfId="0" applyNumberFormat="1" applyFont="1" applyFill="1" applyBorder="1"/>
    <xf numFmtId="6" fontId="2" fillId="6" borderId="138" xfId="0" applyNumberFormat="1" applyFont="1" applyFill="1" applyBorder="1"/>
    <xf numFmtId="6" fontId="2" fillId="6" borderId="213" xfId="0" applyNumberFormat="1" applyFont="1" applyFill="1" applyBorder="1"/>
    <xf numFmtId="6" fontId="2" fillId="6" borderId="173" xfId="0" applyNumberFormat="1" applyFont="1" applyFill="1" applyBorder="1"/>
    <xf numFmtId="6" fontId="2" fillId="0" borderId="201" xfId="0" applyNumberFormat="1" applyFont="1" applyBorder="1"/>
    <xf numFmtId="6" fontId="2" fillId="0" borderId="214" xfId="0" applyNumberFormat="1" applyFont="1" applyBorder="1"/>
    <xf numFmtId="6" fontId="2" fillId="0" borderId="215" xfId="0" applyNumberFormat="1" applyFont="1" applyBorder="1"/>
    <xf numFmtId="6" fontId="2" fillId="0" borderId="216" xfId="0" applyNumberFormat="1" applyFont="1" applyBorder="1"/>
    <xf numFmtId="6" fontId="2" fillId="0" borderId="211" xfId="0" applyNumberFormat="1" applyFont="1" applyBorder="1"/>
    <xf numFmtId="0" fontId="2" fillId="0" borderId="204" xfId="0" applyFont="1" applyBorder="1" applyAlignment="1">
      <alignment horizontal="center"/>
    </xf>
    <xf numFmtId="0" fontId="2" fillId="0" borderId="169" xfId="0" applyFont="1" applyBorder="1" applyAlignment="1">
      <alignment horizontal="center"/>
    </xf>
    <xf numFmtId="0" fontId="2" fillId="0" borderId="168" xfId="0" applyFont="1" applyBorder="1" applyAlignment="1">
      <alignment horizontal="center"/>
    </xf>
    <xf numFmtId="0" fontId="2" fillId="0" borderId="217" xfId="0" applyFont="1" applyBorder="1" applyAlignment="1">
      <alignment horizontal="center"/>
    </xf>
    <xf numFmtId="6" fontId="2" fillId="6" borderId="218" xfId="0" applyNumberFormat="1" applyFont="1" applyFill="1" applyBorder="1" applyAlignment="1">
      <alignment horizontal="right"/>
    </xf>
    <xf numFmtId="165" fontId="0" fillId="0" borderId="196" xfId="0" applyNumberFormat="1" applyBorder="1"/>
    <xf numFmtId="165" fontId="0" fillId="0" borderId="214" xfId="0" applyNumberFormat="1" applyBorder="1"/>
    <xf numFmtId="6" fontId="2" fillId="6" borderId="170" xfId="0" applyNumberFormat="1" applyFont="1" applyFill="1" applyBorder="1"/>
    <xf numFmtId="6" fontId="2" fillId="6" borderId="190" xfId="0" applyNumberFormat="1" applyFont="1" applyFill="1" applyBorder="1"/>
    <xf numFmtId="6" fontId="2" fillId="6" borderId="169" xfId="0" applyNumberFormat="1" applyFont="1" applyFill="1" applyBorder="1"/>
    <xf numFmtId="0" fontId="16" fillId="0" borderId="3" xfId="0" applyFont="1" applyBorder="1" applyAlignment="1">
      <alignment horizontal="left"/>
    </xf>
    <xf numFmtId="165" fontId="0" fillId="0" borderId="3" xfId="0" applyNumberFormat="1" applyBorder="1"/>
    <xf numFmtId="165" fontId="2" fillId="0" borderId="3" xfId="0" applyNumberFormat="1" applyFont="1" applyBorder="1"/>
    <xf numFmtId="165" fontId="2" fillId="0" borderId="3" xfId="0" applyNumberFormat="1" applyFont="1" applyBorder="1" applyAlignment="1">
      <alignment horizontal="right"/>
    </xf>
    <xf numFmtId="0" fontId="2" fillId="0" borderId="173" xfId="0" applyFont="1" applyBorder="1" applyAlignment="1">
      <alignment horizontal="center"/>
    </xf>
    <xf numFmtId="0" fontId="2" fillId="0" borderId="197" xfId="0" applyFont="1" applyBorder="1" applyAlignment="1">
      <alignment horizontal="center"/>
    </xf>
    <xf numFmtId="165" fontId="4" fillId="0" borderId="197" xfId="0" applyNumberFormat="1" applyFont="1" applyBorder="1" applyAlignment="1">
      <alignment horizontal="right"/>
    </xf>
    <xf numFmtId="165" fontId="2" fillId="8" borderId="169" xfId="0" applyNumberFormat="1" applyFont="1" applyFill="1" applyBorder="1"/>
    <xf numFmtId="0" fontId="0" fillId="0" borderId="219" xfId="0" applyBorder="1"/>
    <xf numFmtId="165" fontId="0" fillId="0" borderId="198" xfId="0" applyNumberFormat="1" applyBorder="1"/>
    <xf numFmtId="165" fontId="2" fillId="8" borderId="172" xfId="0" applyNumberFormat="1" applyFont="1" applyFill="1" applyBorder="1"/>
    <xf numFmtId="0" fontId="29" fillId="8" borderId="11" xfId="0" applyFont="1" applyFill="1" applyBorder="1"/>
    <xf numFmtId="3" fontId="26" fillId="8" borderId="97" xfId="0" applyNumberFormat="1" applyFont="1" applyFill="1" applyBorder="1"/>
    <xf numFmtId="3" fontId="26" fillId="8" borderId="187" xfId="0" applyNumberFormat="1" applyFont="1" applyFill="1" applyBorder="1"/>
    <xf numFmtId="0" fontId="29" fillId="8" borderId="10" xfId="0" applyFont="1" applyFill="1" applyBorder="1"/>
    <xf numFmtId="166" fontId="26" fillId="8" borderId="25" xfId="0" applyNumberFormat="1" applyFont="1" applyFill="1" applyBorder="1"/>
    <xf numFmtId="166" fontId="26" fillId="8" borderId="176" xfId="0" applyNumberFormat="1" applyFont="1" applyFill="1" applyBorder="1"/>
    <xf numFmtId="0" fontId="29" fillId="8" borderId="37" xfId="0" applyFont="1" applyFill="1" applyBorder="1"/>
    <xf numFmtId="165" fontId="26" fillId="8" borderId="46" xfId="0" applyNumberFormat="1" applyFont="1" applyFill="1" applyBorder="1"/>
    <xf numFmtId="165" fontId="26" fillId="8" borderId="161" xfId="0" applyNumberFormat="1" applyFont="1" applyFill="1" applyBorder="1"/>
    <xf numFmtId="0" fontId="0" fillId="0" borderId="0" xfId="0" applyAlignment="1">
      <alignment vertical="center"/>
    </xf>
    <xf numFmtId="0" fontId="5" fillId="0" borderId="0" xfId="0" applyFont="1" applyAlignment="1">
      <alignment horizontal="center" vertical="center"/>
    </xf>
    <xf numFmtId="166" fontId="5" fillId="0" borderId="0" xfId="0" applyNumberFormat="1" applyFont="1" applyAlignment="1">
      <alignment vertical="center"/>
    </xf>
    <xf numFmtId="0" fontId="1" fillId="0" borderId="0" xfId="0" applyFont="1" applyAlignment="1">
      <alignment vertical="center"/>
    </xf>
    <xf numFmtId="0" fontId="29" fillId="0" borderId="11" xfId="0" applyFont="1" applyBorder="1" applyAlignment="1">
      <alignment vertical="center"/>
    </xf>
    <xf numFmtId="0" fontId="26" fillId="0" borderId="97" xfId="0" applyFont="1" applyBorder="1" applyAlignment="1">
      <alignment horizontal="center" vertical="center"/>
    </xf>
    <xf numFmtId="166" fontId="26" fillId="0" borderId="97" xfId="0" applyNumberFormat="1" applyFont="1" applyBorder="1" applyAlignment="1">
      <alignment vertical="center"/>
    </xf>
    <xf numFmtId="166" fontId="26" fillId="0" borderId="13" xfId="0" applyNumberFormat="1" applyFont="1" applyBorder="1" applyAlignment="1">
      <alignment vertical="center"/>
    </xf>
    <xf numFmtId="0" fontId="29" fillId="0" borderId="150" xfId="0" applyFont="1" applyBorder="1" applyAlignment="1">
      <alignment vertical="center"/>
    </xf>
    <xf numFmtId="0" fontId="26" fillId="0" borderId="149" xfId="0" applyFont="1" applyBorder="1" applyAlignment="1">
      <alignment horizontal="center" vertical="center"/>
    </xf>
    <xf numFmtId="166" fontId="26" fillId="0" borderId="149" xfId="0" applyNumberFormat="1" applyFont="1" applyBorder="1" applyAlignment="1">
      <alignment vertical="center"/>
    </xf>
    <xf numFmtId="166" fontId="26" fillId="0" borderId="154" xfId="0" applyNumberFormat="1" applyFont="1" applyBorder="1" applyAlignment="1">
      <alignment vertical="center"/>
    </xf>
    <xf numFmtId="0" fontId="29" fillId="0" borderId="134" xfId="0" applyFont="1" applyBorder="1" applyAlignment="1">
      <alignment vertical="center"/>
    </xf>
    <xf numFmtId="0" fontId="26" fillId="0" borderId="135" xfId="0" applyFont="1" applyBorder="1" applyAlignment="1">
      <alignment horizontal="center" vertical="center"/>
    </xf>
    <xf numFmtId="165" fontId="26" fillId="0" borderId="135" xfId="0" applyNumberFormat="1" applyFont="1" applyBorder="1" applyAlignment="1">
      <alignment vertical="center"/>
    </xf>
    <xf numFmtId="165" fontId="26" fillId="0" borderId="136" xfId="0" applyNumberFormat="1" applyFont="1" applyBorder="1" applyAlignment="1">
      <alignment vertical="center"/>
    </xf>
    <xf numFmtId="0" fontId="27" fillId="8" borderId="182" xfId="0" applyFont="1" applyFill="1" applyBorder="1" applyAlignment="1">
      <alignment vertical="center"/>
    </xf>
    <xf numFmtId="0" fontId="27" fillId="8" borderId="179" xfId="0" applyFont="1" applyFill="1" applyBorder="1" applyAlignment="1">
      <alignment vertical="center"/>
    </xf>
    <xf numFmtId="0" fontId="27" fillId="4" borderId="139" xfId="0" applyFont="1" applyFill="1" applyBorder="1" applyAlignment="1">
      <alignment vertical="center"/>
    </xf>
    <xf numFmtId="3" fontId="5" fillId="0" borderId="0" xfId="0" applyNumberFormat="1" applyFont="1" applyAlignment="1">
      <alignment horizontal="right" vertical="center"/>
    </xf>
    <xf numFmtId="168" fontId="5" fillId="0" borderId="0" xfId="0" applyNumberFormat="1" applyFont="1" applyAlignment="1">
      <alignment horizontal="right" vertical="center"/>
    </xf>
    <xf numFmtId="166" fontId="5" fillId="0" borderId="0" xfId="0" applyNumberFormat="1" applyFont="1" applyAlignment="1">
      <alignment horizontal="right" vertical="center"/>
    </xf>
    <xf numFmtId="0" fontId="2" fillId="8" borderId="182" xfId="0" applyFont="1" applyFill="1" applyBorder="1" applyAlignment="1">
      <alignment vertical="center"/>
    </xf>
    <xf numFmtId="0" fontId="26" fillId="8" borderId="186" xfId="0" applyFont="1" applyFill="1" applyBorder="1" applyAlignment="1">
      <alignment horizontal="center" vertical="center"/>
    </xf>
    <xf numFmtId="3" fontId="26" fillId="8" borderId="186" xfId="0" applyNumberFormat="1" applyFont="1" applyFill="1" applyBorder="1" applyAlignment="1">
      <alignment horizontal="center" vertical="center"/>
    </xf>
    <xf numFmtId="3" fontId="26" fillId="8" borderId="177" xfId="0" applyNumberFormat="1" applyFont="1" applyFill="1" applyBorder="1" applyAlignment="1">
      <alignment horizontal="center" vertical="center"/>
    </xf>
    <xf numFmtId="0" fontId="1" fillId="8" borderId="179" xfId="0" applyFont="1" applyFill="1" applyBorder="1" applyAlignment="1">
      <alignment vertical="center"/>
    </xf>
    <xf numFmtId="0" fontId="26" fillId="8" borderId="185" xfId="0" applyFont="1" applyFill="1" applyBorder="1" applyAlignment="1">
      <alignment horizontal="center" vertical="center"/>
    </xf>
    <xf numFmtId="166" fontId="26" fillId="8" borderId="185" xfId="0" applyNumberFormat="1" applyFont="1" applyFill="1" applyBorder="1" applyAlignment="1">
      <alignment vertical="center"/>
    </xf>
    <xf numFmtId="166" fontId="26" fillId="8" borderId="174" xfId="0" applyNumberFormat="1" applyFont="1" applyFill="1" applyBorder="1" applyAlignment="1">
      <alignment vertical="center"/>
    </xf>
    <xf numFmtId="165" fontId="26" fillId="8" borderId="185" xfId="0" applyNumberFormat="1" applyFont="1" applyFill="1" applyBorder="1" applyAlignment="1">
      <alignment vertical="center"/>
    </xf>
    <xf numFmtId="165" fontId="26" fillId="8" borderId="174" xfId="0" applyNumberFormat="1" applyFont="1" applyFill="1" applyBorder="1" applyAlignment="1">
      <alignment vertical="center"/>
    </xf>
    <xf numFmtId="0" fontId="2" fillId="8" borderId="179" xfId="0" applyFont="1" applyFill="1" applyBorder="1" applyAlignment="1">
      <alignment vertical="center"/>
    </xf>
    <xf numFmtId="4" fontId="26" fillId="8" borderId="185" xfId="0" applyNumberFormat="1" applyFont="1" applyFill="1" applyBorder="1" applyAlignment="1">
      <alignment horizontal="center" vertical="center"/>
    </xf>
    <xf numFmtId="4" fontId="26" fillId="8" borderId="174" xfId="0" applyNumberFormat="1" applyFont="1" applyFill="1" applyBorder="1" applyAlignment="1">
      <alignment horizontal="center" vertical="center"/>
    </xf>
    <xf numFmtId="0" fontId="2" fillId="8" borderId="139" xfId="0" applyFont="1" applyFill="1" applyBorder="1" applyAlignment="1">
      <alignment vertical="center"/>
    </xf>
    <xf numFmtId="0" fontId="26" fillId="8" borderId="183" xfId="0" applyFont="1" applyFill="1" applyBorder="1" applyAlignment="1">
      <alignment horizontal="center" vertical="center"/>
    </xf>
    <xf numFmtId="4" fontId="26" fillId="8" borderId="183" xfId="0" applyNumberFormat="1" applyFont="1" applyFill="1" applyBorder="1" applyAlignment="1">
      <alignment horizontal="center" vertical="center"/>
    </xf>
    <xf numFmtId="4" fontId="26" fillId="8" borderId="114" xfId="0" applyNumberFormat="1" applyFont="1" applyFill="1" applyBorder="1" applyAlignment="1">
      <alignment horizontal="center" vertical="center"/>
    </xf>
    <xf numFmtId="166" fontId="5" fillId="0" borderId="22" xfId="0" applyNumberFormat="1" applyFont="1" applyBorder="1" applyAlignment="1">
      <alignment vertical="center"/>
    </xf>
    <xf numFmtId="167" fontId="2" fillId="0" borderId="0" xfId="0" applyNumberFormat="1" applyFont="1" applyAlignment="1">
      <alignment horizontal="center"/>
    </xf>
    <xf numFmtId="1" fontId="37" fillId="0" borderId="0" xfId="0" applyNumberFormat="1" applyFont="1" applyAlignment="1">
      <alignment horizontal="right"/>
    </xf>
    <xf numFmtId="166" fontId="0" fillId="0" borderId="184" xfId="0" applyNumberFormat="1" applyBorder="1" applyAlignment="1">
      <alignment horizontal="right"/>
    </xf>
    <xf numFmtId="0" fontId="0" fillId="0" borderId="203" xfId="0" applyBorder="1"/>
    <xf numFmtId="0" fontId="2" fillId="0" borderId="189" xfId="0" applyFont="1" applyBorder="1" applyAlignment="1">
      <alignment horizontal="center"/>
    </xf>
    <xf numFmtId="0" fontId="2" fillId="0" borderId="220" xfId="0" applyFont="1" applyBorder="1" applyAlignment="1">
      <alignment horizontal="center"/>
    </xf>
    <xf numFmtId="4" fontId="0" fillId="0" borderId="0" xfId="0" applyNumberFormat="1" applyAlignment="1">
      <alignment horizontal="center"/>
    </xf>
    <xf numFmtId="0" fontId="2" fillId="0" borderId="178" xfId="0" applyFont="1" applyBorder="1" applyAlignment="1">
      <alignment horizontal="center"/>
    </xf>
    <xf numFmtId="0" fontId="2" fillId="0" borderId="164" xfId="0" applyFont="1" applyBorder="1" applyAlignment="1">
      <alignment horizontal="center"/>
    </xf>
    <xf numFmtId="166" fontId="0" fillId="0" borderId="182" xfId="0" applyNumberFormat="1" applyBorder="1" applyAlignment="1">
      <alignment horizontal="center"/>
    </xf>
    <xf numFmtId="166" fontId="0" fillId="0" borderId="177" xfId="0" applyNumberFormat="1" applyBorder="1" applyAlignment="1">
      <alignment horizontal="center"/>
    </xf>
    <xf numFmtId="166" fontId="0" fillId="0" borderId="200" xfId="0" applyNumberFormat="1" applyBorder="1" applyAlignment="1">
      <alignment horizontal="center"/>
    </xf>
    <xf numFmtId="166" fontId="0" fillId="0" borderId="197" xfId="0" applyNumberFormat="1" applyBorder="1" applyAlignment="1">
      <alignment horizontal="center"/>
    </xf>
    <xf numFmtId="166" fontId="2" fillId="0" borderId="200" xfId="0" applyNumberFormat="1" applyFont="1" applyBorder="1" applyAlignment="1">
      <alignment horizontal="center"/>
    </xf>
    <xf numFmtId="166" fontId="2" fillId="0" borderId="197" xfId="0" applyNumberFormat="1" applyFont="1" applyBorder="1" applyAlignment="1">
      <alignment horizontal="center"/>
    </xf>
    <xf numFmtId="166" fontId="0" fillId="0" borderId="205" xfId="0" applyNumberFormat="1" applyBorder="1" applyAlignment="1">
      <alignment horizontal="center"/>
    </xf>
    <xf numFmtId="166" fontId="0" fillId="0" borderId="211" xfId="0" applyNumberFormat="1" applyBorder="1" applyAlignment="1">
      <alignment horizontal="center"/>
    </xf>
    <xf numFmtId="166" fontId="2" fillId="0" borderId="66" xfId="0" applyNumberFormat="1" applyFont="1" applyBorder="1" applyAlignment="1">
      <alignment horizontal="center"/>
    </xf>
    <xf numFmtId="166" fontId="4" fillId="0" borderId="222" xfId="0" applyNumberFormat="1" applyFont="1" applyBorder="1" applyAlignment="1">
      <alignment horizontal="center"/>
    </xf>
    <xf numFmtId="166" fontId="4" fillId="0" borderId="199" xfId="0" applyNumberFormat="1" applyFont="1" applyBorder="1" applyAlignment="1">
      <alignment horizontal="center"/>
    </xf>
    <xf numFmtId="0" fontId="2" fillId="0" borderId="215" xfId="0" applyFont="1" applyBorder="1" applyAlignment="1">
      <alignment horizontal="center"/>
    </xf>
    <xf numFmtId="0" fontId="2" fillId="0" borderId="222" xfId="0" applyFont="1" applyBorder="1" applyAlignment="1">
      <alignment horizontal="center"/>
    </xf>
    <xf numFmtId="0" fontId="2" fillId="0" borderId="138" xfId="0" applyFont="1" applyBorder="1" applyAlignment="1">
      <alignment horizontal="center"/>
    </xf>
    <xf numFmtId="3" fontId="2" fillId="0" borderId="171" xfId="0" applyNumberFormat="1" applyFont="1" applyBorder="1" applyAlignment="1">
      <alignment horizontal="center"/>
    </xf>
    <xf numFmtId="166" fontId="0" fillId="0" borderId="223" xfId="0" applyNumberFormat="1" applyBorder="1" applyAlignment="1">
      <alignment horizontal="center"/>
    </xf>
    <xf numFmtId="166" fontId="0" fillId="0" borderId="184" xfId="0" applyNumberFormat="1" applyBorder="1" applyAlignment="1">
      <alignment horizontal="center"/>
    </xf>
    <xf numFmtId="166" fontId="2" fillId="0" borderId="184" xfId="0" applyNumberFormat="1" applyFont="1" applyBorder="1" applyAlignment="1">
      <alignment horizontal="center"/>
    </xf>
    <xf numFmtId="166" fontId="0" fillId="0" borderId="199" xfId="0" applyNumberFormat="1" applyBorder="1" applyAlignment="1">
      <alignment horizontal="center"/>
    </xf>
    <xf numFmtId="0" fontId="2" fillId="0" borderId="221" xfId="0" applyFont="1" applyBorder="1" applyAlignment="1">
      <alignment horizontal="center"/>
    </xf>
    <xf numFmtId="0" fontId="2" fillId="0" borderId="149" xfId="0" applyFont="1" applyBorder="1" applyAlignment="1">
      <alignment horizontal="center"/>
    </xf>
    <xf numFmtId="165" fontId="4" fillId="0" borderId="199" xfId="0" applyNumberFormat="1" applyFont="1" applyBorder="1" applyAlignment="1">
      <alignment horizontal="center"/>
    </xf>
    <xf numFmtId="0" fontId="0" fillId="0" borderId="204" xfId="0" applyBorder="1"/>
    <xf numFmtId="0" fontId="0" fillId="0" borderId="138" xfId="0" applyBorder="1" applyAlignment="1">
      <alignment horizontal="center"/>
    </xf>
    <xf numFmtId="0" fontId="2" fillId="0" borderId="219" xfId="0" applyFont="1" applyBorder="1" applyAlignment="1">
      <alignment horizontal="center"/>
    </xf>
    <xf numFmtId="0" fontId="0" fillId="0" borderId="224" xfId="0" applyBorder="1" applyAlignment="1">
      <alignment horizontal="center"/>
    </xf>
    <xf numFmtId="165" fontId="1" fillId="0" borderId="0" xfId="0" applyNumberFormat="1" applyFont="1" applyAlignment="1">
      <alignment horizontal="center"/>
    </xf>
    <xf numFmtId="165" fontId="1" fillId="0" borderId="212" xfId="0" applyNumberFormat="1" applyFont="1" applyBorder="1" applyAlignment="1">
      <alignment horizontal="center"/>
    </xf>
    <xf numFmtId="165" fontId="0" fillId="0" borderId="212" xfId="0" applyNumberFormat="1" applyBorder="1" applyAlignment="1">
      <alignment horizontal="center"/>
    </xf>
    <xf numFmtId="165" fontId="2" fillId="0" borderId="195" xfId="0" applyNumberFormat="1" applyFont="1" applyBorder="1" applyAlignment="1">
      <alignment horizontal="center"/>
    </xf>
    <xf numFmtId="165" fontId="1" fillId="0" borderId="224" xfId="0" applyNumberFormat="1" applyFont="1" applyBorder="1" applyAlignment="1">
      <alignment horizontal="center"/>
    </xf>
    <xf numFmtId="165" fontId="0" fillId="0" borderId="224" xfId="0" applyNumberFormat="1" applyBorder="1" applyAlignment="1">
      <alignment horizontal="center"/>
    </xf>
    <xf numFmtId="165" fontId="2" fillId="0" borderId="189" xfId="0" applyNumberFormat="1" applyFont="1" applyBorder="1" applyAlignment="1">
      <alignment horizontal="center"/>
    </xf>
    <xf numFmtId="165" fontId="0" fillId="0" borderId="203" xfId="0" applyNumberFormat="1" applyBorder="1" applyAlignment="1">
      <alignment horizontal="center"/>
    </xf>
    <xf numFmtId="165" fontId="2" fillId="0" borderId="212" xfId="0" applyNumberFormat="1" applyFont="1" applyBorder="1" applyAlignment="1">
      <alignment horizontal="center"/>
    </xf>
    <xf numFmtId="165" fontId="2" fillId="0" borderId="203" xfId="0" applyNumberFormat="1" applyFont="1" applyBorder="1" applyAlignment="1">
      <alignment horizontal="center"/>
    </xf>
    <xf numFmtId="165" fontId="4" fillId="0" borderId="3" xfId="0" applyNumberFormat="1" applyFont="1" applyBorder="1" applyAlignment="1">
      <alignment horizontal="center"/>
    </xf>
    <xf numFmtId="165" fontId="4" fillId="0" borderId="71" xfId="0" applyNumberFormat="1" applyFont="1" applyBorder="1" applyAlignment="1">
      <alignment horizontal="center"/>
    </xf>
    <xf numFmtId="166" fontId="4" fillId="0" borderId="212" xfId="0" applyNumberFormat="1" applyFont="1" applyBorder="1" applyAlignment="1">
      <alignment horizontal="center"/>
    </xf>
    <xf numFmtId="166" fontId="4" fillId="0" borderId="195" xfId="0" applyNumberFormat="1" applyFont="1" applyBorder="1" applyAlignment="1">
      <alignment horizontal="center"/>
    </xf>
    <xf numFmtId="166" fontId="2" fillId="0" borderId="212" xfId="0" applyNumberFormat="1" applyFont="1" applyBorder="1" applyAlignment="1">
      <alignment horizontal="center"/>
    </xf>
    <xf numFmtId="166" fontId="2" fillId="0" borderId="195" xfId="0" applyNumberFormat="1" applyFont="1" applyBorder="1" applyAlignment="1">
      <alignment horizontal="center"/>
    </xf>
    <xf numFmtId="166" fontId="4" fillId="0" borderId="215" xfId="0" applyNumberFormat="1" applyFont="1" applyBorder="1" applyAlignment="1">
      <alignment horizontal="center"/>
    </xf>
    <xf numFmtId="166" fontId="4" fillId="0" borderId="161" xfId="0" applyNumberFormat="1" applyFont="1" applyBorder="1" applyAlignment="1">
      <alignment horizontal="center"/>
    </xf>
    <xf numFmtId="166" fontId="0" fillId="0" borderId="178" xfId="0" applyNumberFormat="1" applyBorder="1" applyAlignment="1">
      <alignment horizontal="center"/>
    </xf>
    <xf numFmtId="165" fontId="0" fillId="0" borderId="204" xfId="0" applyNumberFormat="1" applyBorder="1" applyAlignment="1">
      <alignment horizontal="center"/>
    </xf>
    <xf numFmtId="165" fontId="0" fillId="0" borderId="202" xfId="0" applyNumberFormat="1" applyBorder="1" applyAlignment="1">
      <alignment horizontal="center"/>
    </xf>
    <xf numFmtId="4" fontId="2" fillId="0" borderId="0" xfId="0" applyNumberFormat="1" applyFont="1" applyAlignment="1">
      <alignment horizontal="center"/>
    </xf>
    <xf numFmtId="166" fontId="2" fillId="0" borderId="23" xfId="0" applyNumberFormat="1" applyFont="1" applyBorder="1" applyAlignment="1">
      <alignment horizontal="center"/>
    </xf>
    <xf numFmtId="166" fontId="4" fillId="0" borderId="223" xfId="0" applyNumberFormat="1" applyFont="1" applyBorder="1" applyAlignment="1">
      <alignment horizontal="center"/>
    </xf>
    <xf numFmtId="166" fontId="4" fillId="0" borderId="184" xfId="0" applyNumberFormat="1" applyFont="1" applyBorder="1" applyAlignment="1">
      <alignment horizontal="center"/>
    </xf>
    <xf numFmtId="166" fontId="4" fillId="0" borderId="210" xfId="0" applyNumberFormat="1" applyFont="1" applyBorder="1" applyAlignment="1">
      <alignment horizontal="center"/>
    </xf>
    <xf numFmtId="0" fontId="28" fillId="0" borderId="0" xfId="0" applyFont="1" applyAlignment="1">
      <alignment horizontal="center"/>
    </xf>
    <xf numFmtId="3" fontId="27" fillId="0" borderId="0" xfId="0" applyNumberFormat="1" applyFont="1" applyAlignment="1">
      <alignment horizontal="center"/>
    </xf>
    <xf numFmtId="168" fontId="23" fillId="0" borderId="0" xfId="0" applyNumberFormat="1" applyFont="1" applyAlignment="1">
      <alignment horizontal="center"/>
    </xf>
    <xf numFmtId="169" fontId="27" fillId="0" borderId="0" xfId="0" applyNumberFormat="1" applyFont="1" applyAlignment="1">
      <alignment horizontal="center"/>
    </xf>
    <xf numFmtId="0" fontId="39" fillId="0" borderId="40" xfId="0" applyFont="1" applyBorder="1" applyProtection="1">
      <protection locked="0"/>
    </xf>
    <xf numFmtId="0" fontId="39" fillId="0" borderId="41" xfId="0" applyFont="1" applyBorder="1"/>
    <xf numFmtId="0" fontId="39" fillId="0" borderId="42" xfId="0" applyFont="1" applyBorder="1"/>
    <xf numFmtId="0" fontId="39" fillId="0" borderId="91" xfId="0" applyFont="1" applyBorder="1" applyProtection="1">
      <protection locked="0"/>
    </xf>
    <xf numFmtId="0" fontId="39" fillId="0" borderId="92" xfId="0" applyFont="1" applyBorder="1"/>
    <xf numFmtId="0" fontId="39" fillId="0" borderId="93" xfId="0" applyFont="1" applyBorder="1"/>
    <xf numFmtId="0" fontId="39" fillId="0" borderId="17" xfId="0" applyFont="1" applyBorder="1" applyProtection="1">
      <protection locked="0"/>
    </xf>
    <xf numFmtId="0" fontId="38" fillId="0" borderId="48" xfId="0" applyFont="1" applyBorder="1" applyAlignment="1" applyProtection="1">
      <alignment horizontal="left"/>
      <protection locked="0"/>
    </xf>
    <xf numFmtId="2" fontId="38" fillId="0" borderId="48" xfId="0" applyNumberFormat="1" applyFont="1" applyBorder="1" applyAlignment="1" applyProtection="1">
      <alignment horizontal="left"/>
      <protection locked="0"/>
    </xf>
    <xf numFmtId="0" fontId="38" fillId="0" borderId="48" xfId="0" applyFont="1" applyBorder="1" applyProtection="1">
      <protection locked="0"/>
    </xf>
    <xf numFmtId="0" fontId="38" fillId="0" borderId="48" xfId="0" applyFont="1" applyBorder="1" applyAlignment="1" applyProtection="1">
      <alignment horizontal="right"/>
      <protection locked="0"/>
    </xf>
    <xf numFmtId="175" fontId="38" fillId="0" borderId="48" xfId="0" applyNumberFormat="1" applyFont="1" applyBorder="1" applyAlignment="1" applyProtection="1">
      <alignment horizontal="left"/>
      <protection locked="0"/>
    </xf>
    <xf numFmtId="0" fontId="38" fillId="0" borderId="49" xfId="0" applyFont="1" applyBorder="1" applyProtection="1">
      <protection locked="0"/>
    </xf>
    <xf numFmtId="0" fontId="39" fillId="0" borderId="16" xfId="0" applyFont="1" applyBorder="1" applyProtection="1">
      <protection locked="0"/>
    </xf>
    <xf numFmtId="0" fontId="38" fillId="0" borderId="0" xfId="0" applyFont="1" applyAlignment="1" applyProtection="1">
      <alignment horizontal="left"/>
      <protection locked="0"/>
    </xf>
    <xf numFmtId="2" fontId="38" fillId="0" borderId="0" xfId="0" applyNumberFormat="1" applyFont="1" applyAlignment="1" applyProtection="1">
      <alignment horizontal="left"/>
      <protection locked="0"/>
    </xf>
    <xf numFmtId="0" fontId="38" fillId="0" borderId="0" xfId="0" applyFont="1" applyProtection="1">
      <protection locked="0"/>
    </xf>
    <xf numFmtId="0" fontId="38" fillId="0" borderId="20" xfId="0" applyFont="1" applyBorder="1" applyProtection="1">
      <protection locked="0"/>
    </xf>
    <xf numFmtId="0" fontId="39" fillId="0" borderId="18" xfId="0" applyFont="1" applyBorder="1" applyProtection="1">
      <protection locked="0"/>
    </xf>
    <xf numFmtId="0" fontId="38" fillId="0" borderId="19" xfId="0" applyFont="1" applyBorder="1" applyAlignment="1" applyProtection="1">
      <alignment horizontal="left"/>
      <protection locked="0"/>
    </xf>
    <xf numFmtId="2" fontId="40" fillId="8" borderId="19" xfId="0" applyNumberFormat="1" applyFont="1" applyFill="1" applyBorder="1" applyAlignment="1" applyProtection="1">
      <alignment horizontal="left"/>
      <protection locked="0"/>
    </xf>
    <xf numFmtId="0" fontId="38" fillId="8" borderId="19" xfId="0" applyFont="1" applyFill="1" applyBorder="1" applyAlignment="1" applyProtection="1">
      <alignment horizontal="right"/>
      <protection locked="0"/>
    </xf>
    <xf numFmtId="0" fontId="39" fillId="8" borderId="19" xfId="0" applyFont="1" applyFill="1" applyBorder="1" applyProtection="1">
      <protection locked="0"/>
    </xf>
    <xf numFmtId="0" fontId="38" fillId="0" borderId="19" xfId="0" applyFont="1" applyBorder="1" applyAlignment="1" applyProtection="1">
      <alignment horizontal="right"/>
      <protection locked="0"/>
    </xf>
    <xf numFmtId="170" fontId="38" fillId="0" borderId="50" xfId="0" applyNumberFormat="1" applyFont="1" applyBorder="1" applyProtection="1">
      <protection locked="0"/>
    </xf>
    <xf numFmtId="3" fontId="2" fillId="6" borderId="209" xfId="0" applyNumberFormat="1" applyFont="1" applyFill="1" applyBorder="1" applyProtection="1">
      <protection locked="0"/>
    </xf>
    <xf numFmtId="172" fontId="2" fillId="6" borderId="209" xfId="0" applyNumberFormat="1" applyFont="1" applyFill="1" applyBorder="1" applyProtection="1">
      <protection locked="0"/>
    </xf>
    <xf numFmtId="169" fontId="5" fillId="0" borderId="22" xfId="0" applyNumberFormat="1" applyFont="1" applyBorder="1"/>
    <xf numFmtId="169" fontId="5" fillId="0" borderId="25" xfId="0" applyNumberFormat="1" applyFont="1" applyBorder="1" applyProtection="1">
      <protection locked="0"/>
    </xf>
    <xf numFmtId="169" fontId="5" fillId="0" borderId="121" xfId="0" applyNumberFormat="1" applyFont="1" applyBorder="1" applyProtection="1">
      <protection locked="0"/>
    </xf>
    <xf numFmtId="169" fontId="26" fillId="6" borderId="4" xfId="0" applyNumberFormat="1" applyFont="1" applyFill="1" applyBorder="1" applyProtection="1">
      <protection locked="0"/>
    </xf>
    <xf numFmtId="169" fontId="26" fillId="6" borderId="119" xfId="0" applyNumberFormat="1" applyFont="1" applyFill="1" applyBorder="1" applyProtection="1">
      <protection locked="0"/>
    </xf>
    <xf numFmtId="0" fontId="1" fillId="0" borderId="196" xfId="0" applyFont="1" applyBorder="1" applyProtection="1">
      <protection locked="0"/>
    </xf>
    <xf numFmtId="0" fontId="0" fillId="0" borderId="203" xfId="0" applyBorder="1" applyProtection="1">
      <protection locked="0"/>
    </xf>
    <xf numFmtId="169" fontId="0" fillId="0" borderId="4" xfId="0" applyNumberFormat="1" applyBorder="1" applyAlignment="1">
      <alignment horizontal="center"/>
    </xf>
    <xf numFmtId="168" fontId="0" fillId="0" borderId="4" xfId="0" applyNumberFormat="1" applyBorder="1" applyAlignment="1">
      <alignment horizontal="center"/>
    </xf>
    <xf numFmtId="168" fontId="0" fillId="0" borderId="23" xfId="0" applyNumberFormat="1" applyBorder="1" applyAlignment="1">
      <alignment horizontal="center"/>
    </xf>
    <xf numFmtId="0" fontId="2" fillId="0" borderId="198" xfId="0" applyFont="1" applyBorder="1" applyAlignment="1">
      <alignment horizontal="center"/>
    </xf>
    <xf numFmtId="0" fontId="2" fillId="0" borderId="195" xfId="0" applyFont="1" applyBorder="1" applyAlignment="1">
      <alignment horizontal="center"/>
    </xf>
    <xf numFmtId="0" fontId="2" fillId="0" borderId="187" xfId="0" applyFont="1" applyBorder="1" applyAlignment="1">
      <alignment horizontal="center"/>
    </xf>
    <xf numFmtId="0" fontId="0" fillId="0" borderId="194" xfId="0" applyBorder="1" applyAlignment="1">
      <alignment horizontal="center"/>
    </xf>
    <xf numFmtId="3" fontId="0" fillId="0" borderId="209" xfId="0" applyNumberFormat="1" applyBorder="1" applyAlignment="1">
      <alignment horizontal="center"/>
    </xf>
    <xf numFmtId="3" fontId="0" fillId="0" borderId="197" xfId="0" applyNumberFormat="1" applyBorder="1" applyAlignment="1">
      <alignment horizontal="center"/>
    </xf>
    <xf numFmtId="3" fontId="0" fillId="0" borderId="210" xfId="0" applyNumberFormat="1" applyBorder="1" applyAlignment="1">
      <alignment horizontal="center"/>
    </xf>
    <xf numFmtId="3" fontId="0" fillId="0" borderId="211" xfId="0" applyNumberFormat="1" applyBorder="1" applyAlignment="1">
      <alignment horizontal="center"/>
    </xf>
    <xf numFmtId="0" fontId="0" fillId="0" borderId="197" xfId="0" applyBorder="1" applyAlignment="1">
      <alignment horizontal="center"/>
    </xf>
    <xf numFmtId="3" fontId="0" fillId="0" borderId="195" xfId="0" applyNumberFormat="1" applyBorder="1" applyAlignment="1">
      <alignment horizontal="center"/>
    </xf>
    <xf numFmtId="0" fontId="0" fillId="0" borderId="194" xfId="0" applyBorder="1"/>
    <xf numFmtId="0" fontId="0" fillId="0" borderId="195" xfId="0" applyBorder="1" applyAlignment="1">
      <alignment horizontal="center"/>
    </xf>
    <xf numFmtId="0" fontId="0" fillId="0" borderId="209" xfId="0" applyBorder="1" applyAlignment="1">
      <alignment horizontal="center"/>
    </xf>
    <xf numFmtId="0" fontId="0" fillId="0" borderId="202" xfId="0" applyBorder="1"/>
    <xf numFmtId="0" fontId="2" fillId="0" borderId="225" xfId="0" applyFont="1" applyBorder="1"/>
    <xf numFmtId="0" fontId="2" fillId="0" borderId="226" xfId="0" applyFont="1" applyBorder="1"/>
    <xf numFmtId="0" fontId="2" fillId="0" borderId="152" xfId="0" applyFont="1" applyBorder="1"/>
    <xf numFmtId="0" fontId="2" fillId="0" borderId="159" xfId="0" applyFont="1" applyBorder="1"/>
    <xf numFmtId="0" fontId="2" fillId="0" borderId="170" xfId="0" applyFont="1" applyBorder="1" applyAlignment="1" applyProtection="1">
      <alignment horizontal="right"/>
      <protection locked="0"/>
    </xf>
    <xf numFmtId="1" fontId="2" fillId="0" borderId="190" xfId="0" applyNumberFormat="1" applyFont="1" applyBorder="1" applyAlignment="1" applyProtection="1">
      <alignment horizontal="center"/>
      <protection locked="0"/>
    </xf>
    <xf numFmtId="0" fontId="2" fillId="5" borderId="95" xfId="0" applyFont="1" applyFill="1" applyBorder="1" applyAlignment="1" applyProtection="1">
      <alignment horizontal="center"/>
      <protection locked="0"/>
    </xf>
    <xf numFmtId="3" fontId="1" fillId="0" borderId="53" xfId="0" applyNumberFormat="1" applyFont="1" applyBorder="1" applyAlignment="1">
      <alignment horizontal="center"/>
    </xf>
    <xf numFmtId="3" fontId="2" fillId="0" borderId="53" xfId="0" applyNumberFormat="1" applyFont="1" applyBorder="1" applyAlignment="1">
      <alignment horizontal="center"/>
    </xf>
    <xf numFmtId="0" fontId="0" fillId="9" borderId="211" xfId="0" applyFill="1" applyBorder="1" applyProtection="1">
      <protection locked="0"/>
    </xf>
    <xf numFmtId="3" fontId="0" fillId="0" borderId="198" xfId="0" applyNumberFormat="1" applyBorder="1" applyAlignment="1">
      <alignment horizontal="center"/>
    </xf>
    <xf numFmtId="0" fontId="2" fillId="6" borderId="169" xfId="0" applyFont="1" applyFill="1" applyBorder="1" applyAlignment="1">
      <alignment horizontal="center"/>
    </xf>
    <xf numFmtId="3" fontId="2" fillId="6" borderId="53" xfId="0" applyNumberFormat="1" applyFont="1" applyFill="1" applyBorder="1" applyAlignment="1">
      <alignment horizontal="center"/>
    </xf>
    <xf numFmtId="0" fontId="0" fillId="0" borderId="196" xfId="0" applyBorder="1"/>
    <xf numFmtId="0" fontId="2" fillId="0" borderId="152" xfId="0" applyFont="1" applyBorder="1" applyAlignment="1">
      <alignment horizontal="right"/>
    </xf>
    <xf numFmtId="0" fontId="0" fillId="6" borderId="203" xfId="0" applyFill="1" applyBorder="1"/>
    <xf numFmtId="0" fontId="2" fillId="6" borderId="212" xfId="0" applyFont="1" applyFill="1" applyBorder="1" applyAlignment="1">
      <alignment horizontal="right"/>
    </xf>
    <xf numFmtId="0" fontId="2" fillId="0" borderId="177" xfId="0" applyFont="1" applyBorder="1" applyAlignment="1">
      <alignment horizontal="center"/>
    </xf>
    <xf numFmtId="0" fontId="2" fillId="6" borderId="173" xfId="0" applyFont="1" applyFill="1" applyBorder="1" applyAlignment="1">
      <alignment horizontal="center"/>
    </xf>
    <xf numFmtId="3" fontId="0" fillId="6" borderId="197" xfId="0" applyNumberFormat="1" applyFill="1" applyBorder="1" applyAlignment="1">
      <alignment horizontal="center"/>
    </xf>
    <xf numFmtId="169" fontId="0" fillId="6" borderId="211" xfId="0" applyNumberFormat="1" applyFill="1" applyBorder="1" applyAlignment="1">
      <alignment horizontal="center"/>
    </xf>
    <xf numFmtId="0" fontId="2" fillId="8" borderId="11" xfId="0" applyFont="1" applyFill="1" applyBorder="1"/>
    <xf numFmtId="0" fontId="2" fillId="8" borderId="12" xfId="0" applyFont="1" applyFill="1" applyBorder="1" applyAlignment="1">
      <alignment horizontal="center"/>
    </xf>
    <xf numFmtId="0" fontId="2" fillId="8" borderId="177" xfId="0" applyFont="1" applyFill="1" applyBorder="1" applyAlignment="1">
      <alignment horizontal="center"/>
    </xf>
    <xf numFmtId="0" fontId="2" fillId="8" borderId="10" xfId="0" applyFont="1" applyFill="1" applyBorder="1" applyAlignment="1">
      <alignment horizontal="left"/>
    </xf>
    <xf numFmtId="3" fontId="0" fillId="8" borderId="4" xfId="0" applyNumberFormat="1" applyFill="1" applyBorder="1" applyAlignment="1">
      <alignment horizontal="center"/>
    </xf>
    <xf numFmtId="3" fontId="0" fillId="8" borderId="197" xfId="0" applyNumberFormat="1" applyFill="1" applyBorder="1" applyAlignment="1">
      <alignment horizontal="center"/>
    </xf>
    <xf numFmtId="0" fontId="2" fillId="8" borderId="196" xfId="0" applyFont="1" applyFill="1" applyBorder="1"/>
    <xf numFmtId="3" fontId="0" fillId="8" borderId="214" xfId="0" applyNumberFormat="1" applyFill="1" applyBorder="1" applyAlignment="1">
      <alignment horizontal="center"/>
    </xf>
    <xf numFmtId="3" fontId="0" fillId="8" borderId="198" xfId="0" applyNumberFormat="1" applyFill="1" applyBorder="1" applyAlignment="1">
      <alignment horizontal="center"/>
    </xf>
    <xf numFmtId="0" fontId="2" fillId="8" borderId="200" xfId="0" applyFont="1" applyFill="1" applyBorder="1"/>
    <xf numFmtId="3" fontId="0" fillId="8" borderId="209" xfId="0" applyNumberFormat="1" applyFill="1" applyBorder="1" applyAlignment="1">
      <alignment horizontal="center"/>
    </xf>
    <xf numFmtId="0" fontId="2" fillId="8" borderId="205" xfId="0" applyFont="1" applyFill="1" applyBorder="1" applyAlignment="1">
      <alignment horizontal="left"/>
    </xf>
    <xf numFmtId="3" fontId="0" fillId="8" borderId="210" xfId="0" applyNumberFormat="1" applyFill="1" applyBorder="1" applyAlignment="1">
      <alignment horizontal="center"/>
    </xf>
    <xf numFmtId="3" fontId="0" fillId="8" borderId="211" xfId="0" applyNumberFormat="1" applyFill="1" applyBorder="1" applyAlignment="1">
      <alignment horizontal="center"/>
    </xf>
    <xf numFmtId="168" fontId="0" fillId="0" borderId="0" xfId="0" applyNumberFormat="1" applyAlignment="1">
      <alignment horizontal="center"/>
    </xf>
    <xf numFmtId="168" fontId="0" fillId="0" borderId="7" xfId="0" applyNumberFormat="1" applyBorder="1" applyAlignment="1">
      <alignment horizontal="center"/>
    </xf>
    <xf numFmtId="169" fontId="2" fillId="6" borderId="38" xfId="0" applyNumberFormat="1" applyFont="1" applyFill="1" applyBorder="1" applyAlignment="1">
      <alignment horizontal="center"/>
    </xf>
    <xf numFmtId="169" fontId="2" fillId="6" borderId="211" xfId="0" applyNumberFormat="1" applyFont="1" applyFill="1" applyBorder="1" applyAlignment="1">
      <alignment horizontal="center"/>
    </xf>
    <xf numFmtId="169" fontId="0" fillId="6" borderId="39" xfId="0" applyNumberFormat="1" applyFill="1" applyBorder="1" applyAlignment="1">
      <alignment horizontal="center"/>
    </xf>
    <xf numFmtId="169" fontId="0" fillId="6" borderId="53" xfId="0" applyNumberFormat="1" applyFill="1" applyBorder="1" applyAlignment="1">
      <alignment horizontal="center"/>
    </xf>
    <xf numFmtId="169" fontId="0" fillId="6" borderId="67" xfId="0" applyNumberFormat="1" applyFill="1" applyBorder="1" applyAlignment="1">
      <alignment horizontal="center"/>
    </xf>
    <xf numFmtId="169" fontId="0" fillId="6" borderId="209" xfId="0" applyNumberFormat="1" applyFill="1" applyBorder="1" applyAlignment="1">
      <alignment horizontal="center"/>
    </xf>
    <xf numFmtId="169" fontId="0" fillId="6" borderId="197" xfId="0" applyNumberFormat="1" applyFill="1" applyBorder="1" applyAlignment="1">
      <alignment horizontal="center"/>
    </xf>
    <xf numFmtId="0" fontId="2" fillId="0" borderId="227" xfId="0" applyFont="1" applyBorder="1" applyAlignment="1">
      <alignment horizontal="center"/>
    </xf>
    <xf numFmtId="169" fontId="0" fillId="0" borderId="228" xfId="0" applyNumberFormat="1" applyBorder="1" applyAlignment="1">
      <alignment horizontal="center"/>
    </xf>
    <xf numFmtId="168" fontId="0" fillId="0" borderId="228" xfId="0" applyNumberFormat="1" applyBorder="1" applyAlignment="1">
      <alignment horizontal="center"/>
    </xf>
    <xf numFmtId="0" fontId="2" fillId="0" borderId="229" xfId="0" applyFont="1" applyBorder="1" applyAlignment="1">
      <alignment horizontal="center"/>
    </xf>
    <xf numFmtId="168" fontId="0" fillId="0" borderId="229" xfId="0" applyNumberFormat="1" applyBorder="1" applyAlignment="1">
      <alignment horizontal="center"/>
    </xf>
    <xf numFmtId="0" fontId="2" fillId="0" borderId="230" xfId="0" applyFont="1" applyBorder="1" applyAlignment="1">
      <alignment horizontal="center"/>
    </xf>
    <xf numFmtId="0" fontId="15" fillId="0" borderId="76" xfId="0" applyFont="1" applyBorder="1" applyAlignment="1">
      <alignment horizontal="left"/>
    </xf>
    <xf numFmtId="0" fontId="15" fillId="0" borderId="0" xfId="0" applyFont="1" applyAlignment="1">
      <alignment horizontal="left"/>
    </xf>
    <xf numFmtId="0" fontId="38" fillId="6" borderId="165" xfId="0" applyFont="1" applyFill="1" applyBorder="1" applyAlignment="1">
      <alignment horizontal="center"/>
    </xf>
    <xf numFmtId="0" fontId="38" fillId="6" borderId="166" xfId="0" applyFont="1" applyFill="1" applyBorder="1" applyAlignment="1">
      <alignment horizontal="center"/>
    </xf>
    <xf numFmtId="0" fontId="38" fillId="6" borderId="167" xfId="0" applyFont="1" applyFill="1" applyBorder="1" applyAlignment="1">
      <alignment horizontal="center"/>
    </xf>
    <xf numFmtId="0" fontId="2" fillId="0" borderId="3" xfId="0" applyFont="1" applyBorder="1" applyAlignment="1">
      <alignment horizontal="center"/>
    </xf>
    <xf numFmtId="0" fontId="2" fillId="0" borderId="0" xfId="0" applyFont="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colors>
    <mruColors>
      <color rgb="FFFFFFCC"/>
      <color rgb="FFFFFF99"/>
      <color rgb="FFFFFFFF"/>
      <color rgb="FFB889DB"/>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650" b="1" i="0" u="none" strike="noStrike" baseline="0">
                <a:solidFill>
                  <a:srgbClr val="000000"/>
                </a:solidFill>
                <a:latin typeface="Arial"/>
                <a:cs typeface="Arial"/>
              </a:rPr>
              <a:t>Sensitivity To Slaughter Lamb Price </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Cash Flow Per Slaughter Lamb)</a:t>
            </a:r>
          </a:p>
        </c:rich>
      </c:tx>
      <c:layout>
        <c:manualLayout>
          <c:xMode val="edge"/>
          <c:yMode val="edge"/>
          <c:x val="0.27289182379481147"/>
          <c:y val="1.2562738681171101E-2"/>
        </c:manualLayout>
      </c:layout>
      <c:overlay val="0"/>
      <c:spPr>
        <a:noFill/>
        <a:ln w="25400">
          <a:noFill/>
        </a:ln>
      </c:spPr>
    </c:title>
    <c:autoTitleDeleted val="0"/>
    <c:plotArea>
      <c:layout>
        <c:manualLayout>
          <c:layoutTarget val="inner"/>
          <c:xMode val="edge"/>
          <c:yMode val="edge"/>
          <c:x val="0.1476510067114094"/>
          <c:y val="0.15829145728643215"/>
          <c:w val="0.82885906040268453"/>
          <c:h val="0.72427974713277576"/>
        </c:manualLayout>
      </c:layout>
      <c:barChart>
        <c:barDir val="col"/>
        <c:grouping val="clustered"/>
        <c:varyColors val="0"/>
        <c:ser>
          <c:idx val="0"/>
          <c:order val="0"/>
          <c:tx>
            <c:strRef>
              <c:f>Sensitivity!$E$38</c:f>
              <c:strCache>
                <c:ptCount val="1"/>
                <c:pt idx="0">
                  <c:v>$/Per Lamb</c:v>
                </c:pt>
              </c:strCache>
            </c:strRef>
          </c:tx>
          <c:spPr>
            <a:solidFill>
              <a:srgbClr val="00B0F0"/>
            </a:solidFill>
            <a:ln w="12700">
              <a:solidFill>
                <a:srgbClr val="00B050"/>
              </a:solidFill>
              <a:prstDash val="solid"/>
            </a:ln>
          </c:spPr>
          <c:invertIfNegative val="0"/>
          <c:cat>
            <c:numRef>
              <c:f>Sensitivity!$B$39:$B$59</c:f>
              <c:numCache>
                <c:formatCode>"$"#,##0.00</c:formatCode>
                <c:ptCount val="21"/>
                <c:pt idx="0">
                  <c:v>2.799999999999998</c:v>
                </c:pt>
                <c:pt idx="1">
                  <c:v>2.7499999999999982</c:v>
                </c:pt>
                <c:pt idx="2">
                  <c:v>2.6999999999999984</c:v>
                </c:pt>
                <c:pt idx="3">
                  <c:v>2.6499999999999986</c:v>
                </c:pt>
                <c:pt idx="4">
                  <c:v>2.5999999999999988</c:v>
                </c:pt>
                <c:pt idx="5">
                  <c:v>2.5499999999999989</c:v>
                </c:pt>
                <c:pt idx="6">
                  <c:v>2.4999999999999991</c:v>
                </c:pt>
                <c:pt idx="7">
                  <c:v>2.4499999999999993</c:v>
                </c:pt>
                <c:pt idx="8">
                  <c:v>2.3999999999999995</c:v>
                </c:pt>
                <c:pt idx="9">
                  <c:v>2.3499999999999996</c:v>
                </c:pt>
                <c:pt idx="10">
                  <c:v>2.2999999999999998</c:v>
                </c:pt>
                <c:pt idx="11">
                  <c:v>2.25</c:v>
                </c:pt>
                <c:pt idx="12">
                  <c:v>2.2000000000000002</c:v>
                </c:pt>
                <c:pt idx="13">
                  <c:v>2.1500000000000004</c:v>
                </c:pt>
                <c:pt idx="14">
                  <c:v>2.1000000000000005</c:v>
                </c:pt>
                <c:pt idx="15">
                  <c:v>2.0500000000000007</c:v>
                </c:pt>
                <c:pt idx="16">
                  <c:v>2.0000000000000009</c:v>
                </c:pt>
                <c:pt idx="17">
                  <c:v>1.9500000000000008</c:v>
                </c:pt>
                <c:pt idx="18">
                  <c:v>1.9000000000000008</c:v>
                </c:pt>
                <c:pt idx="19">
                  <c:v>1.8500000000000008</c:v>
                </c:pt>
                <c:pt idx="20">
                  <c:v>1.8000000000000007</c:v>
                </c:pt>
              </c:numCache>
            </c:numRef>
          </c:cat>
          <c:val>
            <c:numRef>
              <c:f>Sensitivity!$E$39:$E$59</c:f>
              <c:numCache>
                <c:formatCode>"$"#,##0.00</c:formatCode>
                <c:ptCount val="21"/>
                <c:pt idx="0">
                  <c:v>90.033048634418023</c:v>
                </c:pt>
                <c:pt idx="1">
                  <c:v>84.501087637668292</c:v>
                </c:pt>
                <c:pt idx="2">
                  <c:v>78.969126640918617</c:v>
                </c:pt>
                <c:pt idx="3">
                  <c:v>73.4371656441689</c:v>
                </c:pt>
                <c:pt idx="4">
                  <c:v>67.905204647419168</c:v>
                </c:pt>
                <c:pt idx="5">
                  <c:v>62.373243650669437</c:v>
                </c:pt>
                <c:pt idx="6">
                  <c:v>56.841282653919706</c:v>
                </c:pt>
                <c:pt idx="7">
                  <c:v>51.309321657169974</c:v>
                </c:pt>
                <c:pt idx="8">
                  <c:v>45.777360660420278</c:v>
                </c:pt>
                <c:pt idx="9">
                  <c:v>40.245399663670582</c:v>
                </c:pt>
                <c:pt idx="10">
                  <c:v>34.713438666920915</c:v>
                </c:pt>
                <c:pt idx="11">
                  <c:v>29.181477670171187</c:v>
                </c:pt>
                <c:pt idx="12">
                  <c:v>23.649516673421456</c:v>
                </c:pt>
                <c:pt idx="13">
                  <c:v>18.117555676671792</c:v>
                </c:pt>
                <c:pt idx="14">
                  <c:v>12.585594679922062</c:v>
                </c:pt>
                <c:pt idx="15">
                  <c:v>7.0536336831723325</c:v>
                </c:pt>
                <c:pt idx="16">
                  <c:v>1.5216726864226346</c:v>
                </c:pt>
                <c:pt idx="17">
                  <c:v>-4.0102883103270948</c:v>
                </c:pt>
                <c:pt idx="18">
                  <c:v>-9.5422493070768546</c:v>
                </c:pt>
                <c:pt idx="19">
                  <c:v>-15.074210303826584</c:v>
                </c:pt>
                <c:pt idx="20">
                  <c:v>-20.606171300576314</c:v>
                </c:pt>
              </c:numCache>
            </c:numRef>
          </c:val>
          <c:extLst>
            <c:ext xmlns:c16="http://schemas.microsoft.com/office/drawing/2014/chart" uri="{C3380CC4-5D6E-409C-BE32-E72D297353CC}">
              <c16:uniqueId val="{00000000-F895-4DCF-8901-2400467203F1}"/>
            </c:ext>
          </c:extLst>
        </c:ser>
        <c:ser>
          <c:idx val="1"/>
          <c:order val="1"/>
          <c:tx>
            <c:strRef>
              <c:f>Sensitivity!$F$38</c:f>
              <c:strCache>
                <c:ptCount val="1"/>
                <c:pt idx="0">
                  <c:v>$C.F./Lamb</c:v>
                </c:pt>
              </c:strCache>
            </c:strRef>
          </c:tx>
          <c:invertIfNegative val="0"/>
          <c:cat>
            <c:numRef>
              <c:f>Sensitivity!$B$39:$B$59</c:f>
              <c:numCache>
                <c:formatCode>"$"#,##0.00</c:formatCode>
                <c:ptCount val="21"/>
                <c:pt idx="0">
                  <c:v>2.799999999999998</c:v>
                </c:pt>
                <c:pt idx="1">
                  <c:v>2.7499999999999982</c:v>
                </c:pt>
                <c:pt idx="2">
                  <c:v>2.6999999999999984</c:v>
                </c:pt>
                <c:pt idx="3">
                  <c:v>2.6499999999999986</c:v>
                </c:pt>
                <c:pt idx="4">
                  <c:v>2.5999999999999988</c:v>
                </c:pt>
                <c:pt idx="5">
                  <c:v>2.5499999999999989</c:v>
                </c:pt>
                <c:pt idx="6">
                  <c:v>2.4999999999999991</c:v>
                </c:pt>
                <c:pt idx="7">
                  <c:v>2.4499999999999993</c:v>
                </c:pt>
                <c:pt idx="8">
                  <c:v>2.3999999999999995</c:v>
                </c:pt>
                <c:pt idx="9">
                  <c:v>2.3499999999999996</c:v>
                </c:pt>
                <c:pt idx="10">
                  <c:v>2.2999999999999998</c:v>
                </c:pt>
                <c:pt idx="11">
                  <c:v>2.25</c:v>
                </c:pt>
                <c:pt idx="12">
                  <c:v>2.2000000000000002</c:v>
                </c:pt>
                <c:pt idx="13">
                  <c:v>2.1500000000000004</c:v>
                </c:pt>
                <c:pt idx="14">
                  <c:v>2.1000000000000005</c:v>
                </c:pt>
                <c:pt idx="15">
                  <c:v>2.0500000000000007</c:v>
                </c:pt>
                <c:pt idx="16">
                  <c:v>2.0000000000000009</c:v>
                </c:pt>
                <c:pt idx="17">
                  <c:v>1.9500000000000008</c:v>
                </c:pt>
                <c:pt idx="18">
                  <c:v>1.9000000000000008</c:v>
                </c:pt>
                <c:pt idx="19">
                  <c:v>1.8500000000000008</c:v>
                </c:pt>
                <c:pt idx="20">
                  <c:v>1.8000000000000007</c:v>
                </c:pt>
              </c:numCache>
            </c:numRef>
          </c:cat>
          <c:val>
            <c:numRef>
              <c:f>Sensitivity!$F$39:$F$59</c:f>
              <c:numCache>
                <c:formatCode>"$"#,##0.00</c:formatCode>
                <c:ptCount val="21"/>
                <c:pt idx="0">
                  <c:v>92.644477681089114</c:v>
                </c:pt>
                <c:pt idx="1">
                  <c:v>87.112516684339383</c:v>
                </c:pt>
                <c:pt idx="2">
                  <c:v>81.580555687589708</c:v>
                </c:pt>
                <c:pt idx="3">
                  <c:v>76.048594690839991</c:v>
                </c:pt>
                <c:pt idx="4">
                  <c:v>70.51663369409026</c:v>
                </c:pt>
                <c:pt idx="5">
                  <c:v>64.984672697340528</c:v>
                </c:pt>
                <c:pt idx="6">
                  <c:v>59.452711700590804</c:v>
                </c:pt>
                <c:pt idx="7">
                  <c:v>53.920750703841072</c:v>
                </c:pt>
                <c:pt idx="8">
                  <c:v>48.388789707091377</c:v>
                </c:pt>
                <c:pt idx="9">
                  <c:v>42.856828710341681</c:v>
                </c:pt>
                <c:pt idx="10">
                  <c:v>37.324867713592013</c:v>
                </c:pt>
                <c:pt idx="11">
                  <c:v>31.792906716842282</c:v>
                </c:pt>
                <c:pt idx="12">
                  <c:v>26.26094572009255</c:v>
                </c:pt>
                <c:pt idx="13">
                  <c:v>20.728984723342887</c:v>
                </c:pt>
                <c:pt idx="14">
                  <c:v>15.197023726593159</c:v>
                </c:pt>
                <c:pt idx="15">
                  <c:v>9.6650627298434291</c:v>
                </c:pt>
                <c:pt idx="16">
                  <c:v>4.1331017330937305</c:v>
                </c:pt>
                <c:pt idx="17">
                  <c:v>-1.3988592636559987</c:v>
                </c:pt>
                <c:pt idx="18">
                  <c:v>-6.930820260405758</c:v>
                </c:pt>
                <c:pt idx="19">
                  <c:v>-12.462781257155488</c:v>
                </c:pt>
                <c:pt idx="20">
                  <c:v>-17.994742253905219</c:v>
                </c:pt>
              </c:numCache>
            </c:numRef>
          </c:val>
          <c:extLst>
            <c:ext xmlns:c16="http://schemas.microsoft.com/office/drawing/2014/chart" uri="{C3380CC4-5D6E-409C-BE32-E72D297353CC}">
              <c16:uniqueId val="{00000000-3499-4B3B-ACC2-D4BE645E100C}"/>
            </c:ext>
          </c:extLst>
        </c:ser>
        <c:dLbls>
          <c:showLegendKey val="0"/>
          <c:showVal val="0"/>
          <c:showCatName val="0"/>
          <c:showSerName val="0"/>
          <c:showPercent val="0"/>
          <c:showBubbleSize val="0"/>
        </c:dLbls>
        <c:gapWidth val="150"/>
        <c:axId val="301651464"/>
        <c:axId val="1"/>
      </c:barChart>
      <c:catAx>
        <c:axId val="301651464"/>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US"/>
                  <a:t>$ Per LB</a:t>
                </a:r>
              </a:p>
            </c:rich>
          </c:tx>
          <c:layout>
            <c:manualLayout>
              <c:xMode val="edge"/>
              <c:yMode val="edge"/>
              <c:x val="0.28022309711286086"/>
              <c:y val="0.92128257979052053"/>
            </c:manualLayout>
          </c:layout>
          <c:overlay val="0"/>
          <c:spPr>
            <a:noFill/>
            <a:ln w="25400">
              <a:noFill/>
            </a:ln>
          </c:spPr>
        </c:title>
        <c:numFmt formatCode="&quot;$&quot;#,##0.00" sourceLinked="1"/>
        <c:majorTickMark val="out"/>
        <c:minorTickMark val="none"/>
        <c:tickLblPos val="nextTo"/>
        <c:spPr>
          <a:ln w="3175">
            <a:solidFill>
              <a:srgbClr val="000000"/>
            </a:solidFill>
            <a:prstDash val="solid"/>
          </a:ln>
        </c:spPr>
        <c:txPr>
          <a:bodyPr rot="-4500000" vert="horz"/>
          <a:lstStyle/>
          <a:p>
            <a:pPr>
              <a:defRPr sz="1000" b="1" i="0" u="none" strike="noStrike" baseline="0">
                <a:solidFill>
                  <a:srgbClr val="000000"/>
                </a:solidFill>
                <a:latin typeface="Arial"/>
                <a:ea typeface="Arial"/>
                <a:cs typeface="Arial"/>
              </a:defRPr>
            </a:pPr>
            <a:endParaRPr lang="en-US"/>
          </a:p>
        </c:txPr>
        <c:crossAx val="1"/>
        <c:crosses val="autoZero"/>
        <c:auto val="0"/>
        <c:lblAlgn val="ctr"/>
        <c:lblOffset val="100"/>
        <c:tickLblSkip val="1"/>
        <c:tickMarkSkip val="1"/>
        <c:noMultiLvlLbl val="0"/>
      </c:catAx>
      <c:valAx>
        <c:axId val="1"/>
        <c:scaling>
          <c:orientation val="minMax"/>
          <c:max val="150"/>
          <c:min val="-8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 Per Market Lamb</a:t>
                </a:r>
              </a:p>
            </c:rich>
          </c:tx>
          <c:layout>
            <c:manualLayout>
              <c:xMode val="edge"/>
              <c:yMode val="edge"/>
              <c:x val="2.6845621570031016E-2"/>
              <c:y val="0.25125623421366111"/>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00" b="1" i="0" u="none" strike="noStrike" baseline="0">
                <a:solidFill>
                  <a:srgbClr val="000000"/>
                </a:solidFill>
                <a:latin typeface="Arial"/>
                <a:ea typeface="Arial"/>
                <a:cs typeface="Arial"/>
              </a:defRPr>
            </a:pPr>
            <a:endParaRPr lang="en-US"/>
          </a:p>
        </c:txPr>
        <c:crossAx val="301651464"/>
        <c:crosses val="autoZero"/>
        <c:crossBetween val="between"/>
        <c:majorUnit val="10"/>
      </c:valAx>
      <c:spPr>
        <a:solidFill>
          <a:srgbClr val="C0C0C0"/>
        </a:solidFill>
        <a:ln w="12700">
          <a:solidFill>
            <a:srgbClr val="808080"/>
          </a:solidFill>
          <a:prstDash val="solid"/>
        </a:ln>
      </c:spPr>
    </c:plotArea>
    <c:legend>
      <c:legendPos val="r"/>
      <c:layout>
        <c:manualLayout>
          <c:xMode val="edge"/>
          <c:yMode val="edge"/>
          <c:x val="0.55502495386484263"/>
          <c:y val="0.92096256571797297"/>
          <c:w val="0.39315878609253807"/>
          <c:h val="6.2315783483594948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675" b="1" i="0" u="none" strike="noStrike" baseline="0">
                <a:solidFill>
                  <a:srgbClr val="000000"/>
                </a:solidFill>
                <a:latin typeface="Arial"/>
                <a:cs typeface="Arial"/>
              </a:rPr>
              <a:t>Sensitivity To Lambing Rate</a:t>
            </a:r>
            <a:r>
              <a:rPr lang="en-US" sz="1475" b="1" i="0" u="none" strike="noStrike" baseline="0">
                <a:solidFill>
                  <a:srgbClr val="000000"/>
                </a:solidFill>
                <a:latin typeface="Arial"/>
                <a:cs typeface="Arial"/>
              </a:rPr>
              <a:t> </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Cash Flow Per Market Lamb)</a:t>
            </a:r>
          </a:p>
        </c:rich>
      </c:tx>
      <c:layout>
        <c:manualLayout>
          <c:xMode val="edge"/>
          <c:yMode val="edge"/>
          <c:x val="0.25420918479070131"/>
          <c:y val="1.7592520671953226E-2"/>
        </c:manualLayout>
      </c:layout>
      <c:overlay val="0"/>
      <c:spPr>
        <a:noFill/>
        <a:ln w="25400">
          <a:noFill/>
        </a:ln>
      </c:spPr>
    </c:title>
    <c:autoTitleDeleted val="0"/>
    <c:plotArea>
      <c:layout>
        <c:manualLayout>
          <c:layoutTarget val="inner"/>
          <c:xMode val="edge"/>
          <c:yMode val="edge"/>
          <c:x val="0.14478141404199474"/>
          <c:y val="0.15109386326709162"/>
          <c:w val="0.84901233048993874"/>
          <c:h val="0.72086114235720533"/>
        </c:manualLayout>
      </c:layout>
      <c:barChart>
        <c:barDir val="col"/>
        <c:grouping val="clustered"/>
        <c:varyColors val="0"/>
        <c:ser>
          <c:idx val="1"/>
          <c:order val="0"/>
          <c:tx>
            <c:strRef>
              <c:f>Sensitivity!$E$65</c:f>
              <c:strCache>
                <c:ptCount val="1"/>
                <c:pt idx="0">
                  <c:v>$N.I. Lamb</c:v>
                </c:pt>
              </c:strCache>
            </c:strRef>
          </c:tx>
          <c:invertIfNegative val="0"/>
          <c:cat>
            <c:numRef>
              <c:f>Sensitivity!$B$66:$B$82</c:f>
              <c:numCache>
                <c:formatCode>0%</c:formatCode>
                <c:ptCount val="17"/>
                <c:pt idx="0">
                  <c:v>2.8000000000000007</c:v>
                </c:pt>
                <c:pt idx="1">
                  <c:v>2.7000000000000006</c:v>
                </c:pt>
                <c:pt idx="2">
                  <c:v>2.6000000000000005</c:v>
                </c:pt>
                <c:pt idx="3">
                  <c:v>2.5000000000000004</c:v>
                </c:pt>
                <c:pt idx="4">
                  <c:v>2.4000000000000004</c:v>
                </c:pt>
                <c:pt idx="5">
                  <c:v>2.3000000000000003</c:v>
                </c:pt>
                <c:pt idx="6">
                  <c:v>2.2000000000000002</c:v>
                </c:pt>
                <c:pt idx="7">
                  <c:v>2.1</c:v>
                </c:pt>
                <c:pt idx="8">
                  <c:v>2</c:v>
                </c:pt>
                <c:pt idx="9">
                  <c:v>1.9</c:v>
                </c:pt>
                <c:pt idx="10">
                  <c:v>1.7999999999999998</c:v>
                </c:pt>
                <c:pt idx="11">
                  <c:v>1.6999999999999997</c:v>
                </c:pt>
                <c:pt idx="12">
                  <c:v>1.5999999999999996</c:v>
                </c:pt>
                <c:pt idx="13">
                  <c:v>1.4999999999999996</c:v>
                </c:pt>
                <c:pt idx="14">
                  <c:v>1.3999999999999995</c:v>
                </c:pt>
                <c:pt idx="15">
                  <c:v>1.2999999999999994</c:v>
                </c:pt>
                <c:pt idx="16">
                  <c:v>1.1999999999999993</c:v>
                </c:pt>
              </c:numCache>
            </c:numRef>
          </c:cat>
          <c:val>
            <c:numRef>
              <c:f>Sensitivity!$E$66:$E$82</c:f>
              <c:numCache>
                <c:formatCode>"$"#,##0.00</c:formatCode>
                <c:ptCount val="17"/>
                <c:pt idx="0">
                  <c:v>86.413928246793404</c:v>
                </c:pt>
                <c:pt idx="1">
                  <c:v>81.923863774954739</c:v>
                </c:pt>
                <c:pt idx="2">
                  <c:v>77.274548952853138</c:v>
                </c:pt>
                <c:pt idx="3">
                  <c:v>72.005707440141606</c:v>
                </c:pt>
                <c:pt idx="4">
                  <c:v>66.386057084412485</c:v>
                </c:pt>
                <c:pt idx="5">
                  <c:v>60.244176594615759</c:v>
                </c:pt>
                <c:pt idx="6">
                  <c:v>53.503723006236996</c:v>
                </c:pt>
                <c:pt idx="7">
                  <c:v>46.072710698336174</c:v>
                </c:pt>
                <c:pt idx="8">
                  <c:v>37.650415851431255</c:v>
                </c:pt>
                <c:pt idx="9">
                  <c:v>28.455010656877239</c:v>
                </c:pt>
                <c:pt idx="10">
                  <c:v>13.977982688606712</c:v>
                </c:pt>
                <c:pt idx="11">
                  <c:v>6.5046885795547329</c:v>
                </c:pt>
                <c:pt idx="12">
                  <c:v>-6.7411954326226153</c:v>
                </c:pt>
                <c:pt idx="13">
                  <c:v>-21.949432631789271</c:v>
                </c:pt>
                <c:pt idx="14">
                  <c:v>-40.005902407454812</c:v>
                </c:pt>
                <c:pt idx="15">
                  <c:v>-60.790924796706221</c:v>
                </c:pt>
                <c:pt idx="16">
                  <c:v>-85.543212870213083</c:v>
                </c:pt>
              </c:numCache>
            </c:numRef>
          </c:val>
          <c:extLst>
            <c:ext xmlns:c16="http://schemas.microsoft.com/office/drawing/2014/chart" uri="{C3380CC4-5D6E-409C-BE32-E72D297353CC}">
              <c16:uniqueId val="{00000000-3375-49BE-9A1F-00B20F70238B}"/>
            </c:ext>
          </c:extLst>
        </c:ser>
        <c:ser>
          <c:idx val="0"/>
          <c:order val="1"/>
          <c:tx>
            <c:strRef>
              <c:f>Sensitivity!$F$65</c:f>
              <c:strCache>
                <c:ptCount val="1"/>
                <c:pt idx="0">
                  <c:v>$C.F./Lamb</c:v>
                </c:pt>
              </c:strCache>
            </c:strRef>
          </c:tx>
          <c:spPr>
            <a:solidFill>
              <a:srgbClr val="00B050"/>
            </a:solidFill>
          </c:spPr>
          <c:invertIfNegative val="0"/>
          <c:cat>
            <c:numRef>
              <c:f>Sensitivity!$B$66:$B$82</c:f>
              <c:numCache>
                <c:formatCode>0%</c:formatCode>
                <c:ptCount val="17"/>
                <c:pt idx="0">
                  <c:v>2.8000000000000007</c:v>
                </c:pt>
                <c:pt idx="1">
                  <c:v>2.7000000000000006</c:v>
                </c:pt>
                <c:pt idx="2">
                  <c:v>2.6000000000000005</c:v>
                </c:pt>
                <c:pt idx="3">
                  <c:v>2.5000000000000004</c:v>
                </c:pt>
                <c:pt idx="4">
                  <c:v>2.4000000000000004</c:v>
                </c:pt>
                <c:pt idx="5">
                  <c:v>2.3000000000000003</c:v>
                </c:pt>
                <c:pt idx="6">
                  <c:v>2.2000000000000002</c:v>
                </c:pt>
                <c:pt idx="7">
                  <c:v>2.1</c:v>
                </c:pt>
                <c:pt idx="8">
                  <c:v>2</c:v>
                </c:pt>
                <c:pt idx="9">
                  <c:v>1.9</c:v>
                </c:pt>
                <c:pt idx="10">
                  <c:v>1.7999999999999998</c:v>
                </c:pt>
                <c:pt idx="11">
                  <c:v>1.6999999999999997</c:v>
                </c:pt>
                <c:pt idx="12">
                  <c:v>1.5999999999999996</c:v>
                </c:pt>
                <c:pt idx="13">
                  <c:v>1.4999999999999996</c:v>
                </c:pt>
                <c:pt idx="14">
                  <c:v>1.3999999999999995</c:v>
                </c:pt>
                <c:pt idx="15">
                  <c:v>1.2999999999999994</c:v>
                </c:pt>
                <c:pt idx="16">
                  <c:v>1.1999999999999993</c:v>
                </c:pt>
              </c:numCache>
            </c:numRef>
          </c:cat>
          <c:val>
            <c:numRef>
              <c:f>Sensitivity!$F$66:$F$82</c:f>
              <c:numCache>
                <c:formatCode>"$"#,##0.00</c:formatCode>
                <c:ptCount val="17"/>
                <c:pt idx="0">
                  <c:v>88.388006060124624</c:v>
                </c:pt>
                <c:pt idx="1">
                  <c:v>83.976971960710628</c:v>
                </c:pt>
                <c:pt idx="2">
                  <c:v>79.409490502965994</c:v>
                </c:pt>
                <c:pt idx="3">
                  <c:v>74.23338674705235</c:v>
                </c:pt>
                <c:pt idx="4">
                  <c:v>68.712648792981426</c:v>
                </c:pt>
                <c:pt idx="5">
                  <c:v>62.678872564390929</c:v>
                </c:pt>
                <c:pt idx="6">
                  <c:v>56.057058821996975</c:v>
                </c:pt>
                <c:pt idx="7">
                  <c:v>48.756840999090542</c:v>
                </c:pt>
                <c:pt idx="8">
                  <c:v>40.482788366210833</c:v>
                </c:pt>
                <c:pt idx="9">
                  <c:v>31.449233029644223</c:v>
                </c:pt>
                <c:pt idx="10">
                  <c:v>16.81035520338629</c:v>
                </c:pt>
                <c:pt idx="11">
                  <c:v>9.8852622262271339</c:v>
                </c:pt>
                <c:pt idx="12">
                  <c:v>-3.1274787758348754</c:v>
                </c:pt>
                <c:pt idx="13">
                  <c:v>-18.068033259683922</c:v>
                </c:pt>
                <c:pt idx="14">
                  <c:v>-35.80668810418404</c:v>
                </c:pt>
                <c:pt idx="15">
                  <c:v>-56.225869853377766</c:v>
                </c:pt>
                <c:pt idx="16">
                  <c:v>-80.542488782915527</c:v>
                </c:pt>
              </c:numCache>
            </c:numRef>
          </c:val>
          <c:extLst>
            <c:ext xmlns:c16="http://schemas.microsoft.com/office/drawing/2014/chart" uri="{C3380CC4-5D6E-409C-BE32-E72D297353CC}">
              <c16:uniqueId val="{00000000-A35D-4597-8EEF-73DA661C3C0F}"/>
            </c:ext>
          </c:extLst>
        </c:ser>
        <c:dLbls>
          <c:showLegendKey val="0"/>
          <c:showVal val="0"/>
          <c:showCatName val="0"/>
          <c:showSerName val="0"/>
          <c:showPercent val="0"/>
          <c:showBubbleSize val="0"/>
        </c:dLbls>
        <c:gapWidth val="150"/>
        <c:axId val="301644576"/>
        <c:axId val="1"/>
      </c:barChart>
      <c:catAx>
        <c:axId val="301644576"/>
        <c:scaling>
          <c:orientation val="minMax"/>
        </c:scaling>
        <c:delete val="0"/>
        <c:axPos val="b"/>
        <c:minorGridlines/>
        <c:title>
          <c:tx>
            <c:rich>
              <a:bodyPr/>
              <a:lstStyle/>
              <a:p>
                <a:pPr>
                  <a:defRPr sz="1200" b="1" i="0" u="none" strike="noStrike" baseline="0">
                    <a:solidFill>
                      <a:srgbClr val="000000"/>
                    </a:solidFill>
                    <a:latin typeface="Arial"/>
                    <a:ea typeface="Arial"/>
                    <a:cs typeface="Arial"/>
                  </a:defRPr>
                </a:pPr>
                <a:r>
                  <a:rPr lang="en-US"/>
                  <a:t>Productivity Rate</a:t>
                </a:r>
              </a:p>
            </c:rich>
          </c:tx>
          <c:layout>
            <c:manualLayout>
              <c:xMode val="edge"/>
              <c:yMode val="edge"/>
              <c:x val="0.22615102799650044"/>
              <c:y val="0.91728083989501319"/>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4500000" vert="horz"/>
          <a:lstStyle/>
          <a:p>
            <a:pPr>
              <a:defRPr sz="100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max val="140"/>
          <c:min val="-10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Dollars Per Market Lamb</a:t>
                </a:r>
              </a:p>
            </c:rich>
          </c:tx>
          <c:layout>
            <c:manualLayout>
              <c:xMode val="edge"/>
              <c:yMode val="edge"/>
              <c:x val="2.6936037292213472E-2"/>
              <c:y val="0.25061417322834645"/>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00" b="1" i="0" u="none" strike="noStrike" baseline="0">
                <a:solidFill>
                  <a:srgbClr val="000000"/>
                </a:solidFill>
                <a:latin typeface="Arial"/>
                <a:ea typeface="Arial"/>
                <a:cs typeface="Arial"/>
              </a:defRPr>
            </a:pPr>
            <a:endParaRPr lang="en-US"/>
          </a:p>
        </c:txPr>
        <c:crossAx val="301644576"/>
        <c:crosses val="autoZero"/>
        <c:crossBetween val="between"/>
        <c:majorUnit val="10"/>
      </c:valAx>
      <c:spPr>
        <a:solidFill>
          <a:srgbClr val="C0C0C0"/>
        </a:solidFill>
        <a:ln w="12700">
          <a:solidFill>
            <a:srgbClr val="808080"/>
          </a:solidFill>
          <a:prstDash val="solid"/>
        </a:ln>
      </c:spPr>
    </c:plotArea>
    <c:legend>
      <c:legendPos val="r"/>
      <c:layout>
        <c:manualLayout>
          <c:xMode val="edge"/>
          <c:yMode val="edge"/>
          <c:x val="0.58443991028189979"/>
          <c:y val="0.91619093192555301"/>
          <c:w val="0.37496106580710714"/>
          <c:h val="6.0998736831733825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475" b="1" i="0" u="none" strike="noStrike" baseline="0">
                <a:solidFill>
                  <a:srgbClr val="000000"/>
                </a:solidFill>
                <a:latin typeface="Arial"/>
                <a:cs typeface="Arial"/>
              </a:rPr>
              <a:t>Sensitivity To Feed and Pasture Price Change</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Cash Flow Per Market Lamb) </a:t>
            </a:r>
          </a:p>
        </c:rich>
      </c:tx>
      <c:layout>
        <c:manualLayout>
          <c:xMode val="edge"/>
          <c:yMode val="edge"/>
          <c:x val="0.132773198272091"/>
          <c:y val="3.1325235199490008E-2"/>
        </c:manualLayout>
      </c:layout>
      <c:overlay val="0"/>
      <c:spPr>
        <a:noFill/>
        <a:ln w="25400">
          <a:noFill/>
        </a:ln>
      </c:spPr>
    </c:title>
    <c:autoTitleDeleted val="0"/>
    <c:plotArea>
      <c:layout>
        <c:manualLayout>
          <c:layoutTarget val="inner"/>
          <c:xMode val="edge"/>
          <c:yMode val="edge"/>
          <c:x val="0.13781523914722224"/>
          <c:y val="0.15646583502904834"/>
          <c:w val="0.83865615042029151"/>
          <c:h val="0.72681810138901182"/>
        </c:manualLayout>
      </c:layout>
      <c:barChart>
        <c:barDir val="col"/>
        <c:grouping val="clustered"/>
        <c:varyColors val="0"/>
        <c:ser>
          <c:idx val="0"/>
          <c:order val="0"/>
          <c:tx>
            <c:strRef>
              <c:f>Sensitivity!$E$91</c:f>
              <c:strCache>
                <c:ptCount val="1"/>
                <c:pt idx="0">
                  <c:v>$/Per Lamb</c:v>
                </c:pt>
              </c:strCache>
            </c:strRef>
          </c:tx>
          <c:spPr>
            <a:solidFill>
              <a:schemeClr val="tx1">
                <a:lumMod val="50000"/>
                <a:lumOff val="50000"/>
              </a:schemeClr>
            </a:solidFill>
            <a:ln w="12700">
              <a:solidFill>
                <a:srgbClr val="000000"/>
              </a:solidFill>
              <a:prstDash val="solid"/>
            </a:ln>
          </c:spPr>
          <c:invertIfNegative val="0"/>
          <c:cat>
            <c:strRef>
              <c:f>Sensitivity!$B$92:$B$112</c:f>
              <c:strCache>
                <c:ptCount val="21"/>
                <c:pt idx="0">
                  <c:v>50%</c:v>
                </c:pt>
                <c:pt idx="1">
                  <c:v>45%</c:v>
                </c:pt>
                <c:pt idx="2">
                  <c:v>40%</c:v>
                </c:pt>
                <c:pt idx="3">
                  <c:v>35%</c:v>
                </c:pt>
                <c:pt idx="4">
                  <c:v>30%</c:v>
                </c:pt>
                <c:pt idx="5">
                  <c:v>25%</c:v>
                </c:pt>
                <c:pt idx="6">
                  <c:v>20%</c:v>
                </c:pt>
                <c:pt idx="7">
                  <c:v>15%</c:v>
                </c:pt>
                <c:pt idx="8">
                  <c:v>10%</c:v>
                </c:pt>
                <c:pt idx="9">
                  <c:v>5%</c:v>
                </c:pt>
                <c:pt idx="10">
                  <c:v>Base</c:v>
                </c:pt>
                <c:pt idx="11">
                  <c:v>-5%</c:v>
                </c:pt>
                <c:pt idx="12">
                  <c:v>-10%</c:v>
                </c:pt>
                <c:pt idx="13">
                  <c:v>-15%</c:v>
                </c:pt>
                <c:pt idx="14">
                  <c:v>-20%</c:v>
                </c:pt>
                <c:pt idx="15">
                  <c:v>-25%</c:v>
                </c:pt>
                <c:pt idx="16">
                  <c:v>-30%</c:v>
                </c:pt>
                <c:pt idx="17">
                  <c:v>-35%</c:v>
                </c:pt>
                <c:pt idx="18">
                  <c:v>-40%</c:v>
                </c:pt>
                <c:pt idx="19">
                  <c:v>-45%</c:v>
                </c:pt>
                <c:pt idx="20">
                  <c:v>-50%</c:v>
                </c:pt>
              </c:strCache>
            </c:strRef>
          </c:cat>
          <c:val>
            <c:numRef>
              <c:f>Sensitivity!$E$92:$E$112</c:f>
              <c:numCache>
                <c:formatCode>"$"#,##0.00</c:formatCode>
                <c:ptCount val="21"/>
                <c:pt idx="0">
                  <c:v>-21.688305216567954</c:v>
                </c:pt>
                <c:pt idx="1">
                  <c:v>-16.048130828219065</c:v>
                </c:pt>
                <c:pt idx="2">
                  <c:v>-10.407956439870206</c:v>
                </c:pt>
                <c:pt idx="3">
                  <c:v>-4.7677820515213165</c:v>
                </c:pt>
                <c:pt idx="4">
                  <c:v>0.87239233682757344</c:v>
                </c:pt>
                <c:pt idx="5">
                  <c:v>6.5125667251764634</c:v>
                </c:pt>
                <c:pt idx="6">
                  <c:v>12.152741113525353</c:v>
                </c:pt>
                <c:pt idx="7">
                  <c:v>17.792915501874244</c:v>
                </c:pt>
                <c:pt idx="8">
                  <c:v>23.433089890223133</c:v>
                </c:pt>
                <c:pt idx="9">
                  <c:v>29.073264278572026</c:v>
                </c:pt>
                <c:pt idx="10">
                  <c:v>34.713438666920915</c:v>
                </c:pt>
                <c:pt idx="11">
                  <c:v>40.353613055269804</c:v>
                </c:pt>
                <c:pt idx="12">
                  <c:v>45.993787443618693</c:v>
                </c:pt>
                <c:pt idx="13">
                  <c:v>51.633961831967589</c:v>
                </c:pt>
                <c:pt idx="14">
                  <c:v>57.274136220316478</c:v>
                </c:pt>
                <c:pt idx="15">
                  <c:v>62.914310608665367</c:v>
                </c:pt>
                <c:pt idx="16">
                  <c:v>68.554484997014256</c:v>
                </c:pt>
                <c:pt idx="17">
                  <c:v>74.194659385363153</c:v>
                </c:pt>
                <c:pt idx="18">
                  <c:v>79.834833773712035</c:v>
                </c:pt>
                <c:pt idx="19">
                  <c:v>85.475008162060931</c:v>
                </c:pt>
                <c:pt idx="20">
                  <c:v>91.115182550409813</c:v>
                </c:pt>
              </c:numCache>
            </c:numRef>
          </c:val>
          <c:extLst>
            <c:ext xmlns:c16="http://schemas.microsoft.com/office/drawing/2014/chart" uri="{C3380CC4-5D6E-409C-BE32-E72D297353CC}">
              <c16:uniqueId val="{00000000-061B-4C8B-9DC0-05FB5F2EEFC0}"/>
            </c:ext>
          </c:extLst>
        </c:ser>
        <c:ser>
          <c:idx val="1"/>
          <c:order val="1"/>
          <c:tx>
            <c:strRef>
              <c:f>Sensitivity!$F$91</c:f>
              <c:strCache>
                <c:ptCount val="1"/>
                <c:pt idx="0">
                  <c:v>$C.F./Lamb</c:v>
                </c:pt>
              </c:strCache>
            </c:strRef>
          </c:tx>
          <c:spPr>
            <a:solidFill>
              <a:srgbClr val="00B050"/>
            </a:solidFill>
          </c:spPr>
          <c:invertIfNegative val="0"/>
          <c:cat>
            <c:strRef>
              <c:f>Sensitivity!$B$92:$B$112</c:f>
              <c:strCache>
                <c:ptCount val="21"/>
                <c:pt idx="0">
                  <c:v>50%</c:v>
                </c:pt>
                <c:pt idx="1">
                  <c:v>45%</c:v>
                </c:pt>
                <c:pt idx="2">
                  <c:v>40%</c:v>
                </c:pt>
                <c:pt idx="3">
                  <c:v>35%</c:v>
                </c:pt>
                <c:pt idx="4">
                  <c:v>30%</c:v>
                </c:pt>
                <c:pt idx="5">
                  <c:v>25%</c:v>
                </c:pt>
                <c:pt idx="6">
                  <c:v>20%</c:v>
                </c:pt>
                <c:pt idx="7">
                  <c:v>15%</c:v>
                </c:pt>
                <c:pt idx="8">
                  <c:v>10%</c:v>
                </c:pt>
                <c:pt idx="9">
                  <c:v>5%</c:v>
                </c:pt>
                <c:pt idx="10">
                  <c:v>Base</c:v>
                </c:pt>
                <c:pt idx="11">
                  <c:v>-5%</c:v>
                </c:pt>
                <c:pt idx="12">
                  <c:v>-10%</c:v>
                </c:pt>
                <c:pt idx="13">
                  <c:v>-15%</c:v>
                </c:pt>
                <c:pt idx="14">
                  <c:v>-20%</c:v>
                </c:pt>
                <c:pt idx="15">
                  <c:v>-25%</c:v>
                </c:pt>
                <c:pt idx="16">
                  <c:v>-30%</c:v>
                </c:pt>
                <c:pt idx="17">
                  <c:v>-35%</c:v>
                </c:pt>
                <c:pt idx="18">
                  <c:v>-40%</c:v>
                </c:pt>
                <c:pt idx="19">
                  <c:v>-45%</c:v>
                </c:pt>
                <c:pt idx="20">
                  <c:v>-50%</c:v>
                </c:pt>
              </c:strCache>
            </c:strRef>
          </c:cat>
          <c:val>
            <c:numRef>
              <c:f>Sensitivity!$F$92:$F$112</c:f>
              <c:numCache>
                <c:formatCode>"$"#,##0.00</c:formatCode>
                <c:ptCount val="21"/>
                <c:pt idx="0">
                  <c:v>-19.07687616989686</c:v>
                </c:pt>
                <c:pt idx="1">
                  <c:v>-13.436701781547969</c:v>
                </c:pt>
                <c:pt idx="2">
                  <c:v>-7.7965273931991099</c:v>
                </c:pt>
                <c:pt idx="3">
                  <c:v>-2.1563530048502204</c:v>
                </c:pt>
                <c:pt idx="4">
                  <c:v>3.4838213834986695</c:v>
                </c:pt>
                <c:pt idx="5">
                  <c:v>9.1239957718475591</c:v>
                </c:pt>
                <c:pt idx="6">
                  <c:v>14.76417016019645</c:v>
                </c:pt>
                <c:pt idx="7">
                  <c:v>20.404344548545339</c:v>
                </c:pt>
                <c:pt idx="8">
                  <c:v>26.044518936894228</c:v>
                </c:pt>
                <c:pt idx="9">
                  <c:v>31.684693325243121</c:v>
                </c:pt>
                <c:pt idx="10">
                  <c:v>37.324867713592013</c:v>
                </c:pt>
                <c:pt idx="11">
                  <c:v>42.965042101940902</c:v>
                </c:pt>
                <c:pt idx="12">
                  <c:v>48.605216490289791</c:v>
                </c:pt>
                <c:pt idx="13">
                  <c:v>54.245390878638688</c:v>
                </c:pt>
                <c:pt idx="14">
                  <c:v>59.885565266987577</c:v>
                </c:pt>
                <c:pt idx="15">
                  <c:v>65.525739655336466</c:v>
                </c:pt>
                <c:pt idx="16">
                  <c:v>71.165914043685348</c:v>
                </c:pt>
                <c:pt idx="17">
                  <c:v>76.806088432034244</c:v>
                </c:pt>
                <c:pt idx="18">
                  <c:v>82.446262820383126</c:v>
                </c:pt>
                <c:pt idx="19">
                  <c:v>88.086437208732022</c:v>
                </c:pt>
                <c:pt idx="20">
                  <c:v>93.726611597080904</c:v>
                </c:pt>
              </c:numCache>
            </c:numRef>
          </c:val>
          <c:extLst>
            <c:ext xmlns:c16="http://schemas.microsoft.com/office/drawing/2014/chart" uri="{C3380CC4-5D6E-409C-BE32-E72D297353CC}">
              <c16:uniqueId val="{00000000-7E42-4941-A900-63932DD84F58}"/>
            </c:ext>
          </c:extLst>
        </c:ser>
        <c:dLbls>
          <c:showLegendKey val="0"/>
          <c:showVal val="0"/>
          <c:showCatName val="0"/>
          <c:showSerName val="0"/>
          <c:showPercent val="0"/>
          <c:showBubbleSize val="0"/>
        </c:dLbls>
        <c:gapWidth val="150"/>
        <c:axId val="301649496"/>
        <c:axId val="1"/>
      </c:barChart>
      <c:catAx>
        <c:axId val="301649496"/>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US"/>
                  <a:t>Feed and Pasture Price Change (%)</a:t>
                </a:r>
              </a:p>
            </c:rich>
          </c:tx>
          <c:layout>
            <c:manualLayout>
              <c:xMode val="edge"/>
              <c:yMode val="edge"/>
              <c:x val="0.10958188995124932"/>
              <c:y val="0.9094299925939783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3120000" vert="horz"/>
          <a:lstStyle/>
          <a:p>
            <a:pPr>
              <a:defRPr sz="100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max val="150"/>
          <c:min val="-8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Dollars Per Market Lamb</a:t>
                </a:r>
              </a:p>
            </c:rich>
          </c:tx>
          <c:layout>
            <c:manualLayout>
              <c:xMode val="edge"/>
              <c:yMode val="edge"/>
              <c:x val="2.6890754866579179E-2"/>
              <c:y val="0.25301214720076498"/>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00" b="1" i="0" u="none" strike="noStrike" baseline="0">
                <a:solidFill>
                  <a:srgbClr val="000000"/>
                </a:solidFill>
                <a:latin typeface="Arial"/>
                <a:ea typeface="Arial"/>
                <a:cs typeface="Arial"/>
              </a:defRPr>
            </a:pPr>
            <a:endParaRPr lang="en-US"/>
          </a:p>
        </c:txPr>
        <c:crossAx val="301649496"/>
        <c:crosses val="autoZero"/>
        <c:crossBetween val="between"/>
        <c:majorUnit val="10"/>
      </c:valAx>
      <c:spPr>
        <a:solidFill>
          <a:srgbClr val="C0C0C0"/>
        </a:solidFill>
        <a:ln w="12700">
          <a:solidFill>
            <a:srgbClr val="808080"/>
          </a:solidFill>
          <a:prstDash val="solid"/>
        </a:ln>
      </c:spPr>
    </c:plotArea>
    <c:legend>
      <c:legendPos val="r"/>
      <c:layout>
        <c:manualLayout>
          <c:xMode val="edge"/>
          <c:yMode val="edge"/>
          <c:x val="0.62723376733012792"/>
          <c:y val="0.9228646845662587"/>
          <c:w val="0.35154400517992235"/>
          <c:h val="5.7608085633086725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650" b="1" i="0" u="none" strike="noStrike" baseline="0">
                <a:solidFill>
                  <a:srgbClr val="000000"/>
                </a:solidFill>
                <a:latin typeface="Arial"/>
                <a:cs typeface="Arial"/>
              </a:rPr>
              <a:t>Sensitivity To Feeder Lamb Price </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Cash Flow Per Feeder Lamb)</a:t>
            </a:r>
          </a:p>
        </c:rich>
      </c:tx>
      <c:layout>
        <c:manualLayout>
          <c:xMode val="edge"/>
          <c:yMode val="edge"/>
          <c:x val="0.2684562157003102"/>
          <c:y val="1.2562836425107879E-2"/>
        </c:manualLayout>
      </c:layout>
      <c:overlay val="0"/>
      <c:spPr>
        <a:noFill/>
        <a:ln w="25400">
          <a:noFill/>
        </a:ln>
      </c:spPr>
    </c:title>
    <c:autoTitleDeleted val="0"/>
    <c:plotArea>
      <c:layout>
        <c:manualLayout>
          <c:layoutTarget val="inner"/>
          <c:xMode val="edge"/>
          <c:yMode val="edge"/>
          <c:x val="0.1476510067114094"/>
          <c:y val="0.15829145728643215"/>
          <c:w val="0.82885906040268453"/>
          <c:h val="0.72427974713277576"/>
        </c:manualLayout>
      </c:layout>
      <c:barChart>
        <c:barDir val="col"/>
        <c:grouping val="clustered"/>
        <c:varyColors val="0"/>
        <c:ser>
          <c:idx val="0"/>
          <c:order val="0"/>
          <c:tx>
            <c:strRef>
              <c:f>Sensitivity!$E$9</c:f>
              <c:strCache>
                <c:ptCount val="1"/>
                <c:pt idx="0">
                  <c:v>$/Per Lamb</c:v>
                </c:pt>
              </c:strCache>
            </c:strRef>
          </c:tx>
          <c:spPr>
            <a:solidFill>
              <a:srgbClr val="00B050"/>
            </a:solidFill>
            <a:ln w="12700">
              <a:solidFill>
                <a:srgbClr val="00B050"/>
              </a:solidFill>
              <a:prstDash val="solid"/>
            </a:ln>
          </c:spPr>
          <c:invertIfNegative val="0"/>
          <c:cat>
            <c:numRef>
              <c:f>Sensitivity!$B$10:$B$30</c:f>
              <c:numCache>
                <c:formatCode>"$"#,##0.00</c:formatCode>
                <c:ptCount val="21"/>
                <c:pt idx="0">
                  <c:v>3.0999999999999983</c:v>
                </c:pt>
                <c:pt idx="1">
                  <c:v>3.0499999999999985</c:v>
                </c:pt>
                <c:pt idx="2">
                  <c:v>2.9999999999999987</c:v>
                </c:pt>
                <c:pt idx="3">
                  <c:v>2.9499999999999988</c:v>
                </c:pt>
                <c:pt idx="4">
                  <c:v>2.899999999999999</c:v>
                </c:pt>
                <c:pt idx="5">
                  <c:v>2.8499999999999992</c:v>
                </c:pt>
                <c:pt idx="6">
                  <c:v>2.7999999999999994</c:v>
                </c:pt>
                <c:pt idx="7">
                  <c:v>2.7499999999999996</c:v>
                </c:pt>
                <c:pt idx="8">
                  <c:v>2.6999999999999997</c:v>
                </c:pt>
                <c:pt idx="9">
                  <c:v>2.65</c:v>
                </c:pt>
                <c:pt idx="10">
                  <c:v>2.6</c:v>
                </c:pt>
                <c:pt idx="11">
                  <c:v>2.5500000000000003</c:v>
                </c:pt>
                <c:pt idx="12">
                  <c:v>2.5000000000000004</c:v>
                </c:pt>
                <c:pt idx="13">
                  <c:v>2.4500000000000006</c:v>
                </c:pt>
                <c:pt idx="14">
                  <c:v>2.4000000000000008</c:v>
                </c:pt>
                <c:pt idx="15">
                  <c:v>2.350000000000001</c:v>
                </c:pt>
                <c:pt idx="16">
                  <c:v>2.3000000000000012</c:v>
                </c:pt>
                <c:pt idx="17">
                  <c:v>2.2500000000000013</c:v>
                </c:pt>
                <c:pt idx="18">
                  <c:v>2.2000000000000015</c:v>
                </c:pt>
                <c:pt idx="19">
                  <c:v>2.1500000000000017</c:v>
                </c:pt>
                <c:pt idx="20">
                  <c:v>2.1000000000000019</c:v>
                </c:pt>
              </c:numCache>
            </c:numRef>
          </c:cat>
          <c:val>
            <c:numRef>
              <c:f>Sensitivity!$E$10:$E$30</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5D70-4633-A63A-D9859B879757}"/>
            </c:ext>
          </c:extLst>
        </c:ser>
        <c:ser>
          <c:idx val="1"/>
          <c:order val="1"/>
          <c:tx>
            <c:strRef>
              <c:f>Sensitivity!$F$9</c:f>
              <c:strCache>
                <c:ptCount val="1"/>
                <c:pt idx="0">
                  <c:v>$C.F./Lamb</c:v>
                </c:pt>
              </c:strCache>
            </c:strRef>
          </c:tx>
          <c:spPr>
            <a:solidFill>
              <a:srgbClr val="7030A0"/>
            </a:solidFill>
          </c:spPr>
          <c:invertIfNegative val="0"/>
          <c:cat>
            <c:numRef>
              <c:f>Sensitivity!$B$10:$B$30</c:f>
              <c:numCache>
                <c:formatCode>"$"#,##0.00</c:formatCode>
                <c:ptCount val="21"/>
                <c:pt idx="0">
                  <c:v>3.0999999999999983</c:v>
                </c:pt>
                <c:pt idx="1">
                  <c:v>3.0499999999999985</c:v>
                </c:pt>
                <c:pt idx="2">
                  <c:v>2.9999999999999987</c:v>
                </c:pt>
                <c:pt idx="3">
                  <c:v>2.9499999999999988</c:v>
                </c:pt>
                <c:pt idx="4">
                  <c:v>2.899999999999999</c:v>
                </c:pt>
                <c:pt idx="5">
                  <c:v>2.8499999999999992</c:v>
                </c:pt>
                <c:pt idx="6">
                  <c:v>2.7999999999999994</c:v>
                </c:pt>
                <c:pt idx="7">
                  <c:v>2.7499999999999996</c:v>
                </c:pt>
                <c:pt idx="8">
                  <c:v>2.6999999999999997</c:v>
                </c:pt>
                <c:pt idx="9">
                  <c:v>2.65</c:v>
                </c:pt>
                <c:pt idx="10">
                  <c:v>2.6</c:v>
                </c:pt>
                <c:pt idx="11">
                  <c:v>2.5500000000000003</c:v>
                </c:pt>
                <c:pt idx="12">
                  <c:v>2.5000000000000004</c:v>
                </c:pt>
                <c:pt idx="13">
                  <c:v>2.4500000000000006</c:v>
                </c:pt>
                <c:pt idx="14">
                  <c:v>2.4000000000000008</c:v>
                </c:pt>
                <c:pt idx="15">
                  <c:v>2.350000000000001</c:v>
                </c:pt>
                <c:pt idx="16">
                  <c:v>2.3000000000000012</c:v>
                </c:pt>
                <c:pt idx="17">
                  <c:v>2.2500000000000013</c:v>
                </c:pt>
                <c:pt idx="18">
                  <c:v>2.2000000000000015</c:v>
                </c:pt>
                <c:pt idx="19">
                  <c:v>2.1500000000000017</c:v>
                </c:pt>
                <c:pt idx="20">
                  <c:v>2.1000000000000019</c:v>
                </c:pt>
              </c:numCache>
            </c:numRef>
          </c:cat>
          <c:val>
            <c:numRef>
              <c:f>Sensitivity!$F$10:$F$30</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1-5D70-4633-A63A-D9859B879757}"/>
            </c:ext>
          </c:extLst>
        </c:ser>
        <c:dLbls>
          <c:showLegendKey val="0"/>
          <c:showVal val="0"/>
          <c:showCatName val="0"/>
          <c:showSerName val="0"/>
          <c:showPercent val="0"/>
          <c:showBubbleSize val="0"/>
        </c:dLbls>
        <c:gapWidth val="150"/>
        <c:axId val="301651464"/>
        <c:axId val="1"/>
      </c:barChart>
      <c:catAx>
        <c:axId val="301651464"/>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US"/>
                  <a:t>$ Per LB</a:t>
                </a:r>
              </a:p>
            </c:rich>
          </c:tx>
          <c:layout>
            <c:manualLayout>
              <c:xMode val="edge"/>
              <c:yMode val="edge"/>
              <c:x val="0.28022309711286086"/>
              <c:y val="0.92128257979052053"/>
            </c:manualLayout>
          </c:layout>
          <c:overlay val="0"/>
          <c:spPr>
            <a:noFill/>
            <a:ln w="25400">
              <a:noFill/>
            </a:ln>
          </c:spPr>
        </c:title>
        <c:numFmt formatCode="&quot;$&quot;#,##0.00" sourceLinked="1"/>
        <c:majorTickMark val="out"/>
        <c:minorTickMark val="none"/>
        <c:tickLblPos val="nextTo"/>
        <c:spPr>
          <a:ln w="3175">
            <a:solidFill>
              <a:srgbClr val="000000"/>
            </a:solidFill>
            <a:prstDash val="solid"/>
          </a:ln>
        </c:spPr>
        <c:txPr>
          <a:bodyPr rot="-4500000" vert="horz"/>
          <a:lstStyle/>
          <a:p>
            <a:pPr>
              <a:defRPr sz="1050" b="1" i="0" u="none" strike="noStrike" baseline="0">
                <a:solidFill>
                  <a:srgbClr val="000000"/>
                </a:solidFill>
                <a:latin typeface="Arial"/>
                <a:ea typeface="Arial"/>
                <a:cs typeface="Arial"/>
              </a:defRPr>
            </a:pPr>
            <a:endParaRPr lang="en-US"/>
          </a:p>
        </c:txPr>
        <c:crossAx val="1"/>
        <c:crosses val="autoZero"/>
        <c:auto val="0"/>
        <c:lblAlgn val="ctr"/>
        <c:lblOffset val="100"/>
        <c:tickLblSkip val="1"/>
        <c:tickMarkSkip val="1"/>
        <c:noMultiLvlLbl val="0"/>
      </c:catAx>
      <c:valAx>
        <c:axId val="1"/>
        <c:scaling>
          <c:orientation val="minMax"/>
          <c:max val="80"/>
          <c:min val="-4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 Per Market Lamb</a:t>
                </a:r>
              </a:p>
            </c:rich>
          </c:tx>
          <c:layout>
            <c:manualLayout>
              <c:xMode val="edge"/>
              <c:yMode val="edge"/>
              <c:x val="2.6845621570031016E-2"/>
              <c:y val="0.25125623421366111"/>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50" b="1" i="0" u="none" strike="noStrike" baseline="0">
                <a:solidFill>
                  <a:srgbClr val="000000"/>
                </a:solidFill>
                <a:latin typeface="Arial"/>
                <a:ea typeface="Arial"/>
                <a:cs typeface="Arial"/>
              </a:defRPr>
            </a:pPr>
            <a:endParaRPr lang="en-US"/>
          </a:p>
        </c:txPr>
        <c:crossAx val="301651464"/>
        <c:crosses val="autoZero"/>
        <c:crossBetween val="between"/>
        <c:majorUnit val="10"/>
      </c:valAx>
      <c:spPr>
        <a:solidFill>
          <a:srgbClr val="C0C0C0"/>
        </a:solidFill>
        <a:ln w="12700">
          <a:solidFill>
            <a:srgbClr val="808080"/>
          </a:solidFill>
          <a:prstDash val="solid"/>
        </a:ln>
      </c:spPr>
    </c:plotArea>
    <c:legend>
      <c:legendPos val="r"/>
      <c:layout>
        <c:manualLayout>
          <c:xMode val="edge"/>
          <c:yMode val="edge"/>
          <c:x val="0.46789088863892014"/>
          <c:y val="0.91140397704524212"/>
          <c:w val="0.39315878609253807"/>
          <c:h val="6.2315783483594948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95250</xdr:colOff>
          <xdr:row>20</xdr:row>
          <xdr:rowOff>76200</xdr:rowOff>
        </xdr:from>
        <xdr:to>
          <xdr:col>10</xdr:col>
          <xdr:colOff>409575</xdr:colOff>
          <xdr:row>29</xdr:row>
          <xdr:rowOff>19050</xdr:rowOff>
        </xdr:to>
        <xdr:sp macro="" textlink="">
          <xdr:nvSpPr>
            <xdr:cNvPr id="11267" name="Button 3" hidden="1">
              <a:extLst>
                <a:ext uri="{63B3BB69-23CF-44E3-9099-C40C66FF867C}">
                  <a14:compatExt spid="_x0000_s11267"/>
                </a:ext>
                <a:ext uri="{FF2B5EF4-FFF2-40B4-BE49-F238E27FC236}">
                  <a16:creationId xmlns:a16="http://schemas.microsoft.com/office/drawing/2014/main" id="{00000000-0008-0000-0000-000003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Arial"/>
                  <a:cs typeface="Arial"/>
                </a:rPr>
                <a:t>I have read, understood, and agree to the terms of the above copyright notice and disclaimer, as conditions of my usage of the said software, and I further agree to release and indemnify the Government of Saskatchewan and its agents from all claims arising from my use or operation of the software.</a:t>
              </a:r>
            </a:p>
            <a:p>
              <a:pPr algn="ctr" rtl="0">
                <a:defRPr sz="1000"/>
              </a:pPr>
              <a:endParaRPr lang="en-US" sz="1100" b="1" i="0" u="none" strike="noStrike" baseline="0">
                <a:solidFill>
                  <a:srgbClr val="000000"/>
                </a:solidFill>
                <a:latin typeface="Arial"/>
                <a:cs typeface="Arial"/>
              </a:endParaRPr>
            </a:p>
            <a:p>
              <a:pPr algn="ctr" rtl="0">
                <a:defRPr sz="1000"/>
              </a:pPr>
              <a:r>
                <a:rPr lang="en-US" sz="1100" b="1" i="0" u="none" strike="noStrike" baseline="0">
                  <a:solidFill>
                    <a:srgbClr val="000000"/>
                  </a:solidFill>
                  <a:latin typeface="Arial"/>
                  <a:cs typeface="Arial"/>
                </a:rPr>
                <a:t>(If you agree with the above please click on this box, you will then continue) </a:t>
              </a:r>
            </a:p>
          </xdr:txBody>
        </xdr:sp>
        <xdr:clientData fPrintsWithSheet="0"/>
      </xdr:twoCellAnchor>
    </mc:Choice>
    <mc:Fallback/>
  </mc:AlternateContent>
  <xdr:twoCellAnchor editAs="oneCell">
    <xdr:from>
      <xdr:col>6</xdr:col>
      <xdr:colOff>464821</xdr:colOff>
      <xdr:row>2</xdr:row>
      <xdr:rowOff>121920</xdr:rowOff>
    </xdr:from>
    <xdr:to>
      <xdr:col>10</xdr:col>
      <xdr:colOff>586740</xdr:colOff>
      <xdr:row>4</xdr:row>
      <xdr:rowOff>198120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848101" y="411480"/>
          <a:ext cx="2682239" cy="4876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314325</xdr:colOff>
          <xdr:row>32</xdr:row>
          <xdr:rowOff>161925</xdr:rowOff>
        </xdr:from>
        <xdr:to>
          <xdr:col>1</xdr:col>
          <xdr:colOff>2914650</xdr:colOff>
          <xdr:row>35</xdr:row>
          <xdr:rowOff>19050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100-000001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Go To COP Calculation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2952750</xdr:colOff>
          <xdr:row>32</xdr:row>
          <xdr:rowOff>142875</xdr:rowOff>
        </xdr:from>
        <xdr:to>
          <xdr:col>2</xdr:col>
          <xdr:colOff>19050</xdr:colOff>
          <xdr:row>35</xdr:row>
          <xdr:rowOff>9525</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Go To Input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0</xdr:row>
          <xdr:rowOff>95250</xdr:rowOff>
        </xdr:from>
        <xdr:to>
          <xdr:col>1</xdr:col>
          <xdr:colOff>4086225</xdr:colOff>
          <xdr:row>2</xdr:row>
          <xdr:rowOff>95250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100-000003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 - Introduction Sheet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28575</xdr:colOff>
          <xdr:row>151</xdr:row>
          <xdr:rowOff>95250</xdr:rowOff>
        </xdr:from>
        <xdr:to>
          <xdr:col>2</xdr:col>
          <xdr:colOff>2581275</xdr:colOff>
          <xdr:row>153</xdr:row>
          <xdr:rowOff>133350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COP Analysis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600075</xdr:colOff>
          <xdr:row>0</xdr:row>
          <xdr:rowOff>133350</xdr:rowOff>
        </xdr:from>
        <xdr:to>
          <xdr:col>2</xdr:col>
          <xdr:colOff>2409825</xdr:colOff>
          <xdr:row>3</xdr:row>
          <xdr:rowOff>0</xdr:rowOff>
        </xdr:to>
        <xdr:sp macro="" textlink="">
          <xdr:nvSpPr>
            <xdr:cNvPr id="5134" name="Button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COP Input Sheet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161925</xdr:rowOff>
        </xdr:from>
        <xdr:to>
          <xdr:col>3</xdr:col>
          <xdr:colOff>619125</xdr:colOff>
          <xdr:row>2</xdr:row>
          <xdr:rowOff>142875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Sheep Input Sheet</a:t>
              </a:r>
            </a:p>
          </xdr:txBody>
        </xdr:sp>
        <xdr:clientData fPrintsWithSheet="0"/>
      </xdr:twoCellAnchor>
    </mc:Choice>
    <mc:Fallback/>
  </mc:AlternateContent>
  <xdr:oneCellAnchor>
    <xdr:from>
      <xdr:col>5</xdr:col>
      <xdr:colOff>662940</xdr:colOff>
      <xdr:row>12</xdr:row>
      <xdr:rowOff>102870</xdr:rowOff>
    </xdr:from>
    <xdr:ext cx="65" cy="172227"/>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584454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6</xdr:col>
      <xdr:colOff>662940</xdr:colOff>
      <xdr:row>12</xdr:row>
      <xdr:rowOff>102870</xdr:rowOff>
    </xdr:from>
    <xdr:ext cx="65" cy="172227"/>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585216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662940</xdr:colOff>
      <xdr:row>12</xdr:row>
      <xdr:rowOff>102870</xdr:rowOff>
    </xdr:from>
    <xdr:ext cx="65" cy="172227"/>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659130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8</xdr:col>
      <xdr:colOff>662940</xdr:colOff>
      <xdr:row>12</xdr:row>
      <xdr:rowOff>102870</xdr:rowOff>
    </xdr:from>
    <xdr:ext cx="65" cy="172227"/>
    <xdr:sp macro="" textlink="">
      <xdr:nvSpPr>
        <xdr:cNvPr id="6" name="TextBox 5">
          <a:extLst>
            <a:ext uri="{FF2B5EF4-FFF2-40B4-BE49-F238E27FC236}">
              <a16:creationId xmlns:a16="http://schemas.microsoft.com/office/drawing/2014/main" id="{00000000-0008-0000-0300-000006000000}"/>
            </a:ext>
          </a:extLst>
        </xdr:cNvPr>
        <xdr:cNvSpPr txBox="1"/>
      </xdr:nvSpPr>
      <xdr:spPr>
        <a:xfrm>
          <a:off x="733044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5</xdr:col>
      <xdr:colOff>662940</xdr:colOff>
      <xdr:row>33</xdr:row>
      <xdr:rowOff>102870</xdr:rowOff>
    </xdr:from>
    <xdr:ext cx="65" cy="172227"/>
    <xdr:sp macro="" textlink="">
      <xdr:nvSpPr>
        <xdr:cNvPr id="7" name="TextBox 6">
          <a:extLst>
            <a:ext uri="{FF2B5EF4-FFF2-40B4-BE49-F238E27FC236}">
              <a16:creationId xmlns:a16="http://schemas.microsoft.com/office/drawing/2014/main" id="{00000000-0008-0000-0300-000007000000}"/>
            </a:ext>
          </a:extLst>
        </xdr:cNvPr>
        <xdr:cNvSpPr txBox="1"/>
      </xdr:nvSpPr>
      <xdr:spPr>
        <a:xfrm>
          <a:off x="585216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6</xdr:col>
      <xdr:colOff>662940</xdr:colOff>
      <xdr:row>33</xdr:row>
      <xdr:rowOff>102870</xdr:rowOff>
    </xdr:from>
    <xdr:ext cx="65" cy="172227"/>
    <xdr:sp macro="" textlink="">
      <xdr:nvSpPr>
        <xdr:cNvPr id="8" name="TextBox 7">
          <a:extLst>
            <a:ext uri="{FF2B5EF4-FFF2-40B4-BE49-F238E27FC236}">
              <a16:creationId xmlns:a16="http://schemas.microsoft.com/office/drawing/2014/main" id="{00000000-0008-0000-0300-000008000000}"/>
            </a:ext>
          </a:extLst>
        </xdr:cNvPr>
        <xdr:cNvSpPr txBox="1"/>
      </xdr:nvSpPr>
      <xdr:spPr>
        <a:xfrm>
          <a:off x="659130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662940</xdr:colOff>
      <xdr:row>33</xdr:row>
      <xdr:rowOff>102870</xdr:rowOff>
    </xdr:from>
    <xdr:ext cx="65" cy="172227"/>
    <xdr:sp macro="" textlink="">
      <xdr:nvSpPr>
        <xdr:cNvPr id="9" name="TextBox 8">
          <a:extLst>
            <a:ext uri="{FF2B5EF4-FFF2-40B4-BE49-F238E27FC236}">
              <a16:creationId xmlns:a16="http://schemas.microsoft.com/office/drawing/2014/main" id="{00000000-0008-0000-0300-000009000000}"/>
            </a:ext>
          </a:extLst>
        </xdr:cNvPr>
        <xdr:cNvSpPr txBox="1"/>
      </xdr:nvSpPr>
      <xdr:spPr>
        <a:xfrm>
          <a:off x="733044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8</xdr:col>
      <xdr:colOff>662940</xdr:colOff>
      <xdr:row>33</xdr:row>
      <xdr:rowOff>102870</xdr:rowOff>
    </xdr:from>
    <xdr:ext cx="65" cy="172227"/>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806958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9</xdr:col>
      <xdr:colOff>662940</xdr:colOff>
      <xdr:row>12</xdr:row>
      <xdr:rowOff>102870</xdr:rowOff>
    </xdr:from>
    <xdr:ext cx="65" cy="172227"/>
    <xdr:sp macro="" textlink="">
      <xdr:nvSpPr>
        <xdr:cNvPr id="11" name="TextBox 10">
          <a:extLst>
            <a:ext uri="{FF2B5EF4-FFF2-40B4-BE49-F238E27FC236}">
              <a16:creationId xmlns:a16="http://schemas.microsoft.com/office/drawing/2014/main" id="{00000000-0008-0000-0300-00000B000000}"/>
            </a:ext>
          </a:extLst>
        </xdr:cNvPr>
        <xdr:cNvSpPr txBox="1"/>
      </xdr:nvSpPr>
      <xdr:spPr>
        <a:xfrm>
          <a:off x="806958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9</xdr:col>
      <xdr:colOff>662940</xdr:colOff>
      <xdr:row>33</xdr:row>
      <xdr:rowOff>102870</xdr:rowOff>
    </xdr:from>
    <xdr:ext cx="65" cy="172227"/>
    <xdr:sp macro="" textlink="">
      <xdr:nvSpPr>
        <xdr:cNvPr id="12" name="TextBox 11">
          <a:extLst>
            <a:ext uri="{FF2B5EF4-FFF2-40B4-BE49-F238E27FC236}">
              <a16:creationId xmlns:a16="http://schemas.microsoft.com/office/drawing/2014/main" id="{00000000-0008-0000-0300-00000C000000}"/>
            </a:ext>
          </a:extLst>
        </xdr:cNvPr>
        <xdr:cNvSpPr txBox="1"/>
      </xdr:nvSpPr>
      <xdr:spPr>
        <a:xfrm>
          <a:off x="8069580" y="59245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95250</xdr:rowOff>
        </xdr:from>
        <xdr:to>
          <xdr:col>5</xdr:col>
          <xdr:colOff>209550</xdr:colOff>
          <xdr:row>2</xdr:row>
          <xdr:rowOff>57150</xdr:rowOff>
        </xdr:to>
        <xdr:sp macro="" textlink="">
          <xdr:nvSpPr>
            <xdr:cNvPr id="233473" name="Button 1" hidden="1">
              <a:extLst>
                <a:ext uri="{63B3BB69-23CF-44E3-9099-C40C66FF867C}">
                  <a14:compatExt spid="_x0000_s233473"/>
                </a:ext>
                <a:ext uri="{FF2B5EF4-FFF2-40B4-BE49-F238E27FC236}">
                  <a16:creationId xmlns:a16="http://schemas.microsoft.com/office/drawing/2014/main" id="{00000000-0008-0000-0400-0000019003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Feed Summary</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102</xdr:row>
          <xdr:rowOff>104775</xdr:rowOff>
        </xdr:from>
        <xdr:to>
          <xdr:col>7</xdr:col>
          <xdr:colOff>85725</xdr:colOff>
          <xdr:row>105</xdr:row>
          <xdr:rowOff>19050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Monthly Revenue &amp; Expenses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57150</xdr:rowOff>
        </xdr:from>
        <xdr:to>
          <xdr:col>4</xdr:col>
          <xdr:colOff>542925</xdr:colOff>
          <xdr:row>2</xdr:row>
          <xdr:rowOff>95250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6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Annual Income and Expense Statement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504825</xdr:colOff>
          <xdr:row>0</xdr:row>
          <xdr:rowOff>161925</xdr:rowOff>
        </xdr:from>
        <xdr:to>
          <xdr:col>6</xdr:col>
          <xdr:colOff>561975</xdr:colOff>
          <xdr:row>2</xdr:row>
          <xdr:rowOff>142875</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700-0000013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Print Sensitivity Analysis</a:t>
              </a:r>
            </a:p>
          </xdr:txBody>
        </xdr:sp>
        <xdr:clientData fPrintsWithSheet="0"/>
      </xdr:twoCellAnchor>
    </mc:Choice>
    <mc:Fallback/>
  </mc:AlternateContent>
  <xdr:twoCellAnchor>
    <xdr:from>
      <xdr:col>6</xdr:col>
      <xdr:colOff>52281</xdr:colOff>
      <xdr:row>35</xdr:row>
      <xdr:rowOff>17319</xdr:rowOff>
    </xdr:from>
    <xdr:to>
      <xdr:col>13</xdr:col>
      <xdr:colOff>536864</xdr:colOff>
      <xdr:row>59</xdr:row>
      <xdr:rowOff>2791</xdr:rowOff>
    </xdr:to>
    <xdr:graphicFrame macro="">
      <xdr:nvGraphicFramePr>
        <xdr:cNvPr id="1062957" name="Chart 2">
          <a:extLst>
            <a:ext uri="{FF2B5EF4-FFF2-40B4-BE49-F238E27FC236}">
              <a16:creationId xmlns:a16="http://schemas.microsoft.com/office/drawing/2014/main" id="{00000000-0008-0000-0700-00002D38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69273</xdr:colOff>
      <xdr:row>61</xdr:row>
      <xdr:rowOff>155864</xdr:rowOff>
    </xdr:from>
    <xdr:to>
      <xdr:col>13</xdr:col>
      <xdr:colOff>519545</xdr:colOff>
      <xdr:row>82</xdr:row>
      <xdr:rowOff>138546</xdr:rowOff>
    </xdr:to>
    <xdr:graphicFrame macro="">
      <xdr:nvGraphicFramePr>
        <xdr:cNvPr id="1062958" name="Chart 3">
          <a:extLst>
            <a:ext uri="{FF2B5EF4-FFF2-40B4-BE49-F238E27FC236}">
              <a16:creationId xmlns:a16="http://schemas.microsoft.com/office/drawing/2014/main" id="{00000000-0008-0000-0700-00002E38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34464</xdr:colOff>
      <xdr:row>88</xdr:row>
      <xdr:rowOff>8660</xdr:rowOff>
    </xdr:from>
    <xdr:to>
      <xdr:col>13</xdr:col>
      <xdr:colOff>519545</xdr:colOff>
      <xdr:row>111</xdr:row>
      <xdr:rowOff>164524</xdr:rowOff>
    </xdr:to>
    <xdr:graphicFrame macro="">
      <xdr:nvGraphicFramePr>
        <xdr:cNvPr id="1062959" name="Chart 4">
          <a:extLst>
            <a:ext uri="{FF2B5EF4-FFF2-40B4-BE49-F238E27FC236}">
              <a16:creationId xmlns:a16="http://schemas.microsoft.com/office/drawing/2014/main" id="{00000000-0008-0000-0700-00002F38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55500</xdr:colOff>
      <xdr:row>6</xdr:row>
      <xdr:rowOff>27608</xdr:rowOff>
    </xdr:from>
    <xdr:to>
      <xdr:col>13</xdr:col>
      <xdr:colOff>493567</xdr:colOff>
      <xdr:row>29</xdr:row>
      <xdr:rowOff>164846</xdr:rowOff>
    </xdr:to>
    <xdr:graphicFrame macro="">
      <xdr:nvGraphicFramePr>
        <xdr:cNvPr id="2" name="Chart 2">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1</xdr:row>
          <xdr:rowOff>104775</xdr:rowOff>
        </xdr:from>
        <xdr:to>
          <xdr:col>2</xdr:col>
          <xdr:colOff>447675</xdr:colOff>
          <xdr:row>4</xdr:row>
          <xdr:rowOff>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Balance Sheet</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Marceniuk, Brad AG" id="{CFA68FF0-9CF4-43BC-BF3E-A06F158C7E13}" userId="S::bmarceni@gov.sk.ca::36d453ae-428d-4baa-a48f-f045c177df1e"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36" dT="2022-03-16T16:45:15.92" personId="{CFA68FF0-9CF4-43BC-BF3E-A06F158C7E13}" id="{B1C59C9E-A3DF-4ADC-85B9-396D3E5FB508}">
    <text>Estimated average number of ewes lambing per month.</text>
  </threadedComment>
  <threadedComment ref="E317" dT="2022-03-29T22:51:30.55" personId="{CFA68FF0-9CF4-43BC-BF3E-A06F158C7E13}" id="{FF9D462B-E13A-468E-A02D-FFD002A30154}">
    <text>Average number of lambs a ewe can service at one time before a milk replacer is required.</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microsoft.com/office/2017/10/relationships/threadedComment" Target="../threadedComments/threadedComment1.xml"/><Relationship Id="rId5" Type="http://schemas.openxmlformats.org/officeDocument/2006/relationships/comments" Target="../comments2.xml"/><Relationship Id="rId4" Type="http://schemas.openxmlformats.org/officeDocument/2006/relationships/ctrlProp" Target="../ctrlProps/ctrlProp7.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9.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3.xml"/><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B2:L32"/>
  <sheetViews>
    <sheetView showGridLines="0" showRowColHeaders="0" tabSelected="1" zoomScale="110" zoomScaleNormal="110" workbookViewId="0">
      <selection activeCell="B1" sqref="B1"/>
    </sheetView>
  </sheetViews>
  <sheetFormatPr defaultRowHeight="12.75" x14ac:dyDescent="0.2"/>
  <cols>
    <col min="1" max="1" width="2.7109375" customWidth="1"/>
    <col min="2" max="11" width="9.28515625" customWidth="1"/>
  </cols>
  <sheetData>
    <row r="2" spans="2:11" ht="9.9499999999999993" customHeight="1" thickBot="1" x14ac:dyDescent="0.25"/>
    <row r="3" spans="2:11" ht="20.25" thickTop="1" x14ac:dyDescent="0.35">
      <c r="B3" s="173" t="s">
        <v>971</v>
      </c>
      <c r="C3" s="174"/>
      <c r="D3" s="175"/>
      <c r="E3" s="176"/>
      <c r="F3" s="176"/>
      <c r="G3" s="176"/>
      <c r="H3" s="176"/>
      <c r="I3" s="176"/>
      <c r="J3" s="176"/>
      <c r="K3" s="177"/>
    </row>
    <row r="4" spans="2:11" ht="15" x14ac:dyDescent="0.25">
      <c r="B4" s="1442" t="s">
        <v>904</v>
      </c>
      <c r="C4" s="1443"/>
      <c r="D4" s="1443"/>
      <c r="E4" s="1443"/>
      <c r="F4" s="1443"/>
      <c r="G4" s="1443"/>
      <c r="H4" s="1443"/>
      <c r="I4" s="1443"/>
      <c r="K4" s="178"/>
    </row>
    <row r="5" spans="2:11" ht="15.75" x14ac:dyDescent="0.25">
      <c r="B5" s="265" t="s">
        <v>605</v>
      </c>
      <c r="C5" s="179"/>
      <c r="D5" s="179"/>
      <c r="K5" s="178"/>
    </row>
    <row r="6" spans="2:11" ht="15.75" x14ac:dyDescent="0.25">
      <c r="B6" s="265" t="s">
        <v>604</v>
      </c>
      <c r="C6" s="179"/>
      <c r="D6" s="179"/>
      <c r="K6" s="178"/>
    </row>
    <row r="7" spans="2:11" x14ac:dyDescent="0.2">
      <c r="B7" s="180"/>
      <c r="D7" s="181"/>
      <c r="K7" s="178"/>
    </row>
    <row r="8" spans="2:11" x14ac:dyDescent="0.2">
      <c r="B8" s="962" t="s">
        <v>449</v>
      </c>
      <c r="C8" s="933"/>
      <c r="D8" s="933"/>
      <c r="E8" s="933"/>
      <c r="F8" s="933"/>
      <c r="G8" s="933"/>
      <c r="H8" s="933"/>
      <c r="I8" s="933"/>
      <c r="J8" s="933"/>
      <c r="K8" s="963"/>
    </row>
    <row r="9" spans="2:11" ht="14.25" x14ac:dyDescent="0.2">
      <c r="B9" s="964" t="s">
        <v>450</v>
      </c>
      <c r="C9" s="933"/>
      <c r="D9" s="933"/>
      <c r="E9" s="933"/>
      <c r="F9" s="933"/>
      <c r="G9" s="933"/>
      <c r="H9" s="933"/>
      <c r="I9" s="933"/>
      <c r="J9" s="933"/>
      <c r="K9" s="963"/>
    </row>
    <row r="10" spans="2:11" ht="14.25" x14ac:dyDescent="0.2">
      <c r="B10" s="964" t="s">
        <v>451</v>
      </c>
      <c r="C10" s="933"/>
      <c r="D10" s="933"/>
      <c r="E10" s="933"/>
      <c r="F10" s="933"/>
      <c r="G10" s="933"/>
      <c r="H10" s="933"/>
      <c r="I10" s="933"/>
      <c r="J10" s="933"/>
      <c r="K10" s="963"/>
    </row>
    <row r="11" spans="2:11" ht="14.25" x14ac:dyDescent="0.2">
      <c r="B11" s="964" t="s">
        <v>452</v>
      </c>
      <c r="C11" s="933"/>
      <c r="D11" s="933"/>
      <c r="E11" s="933"/>
      <c r="F11" s="933"/>
      <c r="G11" s="933"/>
      <c r="H11" s="933"/>
      <c r="I11" s="933"/>
      <c r="J11" s="933"/>
      <c r="K11" s="963"/>
    </row>
    <row r="12" spans="2:11" ht="14.25" x14ac:dyDescent="0.2">
      <c r="B12" s="964" t="s">
        <v>453</v>
      </c>
      <c r="C12" s="933"/>
      <c r="D12" s="933"/>
      <c r="E12" s="933"/>
      <c r="F12" s="933"/>
      <c r="G12" s="933"/>
      <c r="H12" s="933"/>
      <c r="I12" s="933"/>
      <c r="J12" s="933"/>
      <c r="K12" s="963"/>
    </row>
    <row r="13" spans="2:11" ht="14.25" x14ac:dyDescent="0.2">
      <c r="B13" s="964" t="s">
        <v>454</v>
      </c>
      <c r="C13" s="933"/>
      <c r="D13" s="933"/>
      <c r="E13" s="933"/>
      <c r="F13" s="933"/>
      <c r="G13" s="933"/>
      <c r="H13" s="933"/>
      <c r="I13" s="933"/>
      <c r="J13" s="933"/>
      <c r="K13" s="963"/>
    </row>
    <row r="14" spans="2:11" ht="14.25" x14ac:dyDescent="0.2">
      <c r="B14" s="964" t="s">
        <v>455</v>
      </c>
      <c r="C14" s="933"/>
      <c r="D14" s="933"/>
      <c r="E14" s="933"/>
      <c r="F14" s="933"/>
      <c r="G14" s="933"/>
      <c r="H14" s="933"/>
      <c r="I14" s="933"/>
      <c r="J14" s="933"/>
      <c r="K14" s="963"/>
    </row>
    <row r="15" spans="2:11" ht="14.25" x14ac:dyDescent="0.2">
      <c r="B15" s="964" t="s">
        <v>456</v>
      </c>
      <c r="C15" s="933"/>
      <c r="D15" s="933"/>
      <c r="E15" s="933"/>
      <c r="F15" s="933"/>
      <c r="G15" s="933"/>
      <c r="H15" s="933"/>
      <c r="I15" s="933"/>
      <c r="J15" s="933"/>
      <c r="K15" s="963"/>
    </row>
    <row r="16" spans="2:11" x14ac:dyDescent="0.2">
      <c r="B16" s="965"/>
      <c r="C16" s="933"/>
      <c r="D16" s="933"/>
      <c r="E16" s="933"/>
      <c r="F16" s="933"/>
      <c r="G16" s="933"/>
      <c r="H16" s="933"/>
      <c r="I16" s="933"/>
      <c r="J16" s="933"/>
      <c r="K16" s="963"/>
    </row>
    <row r="17" spans="2:12" x14ac:dyDescent="0.2">
      <c r="B17" s="962" t="s">
        <v>457</v>
      </c>
      <c r="C17" s="933"/>
      <c r="D17" s="933"/>
      <c r="E17" s="933"/>
      <c r="F17" s="933"/>
      <c r="G17" s="933"/>
      <c r="H17" s="933"/>
      <c r="I17" s="933"/>
      <c r="J17" s="933"/>
      <c r="K17" s="963"/>
    </row>
    <row r="18" spans="2:12" ht="14.25" x14ac:dyDescent="0.2">
      <c r="B18" s="964" t="s">
        <v>458</v>
      </c>
      <c r="C18" s="933"/>
      <c r="D18" s="933"/>
      <c r="E18" s="933"/>
      <c r="F18" s="933"/>
      <c r="G18" s="933"/>
      <c r="H18" s="933"/>
      <c r="I18" s="933"/>
      <c r="J18" s="933"/>
      <c r="K18" s="963"/>
    </row>
    <row r="19" spans="2:12" ht="14.25" x14ac:dyDescent="0.2">
      <c r="B19" s="964" t="s">
        <v>459</v>
      </c>
      <c r="C19" s="933"/>
      <c r="D19" s="933"/>
      <c r="E19" s="933"/>
      <c r="F19" s="933"/>
      <c r="G19" s="933"/>
      <c r="H19" s="933"/>
      <c r="I19" s="933"/>
      <c r="J19" s="933"/>
      <c r="K19" s="963"/>
    </row>
    <row r="20" spans="2:12" ht="14.25" x14ac:dyDescent="0.2">
      <c r="B20" s="964" t="s">
        <v>460</v>
      </c>
      <c r="C20" s="933"/>
      <c r="D20" s="933"/>
      <c r="E20" s="933"/>
      <c r="F20" s="933"/>
      <c r="G20" s="933"/>
      <c r="H20" s="933"/>
      <c r="I20" s="933"/>
      <c r="J20" s="933"/>
      <c r="K20" s="963"/>
    </row>
    <row r="21" spans="2:12" x14ac:dyDescent="0.2">
      <c r="B21" s="966"/>
      <c r="C21" s="967"/>
      <c r="D21" s="967"/>
      <c r="E21" s="967"/>
      <c r="F21" s="967"/>
      <c r="G21" s="967"/>
      <c r="H21" s="967"/>
      <c r="I21" s="967"/>
      <c r="J21" s="967"/>
      <c r="K21" s="968"/>
      <c r="L21" s="28"/>
    </row>
    <row r="22" spans="2:12" x14ac:dyDescent="0.2">
      <c r="B22" s="966"/>
      <c r="C22" s="967"/>
      <c r="D22" s="967"/>
      <c r="E22" s="967"/>
      <c r="F22" s="967"/>
      <c r="G22" s="967"/>
      <c r="H22" s="967"/>
      <c r="I22" s="967"/>
      <c r="J22" s="967"/>
      <c r="K22" s="968"/>
      <c r="L22" s="28"/>
    </row>
    <row r="23" spans="2:12" x14ac:dyDescent="0.2">
      <c r="B23" s="966"/>
      <c r="C23" s="967"/>
      <c r="D23" s="967"/>
      <c r="E23" s="967"/>
      <c r="F23" s="967"/>
      <c r="G23" s="967"/>
      <c r="H23" s="967"/>
      <c r="I23" s="967"/>
      <c r="J23" s="967"/>
      <c r="K23" s="968"/>
      <c r="L23" s="28"/>
    </row>
    <row r="24" spans="2:12" x14ac:dyDescent="0.2">
      <c r="B24" s="966"/>
      <c r="C24" s="967"/>
      <c r="D24" s="967"/>
      <c r="E24" s="967"/>
      <c r="F24" s="967"/>
      <c r="G24" s="967"/>
      <c r="H24" s="967"/>
      <c r="I24" s="967"/>
      <c r="J24" s="967"/>
      <c r="K24" s="968"/>
      <c r="L24" s="28"/>
    </row>
    <row r="25" spans="2:12" x14ac:dyDescent="0.2">
      <c r="B25" s="966"/>
      <c r="C25" s="967"/>
      <c r="D25" s="967"/>
      <c r="E25" s="967"/>
      <c r="F25" s="967"/>
      <c r="G25" s="967"/>
      <c r="H25" s="967"/>
      <c r="I25" s="967"/>
      <c r="J25" s="967"/>
      <c r="K25" s="968"/>
      <c r="L25" s="28"/>
    </row>
    <row r="26" spans="2:12" x14ac:dyDescent="0.2">
      <c r="B26" s="966"/>
      <c r="C26" s="967"/>
      <c r="D26" s="967"/>
      <c r="E26" s="967"/>
      <c r="F26" s="967"/>
      <c r="G26" s="967"/>
      <c r="H26" s="967"/>
      <c r="I26" s="967"/>
      <c r="J26" s="967"/>
      <c r="K26" s="968"/>
      <c r="L26" s="28"/>
    </row>
    <row r="27" spans="2:12" x14ac:dyDescent="0.2">
      <c r="B27" s="966"/>
      <c r="C27" s="967"/>
      <c r="D27" s="967"/>
      <c r="E27" s="967"/>
      <c r="F27" s="967"/>
      <c r="G27" s="967"/>
      <c r="H27" s="967"/>
      <c r="I27" s="967"/>
      <c r="J27" s="967"/>
      <c r="K27" s="968"/>
      <c r="L27" s="28"/>
    </row>
    <row r="28" spans="2:12" x14ac:dyDescent="0.2">
      <c r="B28" s="966"/>
      <c r="C28" s="967"/>
      <c r="D28" s="967"/>
      <c r="E28" s="967"/>
      <c r="F28" s="967"/>
      <c r="G28" s="967"/>
      <c r="H28" s="967"/>
      <c r="I28" s="967"/>
      <c r="J28" s="967"/>
      <c r="K28" s="968"/>
      <c r="L28" s="28"/>
    </row>
    <row r="29" spans="2:12" x14ac:dyDescent="0.2">
      <c r="B29" s="966"/>
      <c r="C29" s="967"/>
      <c r="D29" s="967"/>
      <c r="E29" s="967"/>
      <c r="F29" s="967"/>
      <c r="G29" s="967"/>
      <c r="H29" s="967"/>
      <c r="I29" s="967"/>
      <c r="J29" s="967"/>
      <c r="K29" s="968"/>
      <c r="L29" s="28"/>
    </row>
    <row r="30" spans="2:12" x14ac:dyDescent="0.2">
      <c r="B30" s="966"/>
      <c r="C30" s="967"/>
      <c r="D30" s="967"/>
      <c r="E30" s="967"/>
      <c r="F30" s="967"/>
      <c r="G30" s="967"/>
      <c r="H30" s="967"/>
      <c r="I30" s="967"/>
      <c r="J30" s="967"/>
      <c r="K30" s="968"/>
      <c r="L30" s="28"/>
    </row>
    <row r="31" spans="2:12" ht="13.5" thickBot="1" x14ac:dyDescent="0.25">
      <c r="B31" s="969"/>
      <c r="C31" s="970"/>
      <c r="D31" s="970"/>
      <c r="E31" s="970"/>
      <c r="F31" s="970"/>
      <c r="G31" s="970"/>
      <c r="H31" s="970"/>
      <c r="I31" s="970"/>
      <c r="J31" s="970"/>
      <c r="K31" s="971"/>
      <c r="L31" s="28"/>
    </row>
    <row r="32" spans="2:12" ht="13.5" thickTop="1" x14ac:dyDescent="0.2"/>
  </sheetData>
  <sheetProtection sheet="1" objects="1" scenarios="1"/>
  <mergeCells count="1">
    <mergeCell ref="B4:I4"/>
  </mergeCells>
  <phoneticPr fontId="10" type="noConversion"/>
  <pageMargins left="0.75" right="0.75" top="1" bottom="1" header="0.5" footer="0.5"/>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7" r:id="rId4" name="Button 3">
              <controlPr defaultSize="0" print="0" autoFill="0" autoPict="0" macro="[0]!AcceleratedGoToInput">
                <anchor moveWithCells="1" sizeWithCells="1">
                  <from>
                    <xdr:col>1</xdr:col>
                    <xdr:colOff>95250</xdr:colOff>
                    <xdr:row>20</xdr:row>
                    <xdr:rowOff>76200</xdr:rowOff>
                  </from>
                  <to>
                    <xdr:col>10</xdr:col>
                    <xdr:colOff>409575</xdr:colOff>
                    <xdr:row>29</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pageSetUpPr fitToPage="1"/>
  </sheetPr>
  <dimension ref="A1:H37"/>
  <sheetViews>
    <sheetView showGridLines="0" showRowColHeaders="0" workbookViewId="0">
      <selection activeCell="B10" sqref="B10"/>
    </sheetView>
  </sheetViews>
  <sheetFormatPr defaultRowHeight="12.75" x14ac:dyDescent="0.2"/>
  <cols>
    <col min="1" max="1" width="4.7109375" customWidth="1"/>
    <col min="2" max="2" width="85.7109375" customWidth="1"/>
  </cols>
  <sheetData>
    <row r="1" spans="1:8" x14ac:dyDescent="0.2">
      <c r="A1" s="28"/>
      <c r="B1" s="28"/>
    </row>
    <row r="2" spans="1:8" x14ac:dyDescent="0.2">
      <c r="A2" s="28"/>
      <c r="B2" s="28"/>
    </row>
    <row r="3" spans="1:8" x14ac:dyDescent="0.2">
      <c r="A3" s="28"/>
      <c r="B3" s="28"/>
    </row>
    <row r="4" spans="1:8" ht="18" x14ac:dyDescent="0.25">
      <c r="B4" s="1114" t="s">
        <v>972</v>
      </c>
    </row>
    <row r="5" spans="1:8" ht="15.75" x14ac:dyDescent="0.25">
      <c r="B5" s="170" t="s">
        <v>461</v>
      </c>
    </row>
    <row r="7" spans="1:8" ht="15.75" x14ac:dyDescent="0.25">
      <c r="B7" s="96" t="s">
        <v>462</v>
      </c>
    </row>
    <row r="8" spans="1:8" ht="28.5" x14ac:dyDescent="0.2">
      <c r="B8" s="171" t="s">
        <v>973</v>
      </c>
      <c r="H8" s="28"/>
    </row>
    <row r="10" spans="1:8" ht="15.75" x14ac:dyDescent="0.25">
      <c r="B10" s="96" t="s">
        <v>463</v>
      </c>
    </row>
    <row r="11" spans="1:8" ht="42.75" x14ac:dyDescent="0.2">
      <c r="B11" s="171" t="s">
        <v>585</v>
      </c>
    </row>
    <row r="13" spans="1:8" ht="15.75" x14ac:dyDescent="0.25">
      <c r="B13" s="96" t="s">
        <v>464</v>
      </c>
    </row>
    <row r="14" spans="1:8" ht="28.5" x14ac:dyDescent="0.2">
      <c r="B14" s="171" t="s">
        <v>465</v>
      </c>
    </row>
    <row r="15" spans="1:8" ht="14.25" x14ac:dyDescent="0.2">
      <c r="B15" s="171"/>
    </row>
    <row r="16" spans="1:8" ht="15.75" x14ac:dyDescent="0.25">
      <c r="B16" s="96" t="s">
        <v>649</v>
      </c>
    </row>
    <row r="17" spans="2:2" ht="28.5" x14ac:dyDescent="0.2">
      <c r="B17" s="171" t="s">
        <v>718</v>
      </c>
    </row>
    <row r="18" spans="2:2" ht="14.25" x14ac:dyDescent="0.2">
      <c r="B18" s="171"/>
    </row>
    <row r="19" spans="2:2" ht="15.75" x14ac:dyDescent="0.25">
      <c r="B19" s="96" t="s">
        <v>466</v>
      </c>
    </row>
    <row r="20" spans="2:2" ht="57" x14ac:dyDescent="0.2">
      <c r="B20" s="171" t="s">
        <v>903</v>
      </c>
    </row>
    <row r="22" spans="2:2" ht="15.75" x14ac:dyDescent="0.25">
      <c r="B22" s="96" t="s">
        <v>467</v>
      </c>
    </row>
    <row r="23" spans="2:2" ht="28.5" x14ac:dyDescent="0.2">
      <c r="B23" s="171" t="s">
        <v>468</v>
      </c>
    </row>
    <row r="25" spans="2:2" ht="15.75" x14ac:dyDescent="0.25">
      <c r="B25" s="96" t="s">
        <v>469</v>
      </c>
    </row>
    <row r="26" spans="2:2" ht="28.5" x14ac:dyDescent="0.2">
      <c r="B26" s="171" t="s">
        <v>470</v>
      </c>
    </row>
    <row r="28" spans="2:2" ht="15.75" x14ac:dyDescent="0.25">
      <c r="B28" s="96" t="s">
        <v>471</v>
      </c>
    </row>
    <row r="29" spans="2:2" ht="28.5" x14ac:dyDescent="0.2">
      <c r="B29" s="171" t="s">
        <v>472</v>
      </c>
    </row>
    <row r="31" spans="2:2" ht="15.75" x14ac:dyDescent="0.25">
      <c r="B31" s="96" t="s">
        <v>110</v>
      </c>
    </row>
    <row r="32" spans="2:2" ht="71.25" x14ac:dyDescent="0.2">
      <c r="B32" s="171" t="s">
        <v>473</v>
      </c>
    </row>
    <row r="33" spans="1:3" x14ac:dyDescent="0.2">
      <c r="A33" s="28"/>
      <c r="B33" s="28"/>
      <c r="C33" s="28"/>
    </row>
    <row r="34" spans="1:3" x14ac:dyDescent="0.2">
      <c r="A34" s="28"/>
      <c r="B34" s="28"/>
      <c r="C34" s="28"/>
    </row>
    <row r="35" spans="1:3" x14ac:dyDescent="0.2">
      <c r="A35" s="28"/>
      <c r="B35" s="28"/>
      <c r="C35" s="28"/>
    </row>
    <row r="36" spans="1:3" x14ac:dyDescent="0.2">
      <c r="A36" s="28"/>
      <c r="B36" s="28"/>
      <c r="C36" s="28"/>
    </row>
    <row r="37" spans="1:3" x14ac:dyDescent="0.2">
      <c r="A37" s="28"/>
      <c r="B37" s="28"/>
      <c r="C37" s="28"/>
    </row>
  </sheetData>
  <sheetProtection sheet="1" objects="1" scenarios="1"/>
  <phoneticPr fontId="10" type="noConversion"/>
  <pageMargins left="0.75" right="0.75" top="1" bottom="1" header="0.5" footer="0.5"/>
  <pageSetup scale="9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AcceleratedIntroTOCalculation">
                <anchor moveWithCells="1" sizeWithCells="1">
                  <from>
                    <xdr:col>0</xdr:col>
                    <xdr:colOff>314325</xdr:colOff>
                    <xdr:row>32</xdr:row>
                    <xdr:rowOff>161925</xdr:rowOff>
                  </from>
                  <to>
                    <xdr:col>1</xdr:col>
                    <xdr:colOff>2914650</xdr:colOff>
                    <xdr:row>35</xdr:row>
                    <xdr:rowOff>19050</xdr:rowOff>
                  </to>
                </anchor>
              </controlPr>
            </control>
          </mc:Choice>
        </mc:AlternateContent>
        <mc:AlternateContent xmlns:mc="http://schemas.openxmlformats.org/markup-compatibility/2006">
          <mc:Choice Requires="x14">
            <control shapeId="12290" r:id="rId5" name="Button 2">
              <controlPr defaultSize="0" print="0" autoFill="0" autoPict="0" macro="[0]!AcceleratedINTROtoINPUT">
                <anchor moveWithCells="1" sizeWithCells="1">
                  <from>
                    <xdr:col>1</xdr:col>
                    <xdr:colOff>2952750</xdr:colOff>
                    <xdr:row>32</xdr:row>
                    <xdr:rowOff>142875</xdr:rowOff>
                  </from>
                  <to>
                    <xdr:col>2</xdr:col>
                    <xdr:colOff>19050</xdr:colOff>
                    <xdr:row>35</xdr:row>
                    <xdr:rowOff>9525</xdr:rowOff>
                  </to>
                </anchor>
              </controlPr>
            </control>
          </mc:Choice>
        </mc:AlternateContent>
        <mc:AlternateContent xmlns:mc="http://schemas.openxmlformats.org/markup-compatibility/2006">
          <mc:Choice Requires="x14">
            <control shapeId="12291" r:id="rId6" name="Button 3">
              <controlPr defaultSize="0" print="0" autoFill="0" autoPict="0" macro="[0]!AcceleratedIntro">
                <anchor moveWithCells="1" sizeWithCells="1">
                  <from>
                    <xdr:col>1</xdr:col>
                    <xdr:colOff>19050</xdr:colOff>
                    <xdr:row>0</xdr:row>
                    <xdr:rowOff>95250</xdr:rowOff>
                  </from>
                  <to>
                    <xdr:col>1</xdr:col>
                    <xdr:colOff>4086225</xdr:colOff>
                    <xdr:row>2</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autoPageBreaks="0" fitToPage="1"/>
  </sheetPr>
  <dimension ref="A1:I199"/>
  <sheetViews>
    <sheetView showGridLines="0" showRowColHeaders="0" workbookViewId="0">
      <selection activeCell="H43" sqref="H43"/>
    </sheetView>
  </sheetViews>
  <sheetFormatPr defaultRowHeight="12.75" x14ac:dyDescent="0.2"/>
  <cols>
    <col min="2" max="2" width="8.7109375" customWidth="1"/>
    <col min="3" max="3" width="38.7109375" customWidth="1"/>
    <col min="4" max="9" width="13.7109375" customWidth="1"/>
    <col min="10" max="11" width="12.7109375" customWidth="1"/>
  </cols>
  <sheetData>
    <row r="1" spans="1:9" x14ac:dyDescent="0.2">
      <c r="A1" s="28"/>
      <c r="B1" s="28"/>
      <c r="C1" s="28"/>
      <c r="D1" s="28"/>
      <c r="E1" s="28"/>
    </row>
    <row r="2" spans="1:9" x14ac:dyDescent="0.2">
      <c r="A2" s="28"/>
      <c r="B2" s="28"/>
      <c r="C2" s="28"/>
      <c r="D2" s="28"/>
      <c r="E2" s="28"/>
      <c r="F2" s="28"/>
      <c r="G2" s="28"/>
      <c r="H2" s="28"/>
      <c r="I2" s="28"/>
    </row>
    <row r="3" spans="1:9" x14ac:dyDescent="0.2">
      <c r="A3" s="28"/>
      <c r="B3" s="28"/>
      <c r="C3" s="28"/>
      <c r="D3" s="28"/>
      <c r="E3" s="28"/>
      <c r="F3" s="28"/>
      <c r="G3" s="28"/>
      <c r="H3" s="28"/>
      <c r="I3" s="28"/>
    </row>
    <row r="4" spans="1:9" ht="13.5" thickBot="1" x14ac:dyDescent="0.25">
      <c r="A4" s="28"/>
      <c r="B4" s="28"/>
      <c r="C4" s="28"/>
      <c r="D4" s="28"/>
      <c r="E4" s="28"/>
      <c r="F4" s="28"/>
      <c r="G4" s="28"/>
      <c r="H4" s="28"/>
      <c r="I4" s="28"/>
    </row>
    <row r="5" spans="1:9" x14ac:dyDescent="0.2">
      <c r="A5" s="28"/>
      <c r="B5" s="169"/>
      <c r="C5" s="63"/>
      <c r="D5" s="63"/>
      <c r="E5" s="63"/>
      <c r="F5" s="63"/>
      <c r="G5" s="63"/>
      <c r="H5" s="63"/>
      <c r="I5" s="209"/>
    </row>
    <row r="6" spans="1:9" x14ac:dyDescent="0.2">
      <c r="A6" s="28"/>
      <c r="B6" s="116"/>
      <c r="C6" s="210" t="s">
        <v>577</v>
      </c>
      <c r="D6" s="235"/>
      <c r="E6" s="128"/>
      <c r="F6" s="128"/>
      <c r="G6" s="28"/>
      <c r="H6" s="28"/>
      <c r="I6" s="117"/>
    </row>
    <row r="7" spans="1:9" x14ac:dyDescent="0.2">
      <c r="A7" s="28"/>
      <c r="B7" s="116"/>
      <c r="C7" s="210"/>
      <c r="D7" s="28"/>
      <c r="E7" s="28"/>
      <c r="F7" s="28"/>
      <c r="G7" s="28"/>
      <c r="H7" s="28"/>
      <c r="I7" s="117"/>
    </row>
    <row r="8" spans="1:9" ht="15" x14ac:dyDescent="0.2">
      <c r="A8" s="28"/>
      <c r="B8" s="116"/>
      <c r="C8" s="28"/>
      <c r="D8" s="81" t="s">
        <v>491</v>
      </c>
      <c r="E8" s="211"/>
      <c r="F8" s="28"/>
      <c r="G8" s="28"/>
      <c r="H8" s="28"/>
      <c r="I8" s="117"/>
    </row>
    <row r="9" spans="1:9" x14ac:dyDescent="0.2">
      <c r="A9" s="28"/>
      <c r="B9" s="116"/>
      <c r="C9" s="28"/>
      <c r="D9" s="212"/>
      <c r="E9" s="213" t="s">
        <v>568</v>
      </c>
      <c r="F9" s="28"/>
      <c r="G9" s="28"/>
      <c r="H9" s="28"/>
      <c r="I9" s="117"/>
    </row>
    <row r="10" spans="1:9" x14ac:dyDescent="0.2">
      <c r="A10" s="28"/>
      <c r="B10" s="116"/>
      <c r="C10" s="28"/>
      <c r="D10" s="214"/>
      <c r="E10" s="213" t="s">
        <v>601</v>
      </c>
      <c r="F10" s="28"/>
      <c r="G10" s="28"/>
      <c r="H10" s="28"/>
      <c r="I10" s="117"/>
    </row>
    <row r="11" spans="1:9" x14ac:dyDescent="0.2">
      <c r="A11" s="28"/>
      <c r="B11" s="116"/>
      <c r="C11" s="28"/>
      <c r="D11" s="214"/>
      <c r="E11" s="213" t="s">
        <v>569</v>
      </c>
      <c r="F11" s="28"/>
      <c r="G11" s="28"/>
      <c r="H11" s="28"/>
      <c r="I11" s="117"/>
    </row>
    <row r="12" spans="1:9" ht="8.1" customHeight="1" thickBot="1" x14ac:dyDescent="0.25">
      <c r="A12" s="28"/>
      <c r="B12" s="116"/>
      <c r="C12" s="28"/>
      <c r="D12" s="28"/>
      <c r="E12" s="28"/>
      <c r="F12" s="28"/>
      <c r="G12" s="28"/>
      <c r="H12" s="28"/>
      <c r="I12" s="117"/>
    </row>
    <row r="13" spans="1:9" x14ac:dyDescent="0.2">
      <c r="A13" s="28"/>
      <c r="B13" s="215"/>
      <c r="C13" s="216"/>
      <c r="D13" s="63"/>
      <c r="E13" s="217"/>
      <c r="F13" s="63"/>
      <c r="G13" s="63"/>
      <c r="H13" s="217"/>
      <c r="I13" s="209"/>
    </row>
    <row r="14" spans="1:9" x14ac:dyDescent="0.2">
      <c r="A14" s="28"/>
      <c r="B14" s="266" t="s">
        <v>609</v>
      </c>
      <c r="C14" s="267"/>
      <c r="D14" s="122"/>
      <c r="E14" s="268"/>
      <c r="F14" s="28"/>
      <c r="G14" s="28"/>
      <c r="H14" s="36"/>
      <c r="I14" s="117"/>
    </row>
    <row r="15" spans="1:9" x14ac:dyDescent="0.2">
      <c r="A15" s="28"/>
      <c r="B15" s="269" t="s">
        <v>612</v>
      </c>
      <c r="C15" s="270"/>
      <c r="D15" s="119"/>
      <c r="E15" s="249"/>
      <c r="F15" s="28"/>
      <c r="G15" s="28"/>
      <c r="H15" s="36"/>
      <c r="I15" s="117"/>
    </row>
    <row r="16" spans="1:9" x14ac:dyDescent="0.2">
      <c r="A16" s="28"/>
      <c r="B16" s="269" t="s">
        <v>611</v>
      </c>
      <c r="C16" s="270"/>
      <c r="D16" s="119"/>
      <c r="E16" s="249"/>
      <c r="F16" s="28"/>
      <c r="G16" s="28"/>
      <c r="H16" s="36"/>
      <c r="I16" s="117"/>
    </row>
    <row r="17" spans="1:9" ht="13.5" thickBot="1" x14ac:dyDescent="0.25">
      <c r="A17" s="28"/>
      <c r="B17" s="161"/>
      <c r="C17" s="81"/>
      <c r="D17" s="28"/>
      <c r="E17" s="36"/>
      <c r="F17" s="28"/>
      <c r="G17" s="28"/>
      <c r="H17" s="36"/>
      <c r="I17" s="117"/>
    </row>
    <row r="18" spans="1:9" x14ac:dyDescent="0.2">
      <c r="A18" s="28"/>
      <c r="B18" s="1" t="s">
        <v>563</v>
      </c>
      <c r="C18" s="38"/>
      <c r="D18" s="38"/>
      <c r="E18" s="38"/>
      <c r="F18" s="104"/>
      <c r="G18" s="38"/>
      <c r="H18" s="38"/>
      <c r="I18" s="104"/>
    </row>
    <row r="19" spans="1:9" x14ac:dyDescent="0.2">
      <c r="A19" s="28"/>
      <c r="B19" s="29"/>
      <c r="D19" s="248"/>
      <c r="E19" s="249">
        <v>2024</v>
      </c>
      <c r="F19" s="120"/>
      <c r="G19" s="250"/>
      <c r="H19" s="249">
        <v>2023</v>
      </c>
      <c r="I19" s="120"/>
    </row>
    <row r="20" spans="1:9" x14ac:dyDescent="0.2">
      <c r="A20" s="28"/>
      <c r="B20" s="3" t="s">
        <v>150</v>
      </c>
      <c r="D20" s="251" t="s">
        <v>496</v>
      </c>
      <c r="E20" s="36" t="s">
        <v>506</v>
      </c>
      <c r="F20" s="252" t="s">
        <v>498</v>
      </c>
      <c r="G20" s="253" t="s">
        <v>496</v>
      </c>
      <c r="H20" s="36" t="s">
        <v>506</v>
      </c>
      <c r="I20" s="252" t="s">
        <v>498</v>
      </c>
    </row>
    <row r="21" spans="1:9" x14ac:dyDescent="0.2">
      <c r="A21" s="28"/>
      <c r="B21" s="3"/>
      <c r="C21" t="s">
        <v>564</v>
      </c>
      <c r="D21" s="254"/>
      <c r="E21" s="255"/>
      <c r="F21" s="256"/>
      <c r="G21" s="257"/>
      <c r="H21" s="255"/>
      <c r="I21" s="256"/>
    </row>
    <row r="22" spans="1:9" x14ac:dyDescent="0.2">
      <c r="A22" s="28"/>
      <c r="B22" s="29"/>
      <c r="C22" t="s">
        <v>565</v>
      </c>
      <c r="D22" s="219"/>
      <c r="E22" s="258"/>
      <c r="F22" s="259"/>
      <c r="G22" s="225"/>
      <c r="H22" s="258"/>
      <c r="I22" s="259"/>
    </row>
    <row r="23" spans="1:9" x14ac:dyDescent="0.2">
      <c r="A23" s="28"/>
      <c r="B23" s="29"/>
      <c r="C23" s="184" t="s">
        <v>583</v>
      </c>
      <c r="D23" s="219"/>
      <c r="E23" s="258"/>
      <c r="F23" s="259"/>
      <c r="G23" s="225"/>
      <c r="H23" s="258"/>
      <c r="I23" s="259"/>
    </row>
    <row r="24" spans="1:9" x14ac:dyDescent="0.2">
      <c r="A24" s="28"/>
      <c r="B24" s="29"/>
      <c r="C24" s="184" t="s">
        <v>584</v>
      </c>
      <c r="D24" s="219"/>
      <c r="E24" s="258"/>
      <c r="F24" s="259"/>
      <c r="G24" s="225"/>
      <c r="H24" s="258"/>
      <c r="I24" s="259"/>
    </row>
    <row r="25" spans="1:9" x14ac:dyDescent="0.2">
      <c r="A25" s="28"/>
      <c r="B25" s="29"/>
      <c r="C25" s="184" t="s">
        <v>566</v>
      </c>
      <c r="D25" s="219"/>
      <c r="E25" s="258"/>
      <c r="F25" s="259"/>
      <c r="G25" s="225"/>
      <c r="H25" s="258"/>
      <c r="I25" s="259"/>
    </row>
    <row r="26" spans="1:9" x14ac:dyDescent="0.2">
      <c r="A26" s="28"/>
      <c r="B26" s="29"/>
      <c r="C26" s="184" t="s">
        <v>567</v>
      </c>
      <c r="D26" s="219"/>
      <c r="E26" s="258"/>
      <c r="F26" s="259"/>
      <c r="G26" s="225"/>
      <c r="H26" s="258"/>
      <c r="I26" s="259"/>
    </row>
    <row r="27" spans="1:9" x14ac:dyDescent="0.2">
      <c r="A27" s="28"/>
      <c r="B27" s="29"/>
      <c r="D27" s="28"/>
      <c r="E27" s="28"/>
      <c r="F27" s="117"/>
      <c r="G27" s="28"/>
      <c r="H27" s="28"/>
      <c r="I27" s="117"/>
    </row>
    <row r="28" spans="1:9" x14ac:dyDescent="0.2">
      <c r="A28" s="28"/>
      <c r="B28" s="3" t="s">
        <v>351</v>
      </c>
      <c r="D28" s="36" t="s">
        <v>496</v>
      </c>
      <c r="E28" s="36">
        <f>E19</f>
        <v>2024</v>
      </c>
      <c r="F28" s="117"/>
      <c r="G28" s="36" t="s">
        <v>496</v>
      </c>
      <c r="H28" s="36">
        <f>H19</f>
        <v>2023</v>
      </c>
      <c r="I28" s="117"/>
    </row>
    <row r="29" spans="1:9" x14ac:dyDescent="0.2">
      <c r="A29" s="28"/>
      <c r="B29" s="29"/>
      <c r="C29" t="s">
        <v>610</v>
      </c>
      <c r="D29" s="272"/>
      <c r="E29" s="28"/>
      <c r="F29" s="117"/>
      <c r="G29" s="273">
        <v>0</v>
      </c>
      <c r="H29" s="28"/>
      <c r="I29" s="117"/>
    </row>
    <row r="30" spans="1:9" x14ac:dyDescent="0.2">
      <c r="A30" s="28"/>
      <c r="B30" s="29"/>
      <c r="C30" t="s">
        <v>492</v>
      </c>
      <c r="D30" s="272"/>
      <c r="E30" s="28"/>
      <c r="F30" s="117"/>
      <c r="G30" s="273">
        <v>0</v>
      </c>
      <c r="H30" s="28"/>
      <c r="I30" s="117"/>
    </row>
    <row r="31" spans="1:9" x14ac:dyDescent="0.2">
      <c r="A31" s="28"/>
      <c r="B31" s="29"/>
      <c r="C31" t="s">
        <v>493</v>
      </c>
      <c r="D31" s="272"/>
      <c r="E31" s="260">
        <f>IF(D30&gt;0,D31/D30,0)</f>
        <v>0</v>
      </c>
      <c r="F31" s="117"/>
      <c r="G31" s="273">
        <v>0</v>
      </c>
      <c r="H31" s="260">
        <f>IF(G30&gt;0,G31/G30,0)</f>
        <v>0</v>
      </c>
      <c r="I31" s="117"/>
    </row>
    <row r="32" spans="1:9" x14ac:dyDescent="0.2">
      <c r="A32" s="28"/>
      <c r="B32" s="29"/>
      <c r="C32" t="s">
        <v>352</v>
      </c>
      <c r="D32" s="272"/>
      <c r="E32" s="260">
        <f>IF(D32&gt;0,D32/D29,0)</f>
        <v>0</v>
      </c>
      <c r="F32" s="117"/>
      <c r="G32" s="273">
        <v>0</v>
      </c>
      <c r="H32" s="260">
        <f>IF(G32&gt;0,G32/G29,0)</f>
        <v>0</v>
      </c>
      <c r="I32" s="117"/>
    </row>
    <row r="33" spans="1:9" x14ac:dyDescent="0.2">
      <c r="A33" s="28"/>
      <c r="B33" s="29"/>
      <c r="C33" t="s">
        <v>494</v>
      </c>
      <c r="D33" s="272"/>
      <c r="E33" s="260">
        <f>IF(D32&gt;0,D33/D32,0)</f>
        <v>0</v>
      </c>
      <c r="F33" s="117"/>
      <c r="G33" s="273">
        <v>0</v>
      </c>
      <c r="H33" s="260">
        <f>IF(G32&gt;0,G33/G32,0)</f>
        <v>0</v>
      </c>
      <c r="I33" s="117"/>
    </row>
    <row r="34" spans="1:9" x14ac:dyDescent="0.2">
      <c r="A34" s="28"/>
      <c r="B34" s="29"/>
      <c r="C34" t="s">
        <v>616</v>
      </c>
      <c r="D34" s="272"/>
      <c r="E34" s="260">
        <f>IF(D34&gt;0,D34/D29,0)</f>
        <v>0</v>
      </c>
      <c r="F34" s="117"/>
      <c r="G34" s="273">
        <v>0</v>
      </c>
      <c r="H34" s="260">
        <f>IF(G34&gt;0,G34/G29,0)</f>
        <v>0</v>
      </c>
      <c r="I34" s="117"/>
    </row>
    <row r="35" spans="1:9" x14ac:dyDescent="0.2">
      <c r="A35" s="28"/>
      <c r="B35" s="29"/>
      <c r="C35" t="s">
        <v>608</v>
      </c>
      <c r="D35" s="272"/>
      <c r="E35" s="28"/>
      <c r="F35" s="117"/>
      <c r="G35" s="273">
        <v>0</v>
      </c>
      <c r="H35" s="28"/>
      <c r="I35" s="117"/>
    </row>
    <row r="36" spans="1:9" ht="13.5" thickBot="1" x14ac:dyDescent="0.25">
      <c r="A36" s="28"/>
      <c r="B36" s="159"/>
      <c r="C36" s="160"/>
      <c r="D36" s="261"/>
      <c r="E36" s="228"/>
      <c r="F36" s="262"/>
      <c r="G36" s="261"/>
      <c r="H36" s="228"/>
      <c r="I36" s="229"/>
    </row>
    <row r="37" spans="1:9" x14ac:dyDescent="0.2">
      <c r="A37" s="28"/>
      <c r="B37" s="38"/>
      <c r="C37" s="38"/>
      <c r="D37" s="304"/>
      <c r="E37" s="38"/>
      <c r="F37" s="38"/>
      <c r="G37" s="304"/>
      <c r="H37" s="38"/>
      <c r="I37" s="280"/>
    </row>
    <row r="38" spans="1:9" ht="13.5" thickBot="1" x14ac:dyDescent="0.25">
      <c r="A38" s="28"/>
      <c r="B38" s="160"/>
      <c r="C38" s="160"/>
      <c r="D38" s="310"/>
      <c r="E38" s="160"/>
      <c r="F38" s="160"/>
      <c r="G38" s="310"/>
      <c r="H38" s="160"/>
      <c r="I38" s="298"/>
    </row>
    <row r="39" spans="1:9" x14ac:dyDescent="0.2">
      <c r="A39" s="28"/>
      <c r="B39" s="1" t="s">
        <v>505</v>
      </c>
      <c r="C39" s="182"/>
      <c r="D39" s="63"/>
      <c r="E39" s="217">
        <v>2024</v>
      </c>
      <c r="F39" s="63"/>
      <c r="G39" s="169"/>
      <c r="H39" s="217">
        <v>2023</v>
      </c>
      <c r="I39" s="209"/>
    </row>
    <row r="40" spans="1:9" x14ac:dyDescent="0.2">
      <c r="A40" s="28"/>
      <c r="B40" s="3" t="s">
        <v>495</v>
      </c>
      <c r="D40" s="36" t="s">
        <v>496</v>
      </c>
      <c r="E40" s="36" t="s">
        <v>497</v>
      </c>
      <c r="F40" s="36" t="s">
        <v>498</v>
      </c>
      <c r="G40" s="226" t="s">
        <v>496</v>
      </c>
      <c r="H40" s="36" t="s">
        <v>497</v>
      </c>
      <c r="I40" s="218" t="s">
        <v>498</v>
      </c>
    </row>
    <row r="41" spans="1:9" x14ac:dyDescent="0.2">
      <c r="A41" s="28"/>
      <c r="B41" s="29"/>
      <c r="C41" t="s">
        <v>572</v>
      </c>
      <c r="D41" s="219"/>
      <c r="E41" s="220"/>
      <c r="F41" s="224"/>
      <c r="G41" s="225"/>
      <c r="H41" s="220"/>
      <c r="I41" s="221"/>
    </row>
    <row r="42" spans="1:9" x14ac:dyDescent="0.2">
      <c r="A42" s="28"/>
      <c r="B42" s="29"/>
      <c r="C42" t="s">
        <v>570</v>
      </c>
      <c r="D42" s="219"/>
      <c r="E42" s="220"/>
      <c r="F42" s="224"/>
      <c r="G42" s="225"/>
      <c r="H42" s="220"/>
      <c r="I42" s="221"/>
    </row>
    <row r="43" spans="1:9" x14ac:dyDescent="0.2">
      <c r="A43" s="28"/>
      <c r="B43" s="29"/>
      <c r="C43" t="s">
        <v>571</v>
      </c>
      <c r="D43" s="219"/>
      <c r="E43" s="220"/>
      <c r="F43" s="224"/>
      <c r="G43" s="225"/>
      <c r="H43" s="220"/>
      <c r="I43" s="221"/>
    </row>
    <row r="44" spans="1:9" x14ac:dyDescent="0.2">
      <c r="A44" s="28"/>
      <c r="B44" s="29"/>
      <c r="C44" t="s">
        <v>500</v>
      </c>
      <c r="D44" s="219"/>
      <c r="E44" s="220"/>
      <c r="F44" s="224"/>
      <c r="G44" s="225"/>
      <c r="H44" s="220"/>
      <c r="I44" s="221"/>
    </row>
    <row r="45" spans="1:9" ht="8.1" customHeight="1" x14ac:dyDescent="0.2">
      <c r="A45" s="28"/>
      <c r="B45" s="29"/>
      <c r="D45" s="222" t="s">
        <v>1</v>
      </c>
      <c r="E45" s="223"/>
      <c r="F45" s="274"/>
      <c r="G45" s="116"/>
      <c r="H45" s="28"/>
      <c r="I45" s="117"/>
    </row>
    <row r="46" spans="1:9" x14ac:dyDescent="0.2">
      <c r="A46" s="28"/>
      <c r="B46" s="3" t="s">
        <v>501</v>
      </c>
      <c r="D46" s="36" t="s">
        <v>496</v>
      </c>
      <c r="E46" s="36" t="s">
        <v>504</v>
      </c>
      <c r="F46" s="36" t="s">
        <v>498</v>
      </c>
      <c r="G46" s="226" t="s">
        <v>496</v>
      </c>
      <c r="H46" s="36" t="s">
        <v>504</v>
      </c>
      <c r="I46" s="218" t="s">
        <v>498</v>
      </c>
    </row>
    <row r="47" spans="1:9" x14ac:dyDescent="0.2">
      <c r="A47" s="28"/>
      <c r="B47" s="29"/>
      <c r="C47" t="s">
        <v>502</v>
      </c>
      <c r="D47" s="219"/>
      <c r="E47" s="220"/>
      <c r="F47" s="224"/>
      <c r="G47" s="225"/>
      <c r="H47" s="220"/>
      <c r="I47" s="221"/>
    </row>
    <row r="48" spans="1:9" x14ac:dyDescent="0.2">
      <c r="A48" s="28"/>
      <c r="B48" s="29"/>
      <c r="C48" t="s">
        <v>503</v>
      </c>
      <c r="D48" s="219"/>
      <c r="E48" s="220"/>
      <c r="F48" s="224"/>
      <c r="G48" s="225"/>
      <c r="H48" s="220"/>
      <c r="I48" s="221"/>
    </row>
    <row r="49" spans="1:9" ht="8.1" customHeight="1" x14ac:dyDescent="0.2">
      <c r="A49" s="28"/>
      <c r="B49" s="29"/>
      <c r="D49" s="222"/>
      <c r="E49" s="223"/>
      <c r="F49" s="28"/>
      <c r="G49" s="116"/>
      <c r="H49" s="28"/>
      <c r="I49" s="123"/>
    </row>
    <row r="50" spans="1:9" x14ac:dyDescent="0.2">
      <c r="A50" s="28"/>
      <c r="B50" s="3" t="s">
        <v>433</v>
      </c>
      <c r="D50" s="36" t="s">
        <v>496</v>
      </c>
      <c r="E50" s="36" t="s">
        <v>497</v>
      </c>
      <c r="F50" s="36" t="s">
        <v>498</v>
      </c>
      <c r="G50" s="226" t="s">
        <v>496</v>
      </c>
      <c r="H50" s="36" t="s">
        <v>497</v>
      </c>
      <c r="I50" s="218" t="s">
        <v>498</v>
      </c>
    </row>
    <row r="51" spans="1:9" x14ac:dyDescent="0.2">
      <c r="A51" s="28"/>
      <c r="B51" s="29"/>
      <c r="C51" t="s">
        <v>507</v>
      </c>
      <c r="D51" s="219"/>
      <c r="E51" s="220"/>
      <c r="F51" s="224"/>
      <c r="G51" s="225"/>
      <c r="H51" s="220"/>
      <c r="I51" s="221"/>
    </row>
    <row r="52" spans="1:9" x14ac:dyDescent="0.2">
      <c r="A52" s="28"/>
      <c r="B52" s="29"/>
      <c r="C52" t="s">
        <v>508</v>
      </c>
      <c r="D52" s="219"/>
      <c r="E52" s="220"/>
      <c r="F52" s="224"/>
      <c r="G52" s="225"/>
      <c r="H52" s="220"/>
      <c r="I52" s="221"/>
    </row>
    <row r="53" spans="1:9" ht="8.1" customHeight="1" x14ac:dyDescent="0.2">
      <c r="A53" s="28"/>
      <c r="B53" s="29"/>
      <c r="D53" s="28"/>
      <c r="E53" s="28"/>
      <c r="F53" s="28"/>
      <c r="G53" s="116"/>
      <c r="H53" s="28"/>
      <c r="I53" s="117"/>
    </row>
    <row r="54" spans="1:9" x14ac:dyDescent="0.2">
      <c r="A54" s="28"/>
      <c r="B54" s="3" t="s">
        <v>296</v>
      </c>
      <c r="D54" s="36" t="s">
        <v>496</v>
      </c>
      <c r="E54" s="36" t="s">
        <v>510</v>
      </c>
      <c r="F54" s="36" t="s">
        <v>498</v>
      </c>
      <c r="G54" s="226" t="s">
        <v>496</v>
      </c>
      <c r="H54" s="36" t="s">
        <v>510</v>
      </c>
      <c r="I54" s="218" t="s">
        <v>498</v>
      </c>
    </row>
    <row r="55" spans="1:9" x14ac:dyDescent="0.2">
      <c r="A55" s="28"/>
      <c r="B55" s="29"/>
      <c r="C55" t="s">
        <v>294</v>
      </c>
      <c r="D55" s="219"/>
      <c r="E55" s="220"/>
      <c r="F55" s="224"/>
      <c r="G55" s="225"/>
      <c r="H55" s="220"/>
      <c r="I55" s="221"/>
    </row>
    <row r="56" spans="1:9" ht="8.1" customHeight="1" x14ac:dyDescent="0.2">
      <c r="A56" s="28"/>
      <c r="B56" s="29"/>
      <c r="D56" s="28"/>
      <c r="E56" s="28"/>
      <c r="F56" s="28"/>
      <c r="G56" s="116"/>
      <c r="H56" s="28"/>
      <c r="I56" s="117"/>
    </row>
    <row r="57" spans="1:9" x14ac:dyDescent="0.2">
      <c r="A57" s="28"/>
      <c r="B57" s="3" t="s">
        <v>314</v>
      </c>
      <c r="D57" s="36" t="s">
        <v>496</v>
      </c>
      <c r="E57" s="36" t="s">
        <v>511</v>
      </c>
      <c r="F57" s="36" t="s">
        <v>498</v>
      </c>
      <c r="G57" s="226" t="s">
        <v>496</v>
      </c>
      <c r="H57" s="36" t="s">
        <v>511</v>
      </c>
      <c r="I57" s="218" t="s">
        <v>498</v>
      </c>
    </row>
    <row r="58" spans="1:9" x14ac:dyDescent="0.2">
      <c r="A58" s="28"/>
      <c r="B58" s="29"/>
      <c r="C58" t="s">
        <v>509</v>
      </c>
      <c r="D58" s="219"/>
      <c r="E58" s="220"/>
      <c r="F58" s="224"/>
      <c r="G58" s="225"/>
      <c r="H58" s="220"/>
      <c r="I58" s="221"/>
    </row>
    <row r="59" spans="1:9" x14ac:dyDescent="0.2">
      <c r="A59" s="28"/>
      <c r="B59" s="29"/>
      <c r="C59" t="s">
        <v>573</v>
      </c>
      <c r="D59" s="129"/>
      <c r="E59" s="121"/>
      <c r="F59" s="130"/>
      <c r="G59" s="271"/>
      <c r="H59" s="121"/>
      <c r="I59" s="227"/>
    </row>
    <row r="60" spans="1:9" ht="8.1" customHeight="1" x14ac:dyDescent="0.2">
      <c r="A60" s="28"/>
      <c r="B60" s="29"/>
      <c r="D60" s="28"/>
      <c r="E60" s="28"/>
      <c r="F60" s="28"/>
      <c r="G60" s="116"/>
      <c r="H60" s="28"/>
      <c r="I60" s="117"/>
    </row>
    <row r="61" spans="1:9" x14ac:dyDescent="0.2">
      <c r="A61" s="28"/>
      <c r="B61" s="3" t="s">
        <v>574</v>
      </c>
      <c r="D61" s="36"/>
      <c r="E61" s="36"/>
      <c r="F61" s="36" t="s">
        <v>498</v>
      </c>
      <c r="G61" s="226"/>
      <c r="H61" s="36"/>
      <c r="I61" s="218" t="s">
        <v>498</v>
      </c>
    </row>
    <row r="62" spans="1:9" x14ac:dyDescent="0.2">
      <c r="A62" s="28"/>
      <c r="B62" s="3"/>
      <c r="C62" t="s">
        <v>613</v>
      </c>
      <c r="D62" s="36"/>
      <c r="E62" s="36"/>
      <c r="F62" s="275"/>
      <c r="G62" s="226"/>
      <c r="H62" s="36"/>
      <c r="I62" s="276"/>
    </row>
    <row r="63" spans="1:9" x14ac:dyDescent="0.2">
      <c r="A63" s="28"/>
      <c r="B63" s="3"/>
      <c r="C63" t="s">
        <v>614</v>
      </c>
      <c r="D63" s="36"/>
      <c r="E63" s="36"/>
      <c r="F63" s="275"/>
      <c r="G63" s="226"/>
      <c r="H63" s="36"/>
      <c r="I63" s="276"/>
    </row>
    <row r="64" spans="1:9" x14ac:dyDescent="0.2">
      <c r="A64" s="28"/>
      <c r="B64" s="29"/>
      <c r="C64" t="s">
        <v>602</v>
      </c>
      <c r="D64" s="222" t="s">
        <v>1</v>
      </c>
      <c r="E64" s="263"/>
      <c r="F64" s="224"/>
      <c r="G64" s="264" t="s">
        <v>1</v>
      </c>
      <c r="H64" s="263"/>
      <c r="I64" s="221"/>
    </row>
    <row r="65" spans="1:9" ht="8.1" customHeight="1" thickBot="1" x14ac:dyDescent="0.25">
      <c r="A65" s="28"/>
      <c r="B65" s="159"/>
      <c r="C65" s="160"/>
      <c r="D65" s="160"/>
      <c r="E65" s="160"/>
      <c r="F65" s="160"/>
      <c r="G65" s="159"/>
      <c r="H65" s="160"/>
      <c r="I65" s="299"/>
    </row>
    <row r="66" spans="1:9" x14ac:dyDescent="0.2">
      <c r="A66" s="28"/>
      <c r="I66" s="280"/>
    </row>
    <row r="67" spans="1:9" ht="13.5" thickBot="1" x14ac:dyDescent="0.25">
      <c r="A67" s="28"/>
    </row>
    <row r="68" spans="1:9" x14ac:dyDescent="0.2">
      <c r="A68" s="28"/>
      <c r="B68" s="1" t="s">
        <v>557</v>
      </c>
      <c r="C68" s="38"/>
      <c r="D68" s="63"/>
      <c r="E68" s="217">
        <f>E19</f>
        <v>2024</v>
      </c>
      <c r="F68" s="209"/>
      <c r="G68" s="63"/>
      <c r="H68" s="217">
        <f>H19</f>
        <v>2023</v>
      </c>
      <c r="I68" s="209"/>
    </row>
    <row r="69" spans="1:9" x14ac:dyDescent="0.2">
      <c r="A69" s="28"/>
      <c r="B69" s="3" t="s">
        <v>520</v>
      </c>
      <c r="D69" s="36" t="s">
        <v>515</v>
      </c>
      <c r="E69" s="36" t="s">
        <v>513</v>
      </c>
      <c r="F69" s="218" t="s">
        <v>514</v>
      </c>
      <c r="G69" s="36" t="s">
        <v>515</v>
      </c>
      <c r="H69" s="36" t="s">
        <v>513</v>
      </c>
      <c r="I69" s="218" t="s">
        <v>514</v>
      </c>
    </row>
    <row r="70" spans="1:9" x14ac:dyDescent="0.2">
      <c r="A70" s="28"/>
      <c r="B70" s="29"/>
      <c r="C70" s="449" t="s">
        <v>524</v>
      </c>
      <c r="D70" s="230"/>
      <c r="E70" s="231"/>
      <c r="F70" s="232"/>
      <c r="G70" s="233"/>
      <c r="H70" s="231"/>
      <c r="I70" s="234"/>
    </row>
    <row r="71" spans="1:9" x14ac:dyDescent="0.2">
      <c r="A71" s="28"/>
      <c r="B71" s="29"/>
      <c r="C71" s="449" t="s">
        <v>575</v>
      </c>
      <c r="D71" s="230"/>
      <c r="E71" s="231"/>
      <c r="F71" s="232"/>
      <c r="G71" s="233"/>
      <c r="H71" s="231"/>
      <c r="I71" s="234"/>
    </row>
    <row r="72" spans="1:9" x14ac:dyDescent="0.2">
      <c r="A72" s="28"/>
      <c r="B72" s="29"/>
      <c r="C72" s="448" t="s">
        <v>575</v>
      </c>
      <c r="D72" s="230"/>
      <c r="E72" s="231"/>
      <c r="F72" s="232"/>
      <c r="G72" s="233"/>
      <c r="H72" s="231"/>
      <c r="I72" s="234"/>
    </row>
    <row r="73" spans="1:9" x14ac:dyDescent="0.2">
      <c r="A73" s="28"/>
      <c r="B73" s="29"/>
      <c r="C73" s="448" t="s">
        <v>561</v>
      </c>
      <c r="D73" s="230"/>
      <c r="E73" s="231"/>
      <c r="F73" s="232"/>
      <c r="G73" s="233"/>
      <c r="H73" s="231"/>
      <c r="I73" s="234"/>
    </row>
    <row r="74" spans="1:9" x14ac:dyDescent="0.2">
      <c r="A74" s="28"/>
      <c r="B74" s="29"/>
      <c r="C74" s="449" t="s">
        <v>562</v>
      </c>
      <c r="D74" s="230"/>
      <c r="E74" s="231"/>
      <c r="F74" s="232"/>
      <c r="G74" s="233"/>
      <c r="H74" s="231"/>
      <c r="I74" s="234"/>
    </row>
    <row r="75" spans="1:9" x14ac:dyDescent="0.2">
      <c r="A75" s="28"/>
      <c r="B75" s="29"/>
      <c r="C75" s="449" t="s">
        <v>562</v>
      </c>
      <c r="D75" s="230"/>
      <c r="E75" s="231"/>
      <c r="F75" s="232"/>
      <c r="G75" s="233"/>
      <c r="H75" s="231"/>
      <c r="I75" s="234"/>
    </row>
    <row r="76" spans="1:9" x14ac:dyDescent="0.2">
      <c r="A76" s="28"/>
      <c r="B76" s="29"/>
      <c r="C76" s="184" t="s">
        <v>525</v>
      </c>
      <c r="D76" s="230"/>
      <c r="E76" s="231"/>
      <c r="F76" s="232"/>
      <c r="G76" s="233"/>
      <c r="H76" s="231"/>
      <c r="I76" s="234"/>
    </row>
    <row r="77" spans="1:9" x14ac:dyDescent="0.2">
      <c r="A77" s="28"/>
      <c r="B77" s="29"/>
      <c r="C77" s="450" t="s">
        <v>526</v>
      </c>
      <c r="D77" s="230"/>
      <c r="E77" s="231"/>
      <c r="F77" s="232"/>
      <c r="G77" s="233"/>
      <c r="H77" s="231"/>
      <c r="I77" s="234"/>
    </row>
    <row r="78" spans="1:9" x14ac:dyDescent="0.2">
      <c r="A78" s="28"/>
      <c r="B78" s="29"/>
      <c r="C78" s="450" t="s">
        <v>528</v>
      </c>
      <c r="D78" s="230"/>
      <c r="E78" s="231"/>
      <c r="F78" s="232"/>
      <c r="G78" s="233"/>
      <c r="H78" s="231"/>
      <c r="I78" s="234"/>
    </row>
    <row r="79" spans="1:9" x14ac:dyDescent="0.2">
      <c r="A79" s="28"/>
      <c r="B79" s="29"/>
      <c r="C79" s="450" t="s">
        <v>527</v>
      </c>
      <c r="D79" s="230"/>
      <c r="E79" s="231"/>
      <c r="F79" s="232"/>
      <c r="G79" s="233"/>
      <c r="H79" s="231"/>
      <c r="I79" s="234"/>
    </row>
    <row r="80" spans="1:9" ht="8.1" customHeight="1" x14ac:dyDescent="0.2">
      <c r="A80" s="28"/>
      <c r="B80" s="29"/>
      <c r="D80" s="28"/>
      <c r="E80" s="28"/>
      <c r="F80" s="117"/>
      <c r="G80" s="28"/>
      <c r="H80" s="28"/>
      <c r="I80" s="117"/>
    </row>
    <row r="81" spans="1:9" x14ac:dyDescent="0.2">
      <c r="A81" s="28"/>
      <c r="B81" s="3" t="s">
        <v>516</v>
      </c>
      <c r="D81" s="36" t="s">
        <v>496</v>
      </c>
      <c r="E81" s="36" t="s">
        <v>499</v>
      </c>
      <c r="F81" s="218" t="s">
        <v>514</v>
      </c>
      <c r="G81" s="36" t="s">
        <v>496</v>
      </c>
      <c r="H81" s="36" t="s">
        <v>499</v>
      </c>
      <c r="I81" s="218" t="s">
        <v>514</v>
      </c>
    </row>
    <row r="82" spans="1:9" x14ac:dyDescent="0.2">
      <c r="A82" s="28"/>
      <c r="B82" s="29"/>
      <c r="C82" t="s">
        <v>603</v>
      </c>
      <c r="D82" s="236"/>
      <c r="E82" s="231"/>
      <c r="F82" s="232"/>
      <c r="G82" s="131"/>
      <c r="H82" s="121"/>
      <c r="I82" s="227"/>
    </row>
    <row r="83" spans="1:9" x14ac:dyDescent="0.2">
      <c r="A83" s="28"/>
      <c r="B83" s="29"/>
      <c r="C83" t="s">
        <v>582</v>
      </c>
      <c r="D83" s="236"/>
      <c r="E83" s="231"/>
      <c r="F83" s="232"/>
      <c r="G83" s="131"/>
      <c r="H83" s="121"/>
      <c r="I83" s="227"/>
    </row>
    <row r="84" spans="1:9" x14ac:dyDescent="0.2">
      <c r="A84" s="28"/>
      <c r="B84" s="29"/>
      <c r="C84" t="s">
        <v>533</v>
      </c>
      <c r="D84" s="28"/>
      <c r="E84" s="28"/>
      <c r="F84" s="232"/>
      <c r="G84" s="28"/>
      <c r="H84" s="28"/>
      <c r="I84" s="227"/>
    </row>
    <row r="85" spans="1:9" x14ac:dyDescent="0.2">
      <c r="A85" s="28"/>
      <c r="B85" s="29"/>
      <c r="C85" t="s">
        <v>576</v>
      </c>
      <c r="D85" s="28"/>
      <c r="E85" s="28"/>
      <c r="F85" s="232"/>
      <c r="G85" s="28"/>
      <c r="H85" s="28"/>
      <c r="I85" s="227"/>
    </row>
    <row r="86" spans="1:9" ht="8.1" customHeight="1" x14ac:dyDescent="0.2">
      <c r="A86" s="28"/>
      <c r="B86" s="29"/>
      <c r="D86" s="28"/>
      <c r="E86" s="237"/>
      <c r="F86" s="117"/>
      <c r="G86" s="28"/>
      <c r="H86" s="28"/>
      <c r="I86" s="117"/>
    </row>
    <row r="87" spans="1:9" x14ac:dyDescent="0.2">
      <c r="A87" s="28"/>
      <c r="B87" s="3" t="s">
        <v>517</v>
      </c>
      <c r="D87" s="28"/>
      <c r="E87" s="28"/>
      <c r="F87" s="218" t="s">
        <v>514</v>
      </c>
      <c r="G87" s="28"/>
      <c r="H87" s="28"/>
      <c r="I87" s="218" t="s">
        <v>514</v>
      </c>
    </row>
    <row r="88" spans="1:9" x14ac:dyDescent="0.2">
      <c r="A88" s="28"/>
      <c r="B88" s="29"/>
      <c r="C88" t="s">
        <v>518</v>
      </c>
      <c r="D88" s="28"/>
      <c r="E88" s="28"/>
      <c r="F88" s="232"/>
      <c r="G88" s="28"/>
      <c r="H88" s="28"/>
      <c r="I88" s="227"/>
    </row>
    <row r="89" spans="1:9" x14ac:dyDescent="0.2">
      <c r="A89" s="28"/>
      <c r="B89" s="29"/>
      <c r="C89" t="s">
        <v>519</v>
      </c>
      <c r="D89" s="28"/>
      <c r="E89" s="28"/>
      <c r="F89" s="232"/>
      <c r="G89" s="28"/>
      <c r="H89" s="28"/>
      <c r="I89" s="227"/>
    </row>
    <row r="90" spans="1:9" ht="8.1" customHeight="1" x14ac:dyDescent="0.2">
      <c r="A90" s="28"/>
      <c r="B90" s="29"/>
      <c r="D90" s="28"/>
      <c r="E90" s="237"/>
      <c r="F90" s="123"/>
      <c r="G90" s="28"/>
      <c r="H90" s="237"/>
      <c r="I90" s="123"/>
    </row>
    <row r="91" spans="1:9" x14ac:dyDescent="0.2">
      <c r="A91" s="28"/>
      <c r="B91" s="3" t="s">
        <v>521</v>
      </c>
      <c r="D91" s="28"/>
      <c r="E91" s="28"/>
      <c r="F91" s="218" t="s">
        <v>514</v>
      </c>
      <c r="G91" s="28"/>
      <c r="H91" s="28"/>
      <c r="I91" s="218" t="s">
        <v>514</v>
      </c>
    </row>
    <row r="92" spans="1:9" x14ac:dyDescent="0.2">
      <c r="A92" s="28"/>
      <c r="B92" s="3"/>
      <c r="C92" t="s">
        <v>529</v>
      </c>
      <c r="D92" s="28"/>
      <c r="E92" s="28"/>
      <c r="F92" s="232"/>
      <c r="G92" s="28"/>
      <c r="H92" s="28"/>
      <c r="I92" s="232"/>
    </row>
    <row r="93" spans="1:9" x14ac:dyDescent="0.2">
      <c r="A93" s="28"/>
      <c r="B93" s="3"/>
      <c r="C93" t="s">
        <v>530</v>
      </c>
      <c r="D93" s="28"/>
      <c r="E93" s="28"/>
      <c r="F93" s="232"/>
      <c r="G93" s="28"/>
      <c r="H93" s="28"/>
      <c r="I93" s="232"/>
    </row>
    <row r="94" spans="1:9" x14ac:dyDescent="0.2">
      <c r="A94" s="28"/>
      <c r="B94" s="3"/>
      <c r="C94" t="s">
        <v>531</v>
      </c>
      <c r="D94" s="28"/>
      <c r="E94" s="28"/>
      <c r="F94" s="232"/>
      <c r="G94" s="28"/>
      <c r="H94" s="28"/>
      <c r="I94" s="232"/>
    </row>
    <row r="95" spans="1:9" x14ac:dyDescent="0.2">
      <c r="A95" s="28"/>
      <c r="B95" s="3"/>
      <c r="C95" t="s">
        <v>532</v>
      </c>
      <c r="D95" s="28"/>
      <c r="E95" s="28"/>
      <c r="F95" s="232"/>
      <c r="G95" s="28"/>
      <c r="H95" s="28"/>
      <c r="I95" s="232"/>
    </row>
    <row r="96" spans="1:9" x14ac:dyDescent="0.2">
      <c r="A96" s="28"/>
      <c r="B96" s="29"/>
      <c r="D96" s="28"/>
      <c r="F96" s="500">
        <f>E19</f>
        <v>2024</v>
      </c>
      <c r="G96" s="28"/>
      <c r="I96" s="500">
        <f>H19</f>
        <v>2023</v>
      </c>
    </row>
    <row r="97" spans="1:9" x14ac:dyDescent="0.2">
      <c r="A97" s="28"/>
      <c r="B97" s="3" t="s">
        <v>522</v>
      </c>
      <c r="D97" s="28"/>
      <c r="E97" s="36" t="s">
        <v>534</v>
      </c>
      <c r="F97" s="218" t="s">
        <v>739</v>
      </c>
      <c r="G97" s="28"/>
      <c r="H97" s="36" t="s">
        <v>534</v>
      </c>
      <c r="I97" s="218" t="s">
        <v>739</v>
      </c>
    </row>
    <row r="98" spans="1:9" x14ac:dyDescent="0.2">
      <c r="A98" s="28"/>
      <c r="B98" s="3"/>
      <c r="C98" s="4" t="s">
        <v>740</v>
      </c>
      <c r="D98" s="28"/>
      <c r="E98" s="230"/>
      <c r="F98" s="501"/>
      <c r="G98" s="238"/>
      <c r="H98" s="230"/>
      <c r="I98" s="501"/>
    </row>
    <row r="99" spans="1:9" x14ac:dyDescent="0.2">
      <c r="A99" s="28"/>
      <c r="B99" s="29"/>
      <c r="C99" s="4" t="s">
        <v>741</v>
      </c>
      <c r="D99" s="28"/>
      <c r="E99" s="28"/>
      <c r="F99" s="232"/>
      <c r="G99" s="239"/>
      <c r="H99" s="239"/>
      <c r="I99" s="232"/>
    </row>
    <row r="100" spans="1:9" ht="8.1" customHeight="1" x14ac:dyDescent="0.2">
      <c r="A100" s="28"/>
      <c r="B100" s="29"/>
      <c r="D100" s="28"/>
      <c r="E100" s="28"/>
      <c r="F100" s="240"/>
      <c r="G100" s="239"/>
      <c r="H100" s="239"/>
      <c r="I100" s="240"/>
    </row>
    <row r="101" spans="1:9" x14ac:dyDescent="0.2">
      <c r="A101" s="28"/>
      <c r="B101" s="3" t="s">
        <v>523</v>
      </c>
      <c r="D101" s="28"/>
      <c r="E101" s="28"/>
      <c r="F101" s="241" t="s">
        <v>514</v>
      </c>
      <c r="G101" s="239"/>
      <c r="H101" s="239"/>
      <c r="I101" s="241" t="s">
        <v>514</v>
      </c>
    </row>
    <row r="102" spans="1:9" x14ac:dyDescent="0.2">
      <c r="A102" s="28"/>
      <c r="B102" s="29"/>
      <c r="C102" t="s">
        <v>535</v>
      </c>
      <c r="D102" s="28"/>
      <c r="E102" s="28"/>
      <c r="F102" s="232"/>
      <c r="G102" s="239"/>
      <c r="H102" s="239"/>
      <c r="I102" s="232"/>
    </row>
    <row r="103" spans="1:9" x14ac:dyDescent="0.2">
      <c r="A103" s="28"/>
      <c r="B103" s="29"/>
      <c r="C103" t="s">
        <v>536</v>
      </c>
      <c r="D103" s="28"/>
      <c r="E103" s="28"/>
      <c r="F103" s="242"/>
      <c r="G103" s="239"/>
      <c r="H103" s="239"/>
      <c r="I103" s="242"/>
    </row>
    <row r="104" spans="1:9" ht="13.5" thickBot="1" x14ac:dyDescent="0.25">
      <c r="A104" s="28"/>
      <c r="B104" s="159"/>
      <c r="C104" s="160" t="s">
        <v>536</v>
      </c>
      <c r="D104" s="228"/>
      <c r="E104" s="228"/>
      <c r="F104" s="243"/>
      <c r="G104" s="244"/>
      <c r="H104" s="244"/>
      <c r="I104" s="243"/>
    </row>
    <row r="105" spans="1:9" x14ac:dyDescent="0.2">
      <c r="A105" s="28"/>
      <c r="D105" s="28"/>
      <c r="E105" s="28"/>
      <c r="F105" s="239"/>
      <c r="G105" s="239"/>
      <c r="H105" s="239"/>
      <c r="I105" s="239"/>
    </row>
    <row r="106" spans="1:9" ht="13.5" thickBot="1" x14ac:dyDescent="0.25">
      <c r="A106" s="28"/>
      <c r="B106" s="160"/>
      <c r="C106" s="160"/>
      <c r="D106" s="228"/>
      <c r="E106" s="228"/>
      <c r="F106" s="244"/>
      <c r="G106" s="244"/>
      <c r="H106" s="244"/>
      <c r="I106" s="244"/>
    </row>
    <row r="107" spans="1:9" x14ac:dyDescent="0.2">
      <c r="A107" s="28"/>
      <c r="B107" s="1" t="s">
        <v>557</v>
      </c>
      <c r="C107" s="38"/>
      <c r="D107" s="63"/>
      <c r="E107" s="63"/>
      <c r="F107" s="245">
        <f>E19</f>
        <v>2024</v>
      </c>
      <c r="G107" s="246"/>
      <c r="H107" s="246"/>
      <c r="I107" s="245">
        <f>H19</f>
        <v>2023</v>
      </c>
    </row>
    <row r="108" spans="1:9" x14ac:dyDescent="0.2">
      <c r="A108" s="28"/>
      <c r="B108" s="3" t="s">
        <v>537</v>
      </c>
      <c r="D108" s="28"/>
      <c r="E108" s="28"/>
      <c r="F108" s="241" t="s">
        <v>514</v>
      </c>
      <c r="G108" s="239"/>
      <c r="H108" s="239"/>
      <c r="I108" s="241" t="s">
        <v>514</v>
      </c>
    </row>
    <row r="109" spans="1:9" x14ac:dyDescent="0.2">
      <c r="A109" s="28"/>
      <c r="B109" s="29"/>
      <c r="C109" t="s">
        <v>160</v>
      </c>
      <c r="D109" s="28"/>
      <c r="E109" s="28"/>
      <c r="F109" s="232"/>
      <c r="G109" s="239"/>
      <c r="H109" s="239"/>
      <c r="I109" s="232"/>
    </row>
    <row r="110" spans="1:9" x14ac:dyDescent="0.2">
      <c r="A110" s="28"/>
      <c r="B110" s="29"/>
      <c r="C110" t="s">
        <v>162</v>
      </c>
      <c r="D110" s="28"/>
      <c r="E110" s="28"/>
      <c r="F110" s="232"/>
      <c r="G110" s="239"/>
      <c r="H110" s="239"/>
      <c r="I110" s="232"/>
    </row>
    <row r="111" spans="1:9" ht="8.1" customHeight="1" x14ac:dyDescent="0.2">
      <c r="A111" s="28"/>
      <c r="B111" s="29"/>
      <c r="D111" s="28"/>
      <c r="E111" s="28"/>
      <c r="F111" s="36"/>
      <c r="G111" s="247"/>
      <c r="H111" s="239"/>
      <c r="I111" s="218"/>
    </row>
    <row r="112" spans="1:9" x14ac:dyDescent="0.2">
      <c r="A112" s="28"/>
      <c r="B112" s="3" t="s">
        <v>538</v>
      </c>
      <c r="D112" s="28"/>
      <c r="E112" s="28"/>
      <c r="F112" s="241" t="s">
        <v>514</v>
      </c>
      <c r="G112" s="239"/>
      <c r="H112" s="239"/>
      <c r="I112" s="241" t="s">
        <v>514</v>
      </c>
    </row>
    <row r="113" spans="1:9" x14ac:dyDescent="0.2">
      <c r="A113" s="28"/>
      <c r="B113" s="29"/>
      <c r="C113" t="s">
        <v>161</v>
      </c>
      <c r="D113" s="28"/>
      <c r="E113" s="28"/>
      <c r="F113" s="232"/>
      <c r="G113" s="239"/>
      <c r="H113" s="239"/>
      <c r="I113" s="232"/>
    </row>
    <row r="114" spans="1:9" x14ac:dyDescent="0.2">
      <c r="A114" s="28"/>
      <c r="B114" s="29"/>
      <c r="C114" t="s">
        <v>165</v>
      </c>
      <c r="D114" s="28"/>
      <c r="E114" s="28"/>
      <c r="F114" s="232"/>
      <c r="G114" s="239"/>
      <c r="H114" s="239"/>
      <c r="I114" s="232"/>
    </row>
    <row r="115" spans="1:9" ht="8.1" customHeight="1" x14ac:dyDescent="0.2">
      <c r="A115" s="28"/>
      <c r="B115" s="29"/>
      <c r="D115" s="28"/>
      <c r="E115" s="28"/>
      <c r="F115" s="240"/>
      <c r="G115" s="239"/>
      <c r="H115" s="239"/>
      <c r="I115" s="240"/>
    </row>
    <row r="116" spans="1:9" x14ac:dyDescent="0.2">
      <c r="A116" s="28"/>
      <c r="B116" s="3" t="s">
        <v>59</v>
      </c>
      <c r="D116" s="28"/>
      <c r="E116" s="28"/>
      <c r="F116" s="241" t="s">
        <v>514</v>
      </c>
      <c r="G116" s="239"/>
      <c r="H116" s="239"/>
      <c r="I116" s="241" t="s">
        <v>514</v>
      </c>
    </row>
    <row r="117" spans="1:9" x14ac:dyDescent="0.2">
      <c r="A117" s="28"/>
      <c r="B117" s="29"/>
      <c r="C117" t="s">
        <v>599</v>
      </c>
      <c r="D117" s="28"/>
      <c r="E117" s="28"/>
      <c r="F117" s="232"/>
      <c r="G117" s="239"/>
      <c r="H117" s="239"/>
      <c r="I117" s="232"/>
    </row>
    <row r="118" spans="1:9" x14ac:dyDescent="0.2">
      <c r="A118" s="28"/>
      <c r="B118" s="29"/>
      <c r="C118" t="s">
        <v>598</v>
      </c>
      <c r="D118" s="28"/>
      <c r="E118" s="28"/>
      <c r="F118" s="232"/>
      <c r="G118" s="239"/>
      <c r="H118" s="239"/>
      <c r="I118" s="232" t="s">
        <v>1</v>
      </c>
    </row>
    <row r="119" spans="1:9" x14ac:dyDescent="0.2">
      <c r="A119" s="28"/>
      <c r="B119" s="29"/>
      <c r="C119" t="s">
        <v>539</v>
      </c>
      <c r="D119" s="28"/>
      <c r="E119" s="28"/>
      <c r="F119" s="232"/>
      <c r="G119" s="239"/>
      <c r="H119" s="239"/>
      <c r="I119" s="232"/>
    </row>
    <row r="120" spans="1:9" x14ac:dyDescent="0.2">
      <c r="A120" s="28"/>
      <c r="B120" s="29"/>
      <c r="C120" t="s">
        <v>600</v>
      </c>
      <c r="D120" s="28"/>
      <c r="E120" s="28"/>
      <c r="F120" s="232"/>
      <c r="G120" s="239"/>
      <c r="H120" s="239"/>
      <c r="I120" s="232"/>
    </row>
    <row r="121" spans="1:9" ht="8.1" customHeight="1" x14ac:dyDescent="0.2">
      <c r="A121" s="28"/>
      <c r="B121" s="29"/>
      <c r="D121" s="28"/>
      <c r="E121" s="28"/>
      <c r="F121" s="240"/>
      <c r="G121" s="239"/>
      <c r="H121" s="239"/>
      <c r="I121" s="240"/>
    </row>
    <row r="122" spans="1:9" x14ac:dyDescent="0.2">
      <c r="A122" s="28"/>
      <c r="B122" s="3" t="s">
        <v>540</v>
      </c>
      <c r="D122" s="28"/>
      <c r="E122" s="28"/>
      <c r="F122" s="241" t="s">
        <v>514</v>
      </c>
      <c r="G122" s="239"/>
      <c r="H122" s="239"/>
      <c r="I122" s="241" t="s">
        <v>514</v>
      </c>
    </row>
    <row r="123" spans="1:9" x14ac:dyDescent="0.2">
      <c r="A123" s="28"/>
      <c r="B123" s="29"/>
      <c r="C123" t="s">
        <v>541</v>
      </c>
      <c r="D123" s="28"/>
      <c r="E123" s="28"/>
      <c r="F123" s="232"/>
      <c r="G123" s="239"/>
      <c r="H123" s="239"/>
      <c r="I123" s="232"/>
    </row>
    <row r="124" spans="1:9" x14ac:dyDescent="0.2">
      <c r="A124" s="28"/>
      <c r="B124" s="29"/>
      <c r="C124" t="s">
        <v>542</v>
      </c>
      <c r="D124" s="28"/>
      <c r="E124" s="28"/>
      <c r="F124" s="232"/>
      <c r="G124" s="239"/>
      <c r="H124" s="239"/>
      <c r="I124" s="232"/>
    </row>
    <row r="125" spans="1:9" ht="8.1" customHeight="1" x14ac:dyDescent="0.2">
      <c r="A125" s="28"/>
      <c r="B125" s="29"/>
      <c r="D125" s="28"/>
      <c r="E125" s="28"/>
      <c r="F125" s="240"/>
      <c r="G125" s="239"/>
      <c r="H125" s="239"/>
      <c r="I125" s="240"/>
    </row>
    <row r="126" spans="1:9" x14ac:dyDescent="0.2">
      <c r="A126" s="28"/>
      <c r="B126" s="3" t="s">
        <v>543</v>
      </c>
      <c r="D126" s="28"/>
      <c r="E126" s="28"/>
      <c r="F126" s="241" t="s">
        <v>514</v>
      </c>
      <c r="G126" s="239"/>
      <c r="H126" s="239"/>
      <c r="I126" s="241" t="s">
        <v>514</v>
      </c>
    </row>
    <row r="127" spans="1:9" x14ac:dyDescent="0.2">
      <c r="A127" s="28"/>
      <c r="B127" s="29"/>
      <c r="C127" t="s">
        <v>544</v>
      </c>
      <c r="D127" s="28"/>
      <c r="E127" s="28"/>
      <c r="F127" s="232"/>
      <c r="G127" s="239"/>
      <c r="H127" s="239"/>
      <c r="I127" s="232"/>
    </row>
    <row r="128" spans="1:9" ht="8.1" customHeight="1" x14ac:dyDescent="0.2">
      <c r="A128" s="28"/>
      <c r="B128" s="29"/>
      <c r="D128" s="28"/>
      <c r="E128" s="28"/>
      <c r="F128" s="240"/>
      <c r="G128" s="28"/>
      <c r="H128" s="28"/>
      <c r="I128" s="240"/>
    </row>
    <row r="129" spans="1:9" x14ac:dyDescent="0.2">
      <c r="A129" s="28"/>
      <c r="B129" s="3" t="s">
        <v>545</v>
      </c>
      <c r="D129" s="28"/>
      <c r="E129" s="28"/>
      <c r="F129" s="241" t="s">
        <v>514</v>
      </c>
      <c r="G129" s="28"/>
      <c r="H129" s="28"/>
      <c r="I129" s="241" t="s">
        <v>514</v>
      </c>
    </row>
    <row r="130" spans="1:9" x14ac:dyDescent="0.2">
      <c r="A130" s="28"/>
      <c r="B130" s="29"/>
      <c r="C130" t="s">
        <v>546</v>
      </c>
      <c r="D130" s="28"/>
      <c r="E130" s="28"/>
      <c r="F130" s="232"/>
      <c r="G130" s="28"/>
      <c r="H130" s="28"/>
      <c r="I130" s="232"/>
    </row>
    <row r="131" spans="1:9" x14ac:dyDescent="0.2">
      <c r="A131" s="28"/>
      <c r="B131" s="29"/>
      <c r="C131" t="s">
        <v>547</v>
      </c>
      <c r="D131" s="28"/>
      <c r="E131" s="28"/>
      <c r="F131" s="232"/>
      <c r="G131" s="28"/>
      <c r="H131" s="28"/>
      <c r="I131" s="232"/>
    </row>
    <row r="132" spans="1:9" x14ac:dyDescent="0.2">
      <c r="A132" s="28"/>
      <c r="B132" s="29"/>
      <c r="C132" t="s">
        <v>548</v>
      </c>
      <c r="D132" s="28"/>
      <c r="E132" s="28"/>
      <c r="F132" s="232"/>
      <c r="G132" s="28"/>
      <c r="H132" s="28"/>
      <c r="I132" s="232"/>
    </row>
    <row r="133" spans="1:9" ht="8.1" customHeight="1" x14ac:dyDescent="0.2">
      <c r="A133" s="28"/>
      <c r="B133" s="29"/>
      <c r="D133" s="28"/>
      <c r="E133" s="28"/>
      <c r="F133" s="117"/>
      <c r="G133" s="28"/>
      <c r="H133" s="28"/>
      <c r="I133" s="117"/>
    </row>
    <row r="134" spans="1:9" ht="12.75" customHeight="1" x14ac:dyDescent="0.2">
      <c r="A134" s="28"/>
      <c r="B134" s="3" t="s">
        <v>551</v>
      </c>
      <c r="D134" s="28"/>
      <c r="E134" s="28"/>
      <c r="F134" s="241" t="s">
        <v>514</v>
      </c>
      <c r="G134" s="28"/>
      <c r="H134" s="28"/>
      <c r="I134" s="241" t="s">
        <v>514</v>
      </c>
    </row>
    <row r="135" spans="1:9" ht="12.75" customHeight="1" x14ac:dyDescent="0.2">
      <c r="A135" s="28"/>
      <c r="B135" s="29"/>
      <c r="C135" t="s">
        <v>552</v>
      </c>
      <c r="D135" s="28"/>
      <c r="E135" s="28"/>
      <c r="F135" s="232"/>
      <c r="G135" s="28"/>
      <c r="H135" s="28"/>
      <c r="I135" s="232"/>
    </row>
    <row r="136" spans="1:9" ht="12.75" customHeight="1" x14ac:dyDescent="0.2">
      <c r="A136" s="28"/>
      <c r="B136" s="29"/>
      <c r="C136" t="s">
        <v>553</v>
      </c>
      <c r="D136" s="28"/>
      <c r="E136" s="28"/>
      <c r="F136" s="232"/>
      <c r="G136" s="28"/>
      <c r="H136" s="28"/>
      <c r="I136" s="232"/>
    </row>
    <row r="137" spans="1:9" ht="8.1" customHeight="1" x14ac:dyDescent="0.2">
      <c r="A137" s="28"/>
      <c r="B137" s="29"/>
      <c r="D137" s="28"/>
      <c r="E137" s="28"/>
      <c r="F137" s="117"/>
      <c r="G137" s="28"/>
      <c r="H137" s="28"/>
      <c r="I137" s="117"/>
    </row>
    <row r="138" spans="1:9" ht="12.75" customHeight="1" x14ac:dyDescent="0.2">
      <c r="A138" s="28"/>
      <c r="B138" s="3" t="s">
        <v>549</v>
      </c>
      <c r="D138" s="28"/>
      <c r="E138" s="28"/>
      <c r="F138" s="241" t="s">
        <v>514</v>
      </c>
      <c r="G138" s="28"/>
      <c r="H138" s="28"/>
      <c r="I138" s="241" t="s">
        <v>514</v>
      </c>
    </row>
    <row r="139" spans="1:9" ht="13.5" thickBot="1" x14ac:dyDescent="0.25">
      <c r="A139" s="28"/>
      <c r="B139" s="29"/>
      <c r="C139" t="s">
        <v>550</v>
      </c>
      <c r="D139" s="28"/>
      <c r="E139" s="28"/>
      <c r="F139" s="232"/>
      <c r="G139" s="28"/>
      <c r="H139" s="28"/>
      <c r="I139" s="232"/>
    </row>
    <row r="140" spans="1:9" x14ac:dyDescent="0.2">
      <c r="A140" s="28"/>
      <c r="B140" s="1" t="s">
        <v>558</v>
      </c>
      <c r="C140" s="38"/>
      <c r="D140" s="63"/>
      <c r="E140" s="63"/>
      <c r="F140" s="245">
        <f>E19</f>
        <v>2024</v>
      </c>
      <c r="G140" s="63"/>
      <c r="H140" s="63"/>
      <c r="I140" s="245">
        <f>H19</f>
        <v>2023</v>
      </c>
    </row>
    <row r="141" spans="1:9" x14ac:dyDescent="0.2">
      <c r="A141" s="28"/>
      <c r="B141" s="3" t="s">
        <v>554</v>
      </c>
      <c r="D141" s="28"/>
      <c r="E141" s="28"/>
      <c r="F141" s="241" t="s">
        <v>514</v>
      </c>
      <c r="G141" s="28"/>
      <c r="H141" s="28"/>
      <c r="I141" s="241" t="s">
        <v>514</v>
      </c>
    </row>
    <row r="142" spans="1:9" x14ac:dyDescent="0.2">
      <c r="A142" s="28"/>
      <c r="B142" s="29"/>
      <c r="C142" t="s">
        <v>555</v>
      </c>
      <c r="D142" s="28"/>
      <c r="E142" s="28"/>
      <c r="F142" s="232"/>
      <c r="G142" s="28"/>
      <c r="H142" s="28"/>
      <c r="I142" s="232"/>
    </row>
    <row r="143" spans="1:9" x14ac:dyDescent="0.2">
      <c r="A143" s="28"/>
      <c r="B143" s="29"/>
      <c r="C143" t="s">
        <v>556</v>
      </c>
      <c r="D143" s="28"/>
      <c r="E143" s="28"/>
      <c r="F143" s="232"/>
      <c r="G143" s="28"/>
      <c r="H143" s="28"/>
      <c r="I143" s="232"/>
    </row>
    <row r="144" spans="1:9" ht="8.1" customHeight="1" x14ac:dyDescent="0.2">
      <c r="A144" s="28"/>
      <c r="B144" s="29"/>
      <c r="D144" s="28"/>
      <c r="E144" s="28"/>
      <c r="F144" s="240"/>
      <c r="G144" s="28"/>
      <c r="H144" s="28"/>
      <c r="I144" s="240"/>
    </row>
    <row r="145" spans="1:9" x14ac:dyDescent="0.2">
      <c r="A145" s="28"/>
      <c r="B145" s="3" t="s">
        <v>559</v>
      </c>
      <c r="D145" s="28"/>
      <c r="E145" s="28"/>
      <c r="F145" s="241" t="s">
        <v>514</v>
      </c>
      <c r="G145" s="28"/>
      <c r="H145" s="28"/>
      <c r="I145" s="241" t="s">
        <v>514</v>
      </c>
    </row>
    <row r="146" spans="1:9" ht="13.5" thickBot="1" x14ac:dyDescent="0.25">
      <c r="A146" s="28"/>
      <c r="B146" s="159"/>
      <c r="C146" s="9" t="s">
        <v>560</v>
      </c>
      <c r="D146" s="228"/>
      <c r="E146" s="228"/>
      <c r="F146" s="243"/>
      <c r="G146" s="228"/>
      <c r="H146" s="228"/>
      <c r="I146" s="243"/>
    </row>
    <row r="147" spans="1:9" x14ac:dyDescent="0.2">
      <c r="A147" s="28"/>
      <c r="I147" s="65"/>
    </row>
    <row r="148" spans="1:9" x14ac:dyDescent="0.2">
      <c r="A148" s="28"/>
      <c r="I148" s="65"/>
    </row>
    <row r="149" spans="1:9" x14ac:dyDescent="0.2">
      <c r="A149" s="28"/>
    </row>
    <row r="150" spans="1:9" x14ac:dyDescent="0.2">
      <c r="A150" s="28"/>
      <c r="I150" s="65"/>
    </row>
    <row r="151" spans="1:9" x14ac:dyDescent="0.2">
      <c r="A151" s="28"/>
      <c r="B151" s="28"/>
      <c r="C151" s="28"/>
      <c r="D151" s="28"/>
      <c r="E151" s="28"/>
      <c r="F151" s="28"/>
      <c r="G151" s="28"/>
      <c r="H151" s="28"/>
    </row>
    <row r="152" spans="1:9" x14ac:dyDescent="0.2">
      <c r="A152" s="28"/>
      <c r="B152" s="28"/>
      <c r="C152" s="28"/>
      <c r="D152" s="28"/>
      <c r="E152" s="28"/>
      <c r="F152" s="28"/>
      <c r="G152" s="28"/>
      <c r="H152" s="28"/>
    </row>
    <row r="153" spans="1:9" x14ac:dyDescent="0.2">
      <c r="A153" s="28"/>
      <c r="B153" s="28"/>
      <c r="C153" s="28"/>
      <c r="D153" s="28"/>
      <c r="E153" s="28"/>
      <c r="F153" s="28"/>
      <c r="G153" s="28"/>
      <c r="H153" s="28"/>
    </row>
    <row r="154" spans="1:9" x14ac:dyDescent="0.2">
      <c r="A154" s="28"/>
      <c r="B154" s="28"/>
      <c r="C154" s="28"/>
      <c r="D154" s="28"/>
      <c r="E154" s="28"/>
      <c r="F154" s="28"/>
      <c r="G154" s="28"/>
      <c r="H154" s="28"/>
    </row>
    <row r="155" spans="1:9" ht="15.75" x14ac:dyDescent="0.25">
      <c r="A155" s="28"/>
      <c r="B155" s="28"/>
      <c r="C155" s="28"/>
      <c r="D155" s="468" t="s">
        <v>426</v>
      </c>
      <c r="E155" s="28"/>
      <c r="F155" s="28"/>
      <c r="G155" s="28"/>
      <c r="H155" s="28"/>
    </row>
    <row r="156" spans="1:9" ht="18.75" thickBot="1" x14ac:dyDescent="0.3">
      <c r="C156" s="194" t="s">
        <v>581</v>
      </c>
    </row>
    <row r="157" spans="1:9" ht="13.5" thickBot="1" x14ac:dyDescent="0.25">
      <c r="B157" s="37"/>
      <c r="C157" s="38"/>
      <c r="D157" s="451" t="s">
        <v>184</v>
      </c>
      <c r="E157" s="280">
        <f>E19</f>
        <v>2024</v>
      </c>
      <c r="F157" s="397"/>
      <c r="G157" s="452" t="s">
        <v>184</v>
      </c>
      <c r="H157" s="207">
        <f>H19</f>
        <v>2023</v>
      </c>
      <c r="I157" s="430"/>
    </row>
    <row r="158" spans="1:9" x14ac:dyDescent="0.2">
      <c r="B158" s="39" t="s">
        <v>81</v>
      </c>
      <c r="C158" s="40"/>
      <c r="D158" s="20" t="s">
        <v>82</v>
      </c>
      <c r="E158" s="195" t="s">
        <v>480</v>
      </c>
      <c r="F158" s="196" t="s">
        <v>481</v>
      </c>
      <c r="G158" s="65" t="s">
        <v>82</v>
      </c>
      <c r="H158" s="195" t="s">
        <v>480</v>
      </c>
      <c r="I158" s="196" t="s">
        <v>481</v>
      </c>
    </row>
    <row r="159" spans="1:9" x14ac:dyDescent="0.2">
      <c r="B159" s="44"/>
      <c r="C159" s="45" t="s">
        <v>579</v>
      </c>
      <c r="D159" s="453">
        <f>IF(F41&gt;0,F41,0)</f>
        <v>0</v>
      </c>
      <c r="E159" s="197">
        <f t="shared" ref="E159:E166" si="0">IF($E$190&gt;0,D159/$E$190,0)</f>
        <v>0</v>
      </c>
      <c r="F159" s="198">
        <f t="shared" ref="F159:F165" si="1">IF(F191&gt;0,D159/F191,0)</f>
        <v>0</v>
      </c>
      <c r="G159" s="454">
        <f>IF(I41&gt;0,I41,0)</f>
        <v>0</v>
      </c>
      <c r="H159" s="197">
        <f t="shared" ref="H159:H166" si="2">IF($H$190&gt;0,G159/$H$190,0)</f>
        <v>0</v>
      </c>
      <c r="I159" s="198">
        <f t="shared" ref="I159:I165" si="3">IF(I191&gt;0,G159/I191,0)</f>
        <v>0</v>
      </c>
    </row>
    <row r="160" spans="1:9" x14ac:dyDescent="0.2">
      <c r="B160" s="44"/>
      <c r="C160" s="45" t="s">
        <v>578</v>
      </c>
      <c r="D160" s="453">
        <f>IF(F42&gt;0,F42,0)</f>
        <v>0</v>
      </c>
      <c r="E160" s="197">
        <f t="shared" si="0"/>
        <v>0</v>
      </c>
      <c r="F160" s="198">
        <f t="shared" si="1"/>
        <v>0</v>
      </c>
      <c r="G160" s="454">
        <f>IF(I42&gt;0,I42,0)</f>
        <v>0</v>
      </c>
      <c r="H160" s="197">
        <f t="shared" si="2"/>
        <v>0</v>
      </c>
      <c r="I160" s="198">
        <f t="shared" si="3"/>
        <v>0</v>
      </c>
    </row>
    <row r="161" spans="2:9" x14ac:dyDescent="0.2">
      <c r="B161" s="44"/>
      <c r="C161" s="45" t="s">
        <v>571</v>
      </c>
      <c r="D161" s="453">
        <f>IF(F43&gt;0,F43,0)</f>
        <v>0</v>
      </c>
      <c r="E161" s="197">
        <f t="shared" si="0"/>
        <v>0</v>
      </c>
      <c r="F161" s="198">
        <f t="shared" si="1"/>
        <v>0</v>
      </c>
      <c r="G161" s="454">
        <f>IF(I43&gt;0,I43,0)</f>
        <v>0</v>
      </c>
      <c r="H161" s="197">
        <f t="shared" si="2"/>
        <v>0</v>
      </c>
      <c r="I161" s="198">
        <f t="shared" si="3"/>
        <v>0</v>
      </c>
    </row>
    <row r="162" spans="2:9" x14ac:dyDescent="0.2">
      <c r="B162" s="44"/>
      <c r="C162" s="45" t="s">
        <v>419</v>
      </c>
      <c r="D162" s="453">
        <f>IF((F47+F48)&gt;0,(F47+F48),0)</f>
        <v>0</v>
      </c>
      <c r="E162" s="197">
        <f t="shared" si="0"/>
        <v>0</v>
      </c>
      <c r="F162" s="198">
        <f t="shared" si="1"/>
        <v>0</v>
      </c>
      <c r="G162" s="453">
        <f>IF((I47+I48)&gt;0,(I47+I48),0)</f>
        <v>0</v>
      </c>
      <c r="H162" s="197">
        <f t="shared" si="2"/>
        <v>0</v>
      </c>
      <c r="I162" s="198">
        <f t="shared" si="3"/>
        <v>0</v>
      </c>
    </row>
    <row r="163" spans="2:9" x14ac:dyDescent="0.2">
      <c r="B163" s="29"/>
      <c r="C163" t="s">
        <v>446</v>
      </c>
      <c r="D163" s="453">
        <f>IF((F51+F52)&gt;0,(F51+F52),0)</f>
        <v>0</v>
      </c>
      <c r="E163" s="197">
        <f t="shared" si="0"/>
        <v>0</v>
      </c>
      <c r="F163" s="198">
        <f t="shared" si="1"/>
        <v>0</v>
      </c>
      <c r="G163" s="453">
        <f>IF((I51+I52)&gt;0,(I51+I52),0)</f>
        <v>0</v>
      </c>
      <c r="H163" s="197">
        <f t="shared" si="2"/>
        <v>0</v>
      </c>
      <c r="I163" s="198">
        <f t="shared" si="3"/>
        <v>0</v>
      </c>
    </row>
    <row r="164" spans="2:9" x14ac:dyDescent="0.2">
      <c r="B164" s="44"/>
      <c r="C164" s="45" t="s">
        <v>294</v>
      </c>
      <c r="D164" s="453">
        <f>IF(F55&gt;0,F55,0)</f>
        <v>0</v>
      </c>
      <c r="E164" s="197">
        <f t="shared" si="0"/>
        <v>0</v>
      </c>
      <c r="F164" s="198">
        <f t="shared" si="1"/>
        <v>0</v>
      </c>
      <c r="G164" s="453">
        <f>IF(I55&gt;0,I55,0)</f>
        <v>0</v>
      </c>
      <c r="H164" s="197">
        <f t="shared" si="2"/>
        <v>0</v>
      </c>
      <c r="I164" s="198">
        <f t="shared" si="3"/>
        <v>0</v>
      </c>
    </row>
    <row r="165" spans="2:9" x14ac:dyDescent="0.2">
      <c r="B165" s="199"/>
      <c r="C165" s="40" t="s">
        <v>420</v>
      </c>
      <c r="D165" s="455">
        <f>IF((F58+F59)&gt;0,(F58+F59),0)</f>
        <v>0</v>
      </c>
      <c r="E165" s="189">
        <f t="shared" si="0"/>
        <v>0</v>
      </c>
      <c r="F165" s="198">
        <f t="shared" si="1"/>
        <v>0</v>
      </c>
      <c r="G165" s="455">
        <f>IF((I58+I59)&gt;0,(I58+I59),0)</f>
        <v>0</v>
      </c>
      <c r="H165" s="189">
        <f t="shared" si="2"/>
        <v>0</v>
      </c>
      <c r="I165" s="198">
        <f t="shared" si="3"/>
        <v>0</v>
      </c>
    </row>
    <row r="166" spans="2:9" ht="13.5" thickBot="1" x14ac:dyDescent="0.25">
      <c r="B166" s="57"/>
      <c r="C166" s="187" t="s">
        <v>580</v>
      </c>
      <c r="D166" s="455">
        <f>IF(F64&gt;0,F64,0)</f>
        <v>0</v>
      </c>
      <c r="E166" s="189">
        <f t="shared" si="0"/>
        <v>0</v>
      </c>
      <c r="F166" s="192">
        <f>IF($F$199&gt;0,D166/$F$199,0)</f>
        <v>0</v>
      </c>
      <c r="G166" s="455">
        <f>IF(I64&gt;0,I64,0)</f>
        <v>0</v>
      </c>
      <c r="H166" s="189">
        <f t="shared" si="2"/>
        <v>0</v>
      </c>
      <c r="I166" s="192">
        <f>IF($F$199&gt;0,G166/$F$199,0)</f>
        <v>0</v>
      </c>
    </row>
    <row r="167" spans="2:9" ht="13.5" thickBot="1" x14ac:dyDescent="0.25">
      <c r="B167" s="51"/>
      <c r="C167" s="52" t="s">
        <v>83</v>
      </c>
      <c r="D167" s="456">
        <f>SUM(D159:D166)</f>
        <v>0</v>
      </c>
      <c r="E167" s="53">
        <f>IF(D167&gt;0,D167/E190,0)</f>
        <v>0</v>
      </c>
      <c r="F167" s="188">
        <f>IF(D167&gt;0,D167/F199,0)</f>
        <v>0</v>
      </c>
      <c r="G167" s="457">
        <f>SUM(G159:G166)</f>
        <v>0</v>
      </c>
      <c r="H167" s="53">
        <f>IF(G167&gt;0,G167/H190,0)</f>
        <v>0</v>
      </c>
      <c r="I167" s="188">
        <f>IF(G167&gt;0,G167/I199,0)</f>
        <v>0</v>
      </c>
    </row>
    <row r="168" spans="2:9" x14ac:dyDescent="0.2">
      <c r="B168" s="3" t="s">
        <v>216</v>
      </c>
      <c r="D168" s="458"/>
      <c r="E168" s="201"/>
      <c r="F168" s="202"/>
      <c r="G168" s="73"/>
      <c r="H168" s="203"/>
      <c r="I168" s="202"/>
    </row>
    <row r="169" spans="2:9" x14ac:dyDescent="0.2">
      <c r="B169" s="204"/>
      <c r="C169" s="45" t="s">
        <v>485</v>
      </c>
      <c r="D169" s="453">
        <f>IF(SUM(F70:F79)&gt;0,SUM(F70:F79),0)</f>
        <v>0</v>
      </c>
      <c r="E169" s="197">
        <f t="shared" ref="E169:E182" si="4">IF($E$190&gt;0,D169/$E$190,0)</f>
        <v>0</v>
      </c>
      <c r="F169" s="198">
        <f t="shared" ref="F169:F182" si="5">IF($F$199&gt;0,D169/$F$199,0)</f>
        <v>0</v>
      </c>
      <c r="G169" s="453">
        <f>IF(SUM(I70:I79)&gt;0,SUM(I70:I79),0)</f>
        <v>0</v>
      </c>
      <c r="H169" s="197">
        <f t="shared" ref="H169:H182" si="6">IF($H$190&gt;0,G169/$H$190,0)</f>
        <v>0</v>
      </c>
      <c r="I169" s="198">
        <f t="shared" ref="I169:I182" si="7">IF($I$199&gt;0,G169/$I$199,0)</f>
        <v>0</v>
      </c>
    </row>
    <row r="170" spans="2:9" x14ac:dyDescent="0.2">
      <c r="B170" s="29"/>
      <c r="C170" t="s">
        <v>489</v>
      </c>
      <c r="D170" s="453">
        <f>IF(SUM(F82:F85)&gt;0,SUM(F82:F85),0)</f>
        <v>0</v>
      </c>
      <c r="E170" s="197">
        <f t="shared" si="4"/>
        <v>0</v>
      </c>
      <c r="F170" s="198">
        <f t="shared" si="5"/>
        <v>0</v>
      </c>
      <c r="G170" s="453">
        <f>IF(SUM(I82:I85)&gt;0,SUM(I82:I85),0)</f>
        <v>0</v>
      </c>
      <c r="H170" s="197">
        <f t="shared" si="6"/>
        <v>0</v>
      </c>
      <c r="I170" s="198">
        <f t="shared" si="7"/>
        <v>0</v>
      </c>
    </row>
    <row r="171" spans="2:9" x14ac:dyDescent="0.2">
      <c r="B171" s="44"/>
      <c r="C171" s="45" t="s">
        <v>84</v>
      </c>
      <c r="D171" s="453">
        <f>IF((F88+F89)&gt;0,(F88+F89),0)</f>
        <v>0</v>
      </c>
      <c r="E171" s="197">
        <f t="shared" si="4"/>
        <v>0</v>
      </c>
      <c r="F171" s="198">
        <f t="shared" si="5"/>
        <v>0</v>
      </c>
      <c r="G171" s="453">
        <f>IF((I88+I89)&gt;0,(I88+I89),0)</f>
        <v>0</v>
      </c>
      <c r="H171" s="197">
        <f t="shared" si="6"/>
        <v>0</v>
      </c>
      <c r="I171" s="198">
        <f t="shared" si="7"/>
        <v>0</v>
      </c>
    </row>
    <row r="172" spans="2:9" x14ac:dyDescent="0.2">
      <c r="B172" s="44"/>
      <c r="C172" s="45" t="s">
        <v>293</v>
      </c>
      <c r="D172" s="453">
        <f>IF(SUM(F92:F95)&gt;0,SUM(F92:F95),0)</f>
        <v>0</v>
      </c>
      <c r="E172" s="197">
        <f t="shared" si="4"/>
        <v>0</v>
      </c>
      <c r="F172" s="198">
        <f t="shared" si="5"/>
        <v>0</v>
      </c>
      <c r="G172" s="453">
        <f>IF(SUM(I92:I95)&gt;0,SUM(I92:I95),0)</f>
        <v>0</v>
      </c>
      <c r="H172" s="197">
        <f t="shared" si="6"/>
        <v>0</v>
      </c>
      <c r="I172" s="198">
        <f t="shared" si="7"/>
        <v>0</v>
      </c>
    </row>
    <row r="173" spans="2:9" x14ac:dyDescent="0.2">
      <c r="B173" s="44"/>
      <c r="C173" s="45" t="s">
        <v>85</v>
      </c>
      <c r="D173" s="453">
        <f>IF(F99&gt;0,F99,0)</f>
        <v>0</v>
      </c>
      <c r="E173" s="197">
        <f t="shared" si="4"/>
        <v>0</v>
      </c>
      <c r="F173" s="198">
        <f t="shared" si="5"/>
        <v>0</v>
      </c>
      <c r="G173" s="453">
        <f>IF(I99&gt;0,I99,0)</f>
        <v>0</v>
      </c>
      <c r="H173" s="197">
        <f t="shared" si="6"/>
        <v>0</v>
      </c>
      <c r="I173" s="198">
        <f t="shared" si="7"/>
        <v>0</v>
      </c>
    </row>
    <row r="174" spans="2:9" x14ac:dyDescent="0.2">
      <c r="B174" s="44"/>
      <c r="C174" s="45" t="s">
        <v>158</v>
      </c>
      <c r="D174" s="453">
        <f>IF((F102+F103+F104)&gt;0,(F102+F103+F104),0)</f>
        <v>0</v>
      </c>
      <c r="E174" s="197">
        <f t="shared" si="4"/>
        <v>0</v>
      </c>
      <c r="F174" s="198">
        <f t="shared" si="5"/>
        <v>0</v>
      </c>
      <c r="G174" s="453">
        <f>IF((I102+I103+I104)&gt;0,(I102+I103+I104),0)</f>
        <v>0</v>
      </c>
      <c r="H174" s="197">
        <f t="shared" si="6"/>
        <v>0</v>
      </c>
      <c r="I174" s="198">
        <f t="shared" si="7"/>
        <v>0</v>
      </c>
    </row>
    <row r="175" spans="2:9" x14ac:dyDescent="0.2">
      <c r="B175" s="44"/>
      <c r="C175" s="45" t="s">
        <v>159</v>
      </c>
      <c r="D175" s="453">
        <f>IF((F109+F110)&gt;0,(F109+F110),0)</f>
        <v>0</v>
      </c>
      <c r="E175" s="197">
        <f t="shared" si="4"/>
        <v>0</v>
      </c>
      <c r="F175" s="198">
        <f t="shared" si="5"/>
        <v>0</v>
      </c>
      <c r="G175" s="453">
        <f>IF((I109+I110)&gt;0,(I109+I110),0)</f>
        <v>0</v>
      </c>
      <c r="H175" s="197">
        <f t="shared" si="6"/>
        <v>0</v>
      </c>
      <c r="I175" s="198">
        <f t="shared" si="7"/>
        <v>0</v>
      </c>
    </row>
    <row r="176" spans="2:9" x14ac:dyDescent="0.2">
      <c r="B176" s="44"/>
      <c r="C176" s="45" t="s">
        <v>483</v>
      </c>
      <c r="D176" s="453">
        <f>IF((F113+F114)&gt;0,(F113+F114),0)</f>
        <v>0</v>
      </c>
      <c r="E176" s="197">
        <f t="shared" si="4"/>
        <v>0</v>
      </c>
      <c r="F176" s="198">
        <f t="shared" si="5"/>
        <v>0</v>
      </c>
      <c r="G176" s="453">
        <f>IF((I113+I114)&gt;0,(I113+I114),0)</f>
        <v>0</v>
      </c>
      <c r="H176" s="197">
        <f t="shared" si="6"/>
        <v>0</v>
      </c>
      <c r="I176" s="198">
        <f t="shared" si="7"/>
        <v>0</v>
      </c>
    </row>
    <row r="177" spans="2:9" x14ac:dyDescent="0.2">
      <c r="B177" s="44"/>
      <c r="C177" s="45" t="s">
        <v>597</v>
      </c>
      <c r="D177" s="453">
        <f>IF((SUM(F117:F120))&gt;0,(SUM(F117:F120)),0)</f>
        <v>0</v>
      </c>
      <c r="E177" s="197">
        <f t="shared" si="4"/>
        <v>0</v>
      </c>
      <c r="F177" s="198">
        <f t="shared" si="5"/>
        <v>0</v>
      </c>
      <c r="G177" s="453">
        <f>IF((SUM(I117:I120))&gt;0,(SUM(I117:I120)),0)</f>
        <v>0</v>
      </c>
      <c r="H177" s="197">
        <f t="shared" si="6"/>
        <v>0</v>
      </c>
      <c r="I177" s="198">
        <f t="shared" si="7"/>
        <v>0</v>
      </c>
    </row>
    <row r="178" spans="2:9" x14ac:dyDescent="0.2">
      <c r="B178" s="44"/>
      <c r="C178" s="45" t="s">
        <v>312</v>
      </c>
      <c r="D178" s="453">
        <f>IF((F123+F124)&gt;0,(F123+F124),0)</f>
        <v>0</v>
      </c>
      <c r="E178" s="197">
        <f t="shared" si="4"/>
        <v>0</v>
      </c>
      <c r="F178" s="198">
        <f t="shared" si="5"/>
        <v>0</v>
      </c>
      <c r="G178" s="453">
        <f>IF((I123+I124)&gt;0,(I123+I124),0)</f>
        <v>0</v>
      </c>
      <c r="H178" s="197">
        <f t="shared" si="6"/>
        <v>0</v>
      </c>
      <c r="I178" s="198">
        <f t="shared" si="7"/>
        <v>0</v>
      </c>
    </row>
    <row r="179" spans="2:9" x14ac:dyDescent="0.2">
      <c r="B179" s="44"/>
      <c r="C179" s="45" t="s">
        <v>321</v>
      </c>
      <c r="D179" s="453">
        <f>IF(F127&gt;0,F127,0)</f>
        <v>0</v>
      </c>
      <c r="E179" s="197">
        <f t="shared" si="4"/>
        <v>0</v>
      </c>
      <c r="F179" s="198">
        <f t="shared" si="5"/>
        <v>0</v>
      </c>
      <c r="G179" s="453">
        <f>IF(I127&gt;0,I127,0)</f>
        <v>0</v>
      </c>
      <c r="H179" s="197">
        <f t="shared" si="6"/>
        <v>0</v>
      </c>
      <c r="I179" s="198">
        <f t="shared" si="7"/>
        <v>0</v>
      </c>
    </row>
    <row r="180" spans="2:9" x14ac:dyDescent="0.2">
      <c r="B180" s="44"/>
      <c r="C180" s="45" t="s">
        <v>512</v>
      </c>
      <c r="D180" s="453">
        <f>IF((F130+F131+F132)&gt;0,(F130+F131+F132),0)</f>
        <v>0</v>
      </c>
      <c r="E180" s="197">
        <f t="shared" si="4"/>
        <v>0</v>
      </c>
      <c r="F180" s="198">
        <f t="shared" si="5"/>
        <v>0</v>
      </c>
      <c r="G180" s="453">
        <f>IF((I130+I131+I132)&gt;0,(I130+I131+I132),0)</f>
        <v>0</v>
      </c>
      <c r="H180" s="197">
        <f t="shared" si="6"/>
        <v>0</v>
      </c>
      <c r="I180" s="198">
        <f t="shared" si="7"/>
        <v>0</v>
      </c>
    </row>
    <row r="181" spans="2:9" x14ac:dyDescent="0.2">
      <c r="B181" s="44"/>
      <c r="C181" s="45" t="s">
        <v>98</v>
      </c>
      <c r="D181" s="453">
        <f>IF((F135+F136)&gt;0,(F135+F136),0)</f>
        <v>0</v>
      </c>
      <c r="E181" s="197">
        <f t="shared" si="4"/>
        <v>0</v>
      </c>
      <c r="F181" s="198">
        <f t="shared" si="5"/>
        <v>0</v>
      </c>
      <c r="G181" s="453">
        <f>IF((I135+I136)&gt;0,(I135+I136),0)</f>
        <v>0</v>
      </c>
      <c r="H181" s="197">
        <f t="shared" si="6"/>
        <v>0</v>
      </c>
      <c r="I181" s="198">
        <f t="shared" si="7"/>
        <v>0</v>
      </c>
    </row>
    <row r="182" spans="2:9" ht="13.5" thickBot="1" x14ac:dyDescent="0.25">
      <c r="B182" s="29"/>
      <c r="C182" t="s">
        <v>168</v>
      </c>
      <c r="D182" s="459">
        <f>IF(F139&gt;0,F139,0)</f>
        <v>0</v>
      </c>
      <c r="E182" s="58">
        <f t="shared" si="4"/>
        <v>0</v>
      </c>
      <c r="F182" s="191">
        <f t="shared" si="5"/>
        <v>0</v>
      </c>
      <c r="G182" s="459">
        <f>IF(I139&gt;0,I139,0)</f>
        <v>0</v>
      </c>
      <c r="H182" s="58">
        <f t="shared" si="6"/>
        <v>0</v>
      </c>
      <c r="I182" s="191">
        <f t="shared" si="7"/>
        <v>0</v>
      </c>
    </row>
    <row r="183" spans="2:9" ht="13.5" thickBot="1" x14ac:dyDescent="0.25">
      <c r="B183" s="51"/>
      <c r="C183" s="52" t="s">
        <v>105</v>
      </c>
      <c r="D183" s="205">
        <f t="shared" ref="D183:I183" si="8">SUM(D169:D182)</f>
        <v>0</v>
      </c>
      <c r="E183" s="53">
        <f t="shared" si="8"/>
        <v>0</v>
      </c>
      <c r="F183" s="206">
        <f t="shared" si="8"/>
        <v>0</v>
      </c>
      <c r="G183" s="205">
        <f t="shared" si="8"/>
        <v>0</v>
      </c>
      <c r="H183" s="53">
        <f t="shared" si="8"/>
        <v>0</v>
      </c>
      <c r="I183" s="200">
        <f t="shared" si="8"/>
        <v>0</v>
      </c>
    </row>
    <row r="184" spans="2:9" x14ac:dyDescent="0.2">
      <c r="B184" s="44"/>
      <c r="C184" s="45" t="s">
        <v>110</v>
      </c>
      <c r="D184" s="453">
        <f>IF((F142+F143)&gt;0,(F142+F143),0)</f>
        <v>0</v>
      </c>
      <c r="E184" s="197">
        <f>IF($E$190&gt;0,D184/$E$190,0)</f>
        <v>0</v>
      </c>
      <c r="F184" s="198">
        <f>IF($F$199&gt;0,D184/$F$199,0)</f>
        <v>0</v>
      </c>
      <c r="G184" s="453">
        <f>IF((I142+I143)&gt;0,(I142+I143),0)</f>
        <v>0</v>
      </c>
      <c r="H184" s="197">
        <f>IF($H$190&gt;0,G184/$H$190,0)</f>
        <v>0</v>
      </c>
      <c r="I184" s="198">
        <f>IF($I$199&gt;0,G184/$I$199,0)</f>
        <v>0</v>
      </c>
    </row>
    <row r="185" spans="2:9" ht="13.5" thickBot="1" x14ac:dyDescent="0.25">
      <c r="B185" s="29"/>
      <c r="C185" t="s">
        <v>111</v>
      </c>
      <c r="D185" s="453">
        <f>IF(F146&gt;0,F146,0)</f>
        <v>0</v>
      </c>
      <c r="E185" s="197">
        <f>IF($E$190&gt;0,D185/$E$190,0)</f>
        <v>0</v>
      </c>
      <c r="F185" s="198">
        <f>IF($F$199&gt;0,D185/$F$199,0)</f>
        <v>0</v>
      </c>
      <c r="G185" s="453">
        <f>IF(I146&gt;0,I146,0)</f>
        <v>0</v>
      </c>
      <c r="H185" s="197">
        <f>IF($H$190&gt;0,G185/$H$190,0)</f>
        <v>0</v>
      </c>
      <c r="I185" s="198">
        <f>IF($I$199&gt;0,G185/$I$199,0)</f>
        <v>0</v>
      </c>
    </row>
    <row r="186" spans="2:9" ht="13.5" thickBot="1" x14ac:dyDescent="0.25">
      <c r="B186" s="51"/>
      <c r="C186" s="52" t="s">
        <v>115</v>
      </c>
      <c r="D186" s="205">
        <f t="shared" ref="D186:I186" si="9">D184+D185</f>
        <v>0</v>
      </c>
      <c r="E186" s="53">
        <f t="shared" si="9"/>
        <v>0</v>
      </c>
      <c r="F186" s="206">
        <f t="shared" si="9"/>
        <v>0</v>
      </c>
      <c r="G186" s="205">
        <f t="shared" si="9"/>
        <v>0</v>
      </c>
      <c r="H186" s="53">
        <f t="shared" si="9"/>
        <v>0</v>
      </c>
      <c r="I186" s="206">
        <f t="shared" si="9"/>
        <v>0</v>
      </c>
    </row>
    <row r="187" spans="2:9" ht="13.5" thickBot="1" x14ac:dyDescent="0.25">
      <c r="B187" s="51"/>
      <c r="C187" s="52" t="s">
        <v>116</v>
      </c>
      <c r="D187" s="205">
        <f t="shared" ref="D187:I187" si="10">D183+D186</f>
        <v>0</v>
      </c>
      <c r="E187" s="53">
        <f t="shared" si="10"/>
        <v>0</v>
      </c>
      <c r="F187" s="206">
        <f t="shared" si="10"/>
        <v>0</v>
      </c>
      <c r="G187" s="205">
        <f t="shared" si="10"/>
        <v>0</v>
      </c>
      <c r="H187" s="53">
        <f t="shared" si="10"/>
        <v>0</v>
      </c>
      <c r="I187" s="200">
        <f t="shared" si="10"/>
        <v>0</v>
      </c>
    </row>
    <row r="188" spans="2:9" ht="13.5" thickBot="1" x14ac:dyDescent="0.25">
      <c r="B188" s="51"/>
      <c r="C188" s="207" t="s">
        <v>117</v>
      </c>
      <c r="D188" s="205">
        <f t="shared" ref="D188:I188" si="11">D167-D187</f>
        <v>0</v>
      </c>
      <c r="E188" s="53">
        <f t="shared" si="11"/>
        <v>0</v>
      </c>
      <c r="F188" s="206">
        <f t="shared" si="11"/>
        <v>0</v>
      </c>
      <c r="G188" s="205">
        <f t="shared" si="11"/>
        <v>0</v>
      </c>
      <c r="H188" s="53">
        <f t="shared" si="11"/>
        <v>0</v>
      </c>
      <c r="I188" s="200">
        <f t="shared" si="11"/>
        <v>0</v>
      </c>
    </row>
    <row r="189" spans="2:9" ht="13.5" thickBot="1" x14ac:dyDescent="0.25">
      <c r="D189" s="73"/>
      <c r="E189" s="73"/>
    </row>
    <row r="190" spans="2:9" ht="13.5" thickBot="1" x14ac:dyDescent="0.25">
      <c r="C190" s="208" t="s">
        <v>615</v>
      </c>
      <c r="E190" s="460">
        <f>D29</f>
        <v>0</v>
      </c>
      <c r="F190" s="461"/>
      <c r="H190" s="462">
        <f>G29</f>
        <v>0</v>
      </c>
    </row>
    <row r="191" spans="2:9" x14ac:dyDescent="0.2">
      <c r="C191" s="56" t="str">
        <f t="shared" ref="C191:C197" si="12">C159</f>
        <v>Market Lamb Sales (90lbs+)</v>
      </c>
      <c r="F191" s="463">
        <f>IF(D41&gt;0,D41,0)</f>
        <v>0</v>
      </c>
      <c r="I191" s="463">
        <f>IF(G41&gt;0,G41,0)</f>
        <v>0</v>
      </c>
    </row>
    <row r="192" spans="2:9" x14ac:dyDescent="0.2">
      <c r="C192" s="56" t="str">
        <f t="shared" si="12"/>
        <v>Feeder Lamb Sales (under 90lbs)</v>
      </c>
      <c r="F192" s="464">
        <f>IF(D42&gt;0,D42,0)</f>
        <v>0</v>
      </c>
      <c r="I192" s="464">
        <f>IF(G42&gt;0,G42,0)</f>
        <v>0</v>
      </c>
    </row>
    <row r="193" spans="3:9" x14ac:dyDescent="0.2">
      <c r="C193" s="56" t="str">
        <f t="shared" si="12"/>
        <v>Ewe Lambs Kept For Breeding</v>
      </c>
      <c r="F193" s="464">
        <f>IF(D43&gt;0,D43,0)</f>
        <v>0</v>
      </c>
      <c r="I193" s="464">
        <f>IF(G43&gt;0,G43,0)</f>
        <v>0</v>
      </c>
    </row>
    <row r="194" spans="3:9" x14ac:dyDescent="0.2">
      <c r="C194" s="56" t="str">
        <f t="shared" si="12"/>
        <v>Cull Ewe and Ram Sales</v>
      </c>
      <c r="F194" s="464">
        <f>IF((D47+D48)&gt;0,(D47+D48),0)</f>
        <v>0</v>
      </c>
      <c r="I194" s="464">
        <f>IF((G47+G48)&gt;0,(G47+G48),0)</f>
        <v>0</v>
      </c>
    </row>
    <row r="195" spans="3:9" x14ac:dyDescent="0.2">
      <c r="C195" s="56" t="str">
        <f t="shared" si="12"/>
        <v>Breeding Stock Sales</v>
      </c>
      <c r="F195" s="464">
        <f>IF((D51+D52)&gt;0,(D51+D52),0)</f>
        <v>0</v>
      </c>
      <c r="I195" s="464">
        <f>IF((G51+G52)&gt;0,(G51+G52),0)</f>
        <v>0</v>
      </c>
    </row>
    <row r="196" spans="3:9" x14ac:dyDescent="0.2">
      <c r="C196" s="56" t="str">
        <f t="shared" si="12"/>
        <v>Wool Sales</v>
      </c>
      <c r="F196" s="464">
        <f>IF((D55)&gt;0,(D55),0)</f>
        <v>0</v>
      </c>
      <c r="I196" s="464">
        <f>IF((G55)&gt;0,(G55),0)</f>
        <v>0</v>
      </c>
    </row>
    <row r="197" spans="3:9" ht="13.5" thickBot="1" x14ac:dyDescent="0.25">
      <c r="C197" s="56" t="str">
        <f t="shared" si="12"/>
        <v>Meat and Mutton Sales</v>
      </c>
      <c r="F197" s="465">
        <f>IF((D58+D59)&gt;0,(D58+D59),0)</f>
        <v>0</v>
      </c>
      <c r="I197" s="465">
        <f>IF((G58+G59)&gt;0,(G58+G59),0)</f>
        <v>0</v>
      </c>
    </row>
    <row r="198" spans="3:9" ht="13.5" thickBot="1" x14ac:dyDescent="0.25">
      <c r="C198" s="56"/>
      <c r="F198" s="466"/>
      <c r="I198" s="466"/>
    </row>
    <row r="199" spans="3:9" ht="13.5" thickBot="1" x14ac:dyDescent="0.25">
      <c r="D199" s="65" t="s">
        <v>617</v>
      </c>
      <c r="F199" s="467">
        <f>SUM(F191:F197)-F196</f>
        <v>0</v>
      </c>
      <c r="I199" s="467">
        <f>SUM(I191:I197)-I196</f>
        <v>0</v>
      </c>
    </row>
  </sheetData>
  <sheetProtection sheet="1"/>
  <phoneticPr fontId="10" type="noConversion"/>
  <pageMargins left="0.75" right="0.75" top="1" bottom="1" header="0.5" footer="0.5"/>
  <pageSetup scale="82" orientation="landscape" r:id="rId1"/>
  <headerFooter alignWithMargins="0">
    <oddFooter>&amp;CEwePLAN Copyright Government of Saskatchewan, Developed by Brad Marceniuk</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PrintCOPSummary">
                <anchor moveWithCells="1" sizeWithCells="1">
                  <from>
                    <xdr:col>1</xdr:col>
                    <xdr:colOff>28575</xdr:colOff>
                    <xdr:row>151</xdr:row>
                    <xdr:rowOff>95250</xdr:rowOff>
                  </from>
                  <to>
                    <xdr:col>2</xdr:col>
                    <xdr:colOff>2581275</xdr:colOff>
                    <xdr:row>153</xdr:row>
                    <xdr:rowOff>133350</xdr:rowOff>
                  </to>
                </anchor>
              </controlPr>
            </control>
          </mc:Choice>
        </mc:AlternateContent>
        <mc:AlternateContent xmlns:mc="http://schemas.openxmlformats.org/markup-compatibility/2006">
          <mc:Choice Requires="x14">
            <control shapeId="5134" r:id="rId5" name="Button 14">
              <controlPr defaultSize="0" print="0" autoFill="0" autoPict="0" macro="[0]!COPInputSheet">
                <anchor moveWithCells="1" sizeWithCells="1">
                  <from>
                    <xdr:col>0</xdr:col>
                    <xdr:colOff>600075</xdr:colOff>
                    <xdr:row>0</xdr:row>
                    <xdr:rowOff>133350</xdr:rowOff>
                  </from>
                  <to>
                    <xdr:col>2</xdr:col>
                    <xdr:colOff>2409825</xdr:colOff>
                    <xdr:row>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L465"/>
  <sheetViews>
    <sheetView showGridLines="0" showRowColHeaders="0" zoomScale="110" zoomScaleNormal="110" workbookViewId="0">
      <selection activeCell="B1" sqref="B1"/>
    </sheetView>
  </sheetViews>
  <sheetFormatPr defaultRowHeight="12.75" x14ac:dyDescent="0.2"/>
  <cols>
    <col min="1" max="2" width="4.7109375" customWidth="1"/>
    <col min="3" max="3" width="40.7109375" customWidth="1"/>
    <col min="4" max="4" width="10.7109375" customWidth="1"/>
    <col min="5" max="9" width="9.7109375" customWidth="1"/>
    <col min="10" max="10" width="10.7109375" customWidth="1"/>
  </cols>
  <sheetData>
    <row r="1" spans="1:10" x14ac:dyDescent="0.2">
      <c r="A1" s="28"/>
      <c r="B1" s="28"/>
      <c r="C1" s="28"/>
      <c r="D1" s="28"/>
      <c r="E1" s="28"/>
      <c r="F1" s="28"/>
      <c r="G1" s="28"/>
      <c r="H1" s="28"/>
      <c r="I1" s="28"/>
    </row>
    <row r="2" spans="1:10" x14ac:dyDescent="0.2">
      <c r="A2" s="28"/>
      <c r="B2" s="28"/>
      <c r="C2" s="28"/>
      <c r="D2" s="28"/>
      <c r="E2" s="28"/>
      <c r="F2" s="28"/>
      <c r="G2" s="28"/>
      <c r="H2" s="28"/>
      <c r="I2" s="28"/>
    </row>
    <row r="3" spans="1:10" x14ac:dyDescent="0.2">
      <c r="A3" s="28"/>
      <c r="B3" s="28"/>
      <c r="C3" s="28"/>
      <c r="D3" s="28"/>
      <c r="E3" s="28"/>
      <c r="G3" s="28"/>
      <c r="H3" s="28"/>
      <c r="I3" s="28"/>
    </row>
    <row r="4" spans="1:10" ht="13.5" thickBot="1" x14ac:dyDescent="0.25">
      <c r="A4" s="28"/>
      <c r="B4" s="28"/>
      <c r="C4" s="28"/>
      <c r="D4" s="28"/>
      <c r="E4" s="28"/>
      <c r="F4" s="28"/>
      <c r="G4" s="28"/>
      <c r="H4" s="28"/>
      <c r="I4" s="28"/>
    </row>
    <row r="5" spans="1:10" ht="21.75" x14ac:dyDescent="0.45">
      <c r="A5" s="28"/>
      <c r="B5" s="837"/>
      <c r="C5" s="838"/>
      <c r="D5" s="839" t="s">
        <v>970</v>
      </c>
      <c r="E5" s="840"/>
      <c r="F5" s="840"/>
      <c r="G5" s="841"/>
      <c r="H5" s="841"/>
      <c r="I5" s="842"/>
    </row>
    <row r="6" spans="1:10" ht="15.75" x14ac:dyDescent="0.25">
      <c r="A6" s="28"/>
      <c r="B6" s="843"/>
      <c r="C6" s="179" t="s">
        <v>448</v>
      </c>
      <c r="E6" s="844"/>
      <c r="F6" s="844"/>
      <c r="G6" s="844"/>
      <c r="H6" s="844"/>
      <c r="I6" s="845"/>
    </row>
    <row r="7" spans="1:10" ht="13.5" thickBot="1" x14ac:dyDescent="0.25">
      <c r="A7" s="28"/>
      <c r="B7" s="843"/>
      <c r="C7" s="846" t="s">
        <v>857</v>
      </c>
      <c r="E7" s="844"/>
      <c r="F7" s="844"/>
      <c r="G7" s="844"/>
      <c r="H7" s="844"/>
      <c r="I7" s="845"/>
    </row>
    <row r="8" spans="1:10" x14ac:dyDescent="0.2">
      <c r="A8" s="28"/>
      <c r="B8" s="1341"/>
      <c r="C8" s="1342" t="s">
        <v>607</v>
      </c>
      <c r="D8" s="1342"/>
      <c r="E8" s="1342"/>
      <c r="F8" s="1342"/>
      <c r="G8" s="1342"/>
      <c r="H8" s="1342"/>
      <c r="I8" s="1343"/>
    </row>
    <row r="9" spans="1:10" ht="13.5" thickBot="1" x14ac:dyDescent="0.25">
      <c r="A9" s="28"/>
      <c r="B9" s="1344"/>
      <c r="C9" s="1345" t="s">
        <v>606</v>
      </c>
      <c r="D9" s="1345"/>
      <c r="E9" s="1345"/>
      <c r="F9" s="1345"/>
      <c r="G9" s="1345"/>
      <c r="H9" s="1345"/>
      <c r="I9" s="1346"/>
    </row>
    <row r="10" spans="1:10" x14ac:dyDescent="0.2">
      <c r="A10" s="28"/>
      <c r="B10" s="1347"/>
      <c r="C10" s="1348" t="s">
        <v>964</v>
      </c>
      <c r="D10" s="1349"/>
      <c r="E10" s="1350"/>
      <c r="F10" s="1350"/>
      <c r="G10" s="1351" t="s">
        <v>78</v>
      </c>
      <c r="H10" s="1352"/>
      <c r="I10" s="1353"/>
    </row>
    <row r="11" spans="1:10" x14ac:dyDescent="0.2">
      <c r="A11" s="28"/>
      <c r="B11" s="1354"/>
      <c r="C11" s="1355" t="s">
        <v>965</v>
      </c>
      <c r="D11" s="1356"/>
      <c r="E11" s="1357"/>
      <c r="F11" s="1357"/>
      <c r="G11" s="1357"/>
      <c r="H11" s="1357"/>
      <c r="I11" s="1358"/>
    </row>
    <row r="12" spans="1:10" ht="13.5" thickBot="1" x14ac:dyDescent="0.25">
      <c r="A12" s="28"/>
      <c r="B12" s="1359"/>
      <c r="C12" s="1360" t="s">
        <v>79</v>
      </c>
      <c r="D12" s="1361" t="s">
        <v>920</v>
      </c>
      <c r="E12" s="1362"/>
      <c r="F12" s="1363"/>
      <c r="G12" s="1364" t="s">
        <v>80</v>
      </c>
      <c r="H12" s="1360" t="s">
        <v>1</v>
      </c>
      <c r="I12" s="1365"/>
    </row>
    <row r="13" spans="1:10" ht="13.5" thickBot="1" x14ac:dyDescent="0.25">
      <c r="A13" s="28"/>
      <c r="B13" s="1444" t="s">
        <v>896</v>
      </c>
      <c r="C13" s="1445"/>
      <c r="D13" s="1445"/>
      <c r="E13" s="1445"/>
      <c r="F13" s="1445"/>
      <c r="G13" s="1445"/>
      <c r="H13" s="1445"/>
      <c r="I13" s="1446"/>
    </row>
    <row r="14" spans="1:10" ht="9.9499999999999993" customHeight="1" x14ac:dyDescent="0.2">
      <c r="A14" s="28"/>
    </row>
    <row r="15" spans="1:10" x14ac:dyDescent="0.2">
      <c r="B15" s="56" t="s">
        <v>150</v>
      </c>
      <c r="E15" s="65" t="s">
        <v>790</v>
      </c>
      <c r="F15" s="65" t="s">
        <v>791</v>
      </c>
      <c r="G15" s="65" t="s">
        <v>816</v>
      </c>
      <c r="H15" s="65" t="s">
        <v>817</v>
      </c>
      <c r="I15" s="665" t="s">
        <v>818</v>
      </c>
      <c r="J15" s="36"/>
    </row>
    <row r="16" spans="1:10" x14ac:dyDescent="0.2">
      <c r="C16" s="4" t="s">
        <v>742</v>
      </c>
      <c r="D16" s="65" t="s">
        <v>2</v>
      </c>
      <c r="E16" s="972">
        <v>400</v>
      </c>
      <c r="F16" s="972">
        <f>E27</f>
        <v>400</v>
      </c>
      <c r="G16" s="972">
        <f>F27</f>
        <v>400</v>
      </c>
      <c r="H16" s="972">
        <f>G27</f>
        <v>400</v>
      </c>
      <c r="I16" s="1366">
        <f>H27</f>
        <v>400</v>
      </c>
      <c r="J16" s="572"/>
    </row>
    <row r="17" spans="3:11" x14ac:dyDescent="0.2">
      <c r="C17" s="4" t="s">
        <v>743</v>
      </c>
      <c r="D17" s="65" t="s">
        <v>3</v>
      </c>
      <c r="E17" s="972">
        <v>10</v>
      </c>
      <c r="F17" s="972">
        <f>E17-E29-E31+E32</f>
        <v>10</v>
      </c>
      <c r="G17" s="972">
        <f>F17-F29-F31+F32</f>
        <v>10</v>
      </c>
      <c r="H17" s="972">
        <f>G17-G29-G31+G32</f>
        <v>10</v>
      </c>
      <c r="I17" s="1366">
        <f>H17-H29-H31+H32</f>
        <v>10</v>
      </c>
      <c r="J17" s="572"/>
    </row>
    <row r="18" spans="3:11" x14ac:dyDescent="0.2">
      <c r="C18" t="s">
        <v>350</v>
      </c>
      <c r="D18" s="65" t="s">
        <v>9</v>
      </c>
      <c r="E18" s="972">
        <v>0</v>
      </c>
      <c r="F18" s="972">
        <f t="shared" ref="F18:I19" si="0">E18</f>
        <v>0</v>
      </c>
      <c r="G18" s="972">
        <f t="shared" si="0"/>
        <v>0</v>
      </c>
      <c r="H18" s="972">
        <f t="shared" si="0"/>
        <v>0</v>
      </c>
      <c r="I18" s="1366">
        <f t="shared" si="0"/>
        <v>0</v>
      </c>
      <c r="J18" s="572"/>
    </row>
    <row r="19" spans="3:11" x14ac:dyDescent="0.2">
      <c r="C19" t="s">
        <v>838</v>
      </c>
      <c r="D19" s="65" t="s">
        <v>10</v>
      </c>
      <c r="E19" s="974">
        <v>0.03</v>
      </c>
      <c r="F19" s="974">
        <f t="shared" si="0"/>
        <v>0.03</v>
      </c>
      <c r="G19" s="974">
        <f t="shared" si="0"/>
        <v>0.03</v>
      </c>
      <c r="H19" s="974">
        <f t="shared" si="0"/>
        <v>0.03</v>
      </c>
      <c r="I19" s="1367">
        <f t="shared" si="0"/>
        <v>0.03</v>
      </c>
      <c r="J19" s="574"/>
    </row>
    <row r="20" spans="3:11" x14ac:dyDescent="0.2">
      <c r="C20" t="s">
        <v>839</v>
      </c>
      <c r="D20" s="72" t="s">
        <v>11</v>
      </c>
      <c r="E20" s="847">
        <f>ROUND(E16*E19,0)</f>
        <v>12</v>
      </c>
      <c r="F20" s="847">
        <f>ROUND(F16*F19,0)</f>
        <v>12</v>
      </c>
      <c r="G20" s="847">
        <f>ROUND(G16*G19,0)</f>
        <v>12</v>
      </c>
      <c r="H20" s="847">
        <f>ROUND(H16*H19,0)</f>
        <v>12</v>
      </c>
      <c r="I20" s="848">
        <f>ROUND(I16*I19,0)</f>
        <v>12</v>
      </c>
      <c r="J20" s="581"/>
    </row>
    <row r="21" spans="3:11" x14ac:dyDescent="0.2">
      <c r="C21" s="503" t="s">
        <v>794</v>
      </c>
      <c r="D21" s="65" t="s">
        <v>144</v>
      </c>
      <c r="E21" s="974">
        <v>0.15</v>
      </c>
      <c r="F21" s="974">
        <f>E21</f>
        <v>0.15</v>
      </c>
      <c r="G21" s="974">
        <f>F21</f>
        <v>0.15</v>
      </c>
      <c r="H21" s="974">
        <f>G21</f>
        <v>0.15</v>
      </c>
      <c r="I21" s="975">
        <f>H21</f>
        <v>0.15</v>
      </c>
      <c r="J21" s="574"/>
    </row>
    <row r="22" spans="3:11" x14ac:dyDescent="0.2">
      <c r="C22" s="503" t="s">
        <v>793</v>
      </c>
      <c r="D22" s="72" t="s">
        <v>11</v>
      </c>
      <c r="E22" s="383">
        <f>ROUND(E16*E21,0)</f>
        <v>60</v>
      </c>
      <c r="F22" s="383">
        <f>ROUND(F16*F21,0)</f>
        <v>60</v>
      </c>
      <c r="G22" s="383">
        <f>ROUND(G16*G21,0)</f>
        <v>60</v>
      </c>
      <c r="H22" s="383">
        <f>ROUND(H16*H21,0)</f>
        <v>60</v>
      </c>
      <c r="I22" s="666">
        <f>ROUND(I16*I21,0)</f>
        <v>60</v>
      </c>
      <c r="J22" s="581"/>
    </row>
    <row r="23" spans="3:11" x14ac:dyDescent="0.2">
      <c r="C23" s="4" t="s">
        <v>737</v>
      </c>
      <c r="D23" s="72" t="s">
        <v>11</v>
      </c>
      <c r="E23" s="667">
        <f>E16*(E19+E21)</f>
        <v>72</v>
      </c>
      <c r="F23" s="667">
        <f>F16*(F19+F21)</f>
        <v>72</v>
      </c>
      <c r="G23" s="667">
        <f>G16*(G19+G21)</f>
        <v>72</v>
      </c>
      <c r="H23" s="667">
        <f>H16*(H19+H21)</f>
        <v>72</v>
      </c>
      <c r="I23" s="667">
        <f>I16*(I19+I21)</f>
        <v>72</v>
      </c>
      <c r="J23" s="582"/>
    </row>
    <row r="24" spans="3:11" x14ac:dyDescent="0.2">
      <c r="C24" t="s">
        <v>218</v>
      </c>
      <c r="D24" s="65" t="s">
        <v>145</v>
      </c>
      <c r="E24" s="976">
        <f>E23</f>
        <v>72</v>
      </c>
      <c r="F24" s="976">
        <f>F23</f>
        <v>72</v>
      </c>
      <c r="G24" s="976">
        <f>G23</f>
        <v>72</v>
      </c>
      <c r="H24" s="976">
        <f>H23</f>
        <v>72</v>
      </c>
      <c r="I24" s="977">
        <f>I23</f>
        <v>72</v>
      </c>
      <c r="J24" s="575"/>
    </row>
    <row r="25" spans="3:11" x14ac:dyDescent="0.2">
      <c r="C25" s="503" t="s">
        <v>819</v>
      </c>
      <c r="D25" s="65" t="s">
        <v>146</v>
      </c>
      <c r="E25" s="978">
        <f>IF((E23-E24)&gt;0,E23-E24,0)</f>
        <v>0</v>
      </c>
      <c r="F25" s="978">
        <f>IF((F23-F24)&gt;0,F23-F24,0)</f>
        <v>0</v>
      </c>
      <c r="G25" s="978">
        <f>IF((G23-G24)&gt;0,G23-G24,0)</f>
        <v>0</v>
      </c>
      <c r="H25" s="978">
        <f>IF((H23-H24)&gt;0,H23-H24,0)</f>
        <v>0</v>
      </c>
      <c r="I25" s="979">
        <f>IF((I23-I24)&gt;0,I23-I24,0)</f>
        <v>0</v>
      </c>
      <c r="J25" s="573"/>
    </row>
    <row r="26" spans="3:11" x14ac:dyDescent="0.2">
      <c r="C26" t="s">
        <v>219</v>
      </c>
      <c r="D26" s="65" t="s">
        <v>21</v>
      </c>
      <c r="E26" s="980">
        <v>450</v>
      </c>
      <c r="F26" s="980">
        <f>E26</f>
        <v>450</v>
      </c>
      <c r="G26" s="980">
        <f>F26</f>
        <v>450</v>
      </c>
      <c r="H26" s="980">
        <f>G26</f>
        <v>450</v>
      </c>
      <c r="I26" s="981">
        <f>H26</f>
        <v>450</v>
      </c>
      <c r="J26" s="576"/>
      <c r="K26" s="4"/>
    </row>
    <row r="27" spans="3:11" x14ac:dyDescent="0.2">
      <c r="C27" s="503" t="s">
        <v>820</v>
      </c>
      <c r="D27" s="72" t="s">
        <v>11</v>
      </c>
      <c r="E27" s="847">
        <f>E16-E20-E22+E24+E25</f>
        <v>400</v>
      </c>
      <c r="F27" s="847">
        <f>F16-F20-F22+F24+F25</f>
        <v>400</v>
      </c>
      <c r="G27" s="847">
        <f>G16-G20-G22+G24+G25</f>
        <v>400</v>
      </c>
      <c r="H27" s="847">
        <f>H16-H20-H22+H24+H25</f>
        <v>400</v>
      </c>
      <c r="I27" s="848">
        <f>I16-I20-I22+I24+I25</f>
        <v>400</v>
      </c>
      <c r="J27" s="581"/>
    </row>
    <row r="28" spans="3:11" x14ac:dyDescent="0.2">
      <c r="C28" t="s">
        <v>840</v>
      </c>
      <c r="D28" s="65" t="s">
        <v>22</v>
      </c>
      <c r="E28" s="974">
        <v>0.03</v>
      </c>
      <c r="F28" s="974">
        <f>E28</f>
        <v>0.03</v>
      </c>
      <c r="G28" s="974">
        <f>F28</f>
        <v>0.03</v>
      </c>
      <c r="H28" s="974">
        <f>G28</f>
        <v>0.03</v>
      </c>
      <c r="I28" s="975">
        <f>H28</f>
        <v>0.03</v>
      </c>
      <c r="J28" s="574"/>
    </row>
    <row r="29" spans="3:11" x14ac:dyDescent="0.2">
      <c r="C29" s="503" t="s">
        <v>841</v>
      </c>
      <c r="D29" s="72" t="s">
        <v>11</v>
      </c>
      <c r="E29" s="1368">
        <f>E17*E28</f>
        <v>0.3</v>
      </c>
      <c r="F29" s="1368">
        <f t="shared" ref="F29:I29" si="1">F17*F28</f>
        <v>0.3</v>
      </c>
      <c r="G29" s="1368">
        <f t="shared" si="1"/>
        <v>0.3</v>
      </c>
      <c r="H29" s="1368">
        <f t="shared" si="1"/>
        <v>0.3</v>
      </c>
      <c r="I29" s="1368">
        <f t="shared" si="1"/>
        <v>0.3</v>
      </c>
      <c r="J29" s="583"/>
    </row>
    <row r="30" spans="3:11" x14ac:dyDescent="0.2">
      <c r="C30" s="503" t="s">
        <v>831</v>
      </c>
      <c r="D30" s="65" t="s">
        <v>23</v>
      </c>
      <c r="E30" s="974">
        <v>0.2</v>
      </c>
      <c r="F30" s="974">
        <f>E30</f>
        <v>0.2</v>
      </c>
      <c r="G30" s="974">
        <f>F30</f>
        <v>0.2</v>
      </c>
      <c r="H30" s="974">
        <f>G30</f>
        <v>0.2</v>
      </c>
      <c r="I30" s="975">
        <f>H30</f>
        <v>0.2</v>
      </c>
      <c r="J30" s="574"/>
    </row>
    <row r="31" spans="3:11" x14ac:dyDescent="0.2">
      <c r="C31" s="503" t="s">
        <v>832</v>
      </c>
      <c r="D31" s="72" t="s">
        <v>11</v>
      </c>
      <c r="E31" s="1369">
        <f>ROUND(E17*E30,0)</f>
        <v>2</v>
      </c>
      <c r="F31" s="1369">
        <f>ROUND(F17*F30,0)</f>
        <v>2</v>
      </c>
      <c r="G31" s="1369">
        <f>ROUND(G17*G30,0)</f>
        <v>2</v>
      </c>
      <c r="H31" s="1369">
        <f>ROUND(H17*H30,0)</f>
        <v>2</v>
      </c>
      <c r="I31" s="1370">
        <f>ROUND(I17*I30,0)</f>
        <v>2</v>
      </c>
      <c r="J31" s="583"/>
    </row>
    <row r="32" spans="3:11" x14ac:dyDescent="0.2">
      <c r="C32" s="503" t="s">
        <v>833</v>
      </c>
      <c r="D32" s="65" t="s">
        <v>24</v>
      </c>
      <c r="E32" s="1371">
        <f>E29+E31</f>
        <v>2.2999999999999998</v>
      </c>
      <c r="F32" s="1371">
        <f>F29+F31</f>
        <v>2.2999999999999998</v>
      </c>
      <c r="G32" s="1371">
        <f>G29+G31</f>
        <v>2.2999999999999998</v>
      </c>
      <c r="H32" s="1371">
        <f>H29+H31</f>
        <v>2.2999999999999998</v>
      </c>
      <c r="I32" s="1372">
        <f>I29+I31</f>
        <v>2.2999999999999998</v>
      </c>
      <c r="J32" s="577"/>
    </row>
    <row r="33" spans="2:12" x14ac:dyDescent="0.2">
      <c r="C33" t="s">
        <v>220</v>
      </c>
      <c r="D33" s="65" t="s">
        <v>26</v>
      </c>
      <c r="E33" s="980">
        <v>800</v>
      </c>
      <c r="F33" s="980">
        <f>E33</f>
        <v>800</v>
      </c>
      <c r="G33" s="980">
        <f>F33</f>
        <v>800</v>
      </c>
      <c r="H33" s="980">
        <f>G33</f>
        <v>800</v>
      </c>
      <c r="I33" s="981">
        <f>H33</f>
        <v>800</v>
      </c>
      <c r="J33" s="576"/>
    </row>
    <row r="34" spans="2:12" ht="6" customHeight="1" x14ac:dyDescent="0.2">
      <c r="B34" s="28"/>
      <c r="C34" s="28"/>
      <c r="D34" s="64"/>
      <c r="E34" s="80"/>
      <c r="F34" s="80"/>
      <c r="G34" s="80"/>
      <c r="H34" s="80"/>
      <c r="I34" s="571"/>
    </row>
    <row r="35" spans="2:12" x14ac:dyDescent="0.2">
      <c r="B35" s="56" t="s">
        <v>351</v>
      </c>
      <c r="E35" s="65" t="str">
        <f>E15</f>
        <v>Year #1</v>
      </c>
      <c r="F35" s="65" t="str">
        <f>F15</f>
        <v>Year #2</v>
      </c>
      <c r="G35" s="65" t="str">
        <f>G15</f>
        <v>Year #3</v>
      </c>
      <c r="H35" s="65" t="str">
        <f>H15</f>
        <v>Year #4</v>
      </c>
      <c r="I35" s="65" t="str">
        <f>I15</f>
        <v>Year #5</v>
      </c>
      <c r="J35" s="36"/>
    </row>
    <row r="36" spans="2:12" x14ac:dyDescent="0.2">
      <c r="B36" s="56"/>
      <c r="C36" s="503" t="s">
        <v>850</v>
      </c>
      <c r="D36" s="65" t="s">
        <v>27</v>
      </c>
      <c r="E36" s="1076">
        <v>45</v>
      </c>
      <c r="F36" s="1076">
        <f>E36</f>
        <v>45</v>
      </c>
      <c r="G36" s="1076">
        <f>F36</f>
        <v>45</v>
      </c>
      <c r="H36" s="1076">
        <f>G36</f>
        <v>45</v>
      </c>
      <c r="I36" s="1077">
        <f>H36</f>
        <v>45</v>
      </c>
      <c r="J36" s="1079"/>
    </row>
    <row r="37" spans="2:12" x14ac:dyDescent="0.2">
      <c r="B37" s="56"/>
      <c r="C37" t="s">
        <v>349</v>
      </c>
      <c r="D37" s="65" t="s">
        <v>28</v>
      </c>
      <c r="E37" s="982">
        <v>2</v>
      </c>
      <c r="F37" s="982">
        <f t="shared" ref="F37:I40" si="2">E37</f>
        <v>2</v>
      </c>
      <c r="G37" s="982">
        <f t="shared" si="2"/>
        <v>2</v>
      </c>
      <c r="H37" s="982">
        <f t="shared" si="2"/>
        <v>2</v>
      </c>
      <c r="I37" s="983">
        <f t="shared" si="2"/>
        <v>2</v>
      </c>
      <c r="J37" s="578"/>
    </row>
    <row r="38" spans="2:12" x14ac:dyDescent="0.2">
      <c r="B38" s="56"/>
      <c r="C38" t="s">
        <v>786</v>
      </c>
      <c r="D38" s="72" t="s">
        <v>11</v>
      </c>
      <c r="E38" s="855">
        <f>ROUND(E36*E37,0)</f>
        <v>90</v>
      </c>
      <c r="F38" s="855">
        <f>ROUND(F36*F37,0)</f>
        <v>90</v>
      </c>
      <c r="G38" s="855">
        <f>ROUND(G36*G37,0)</f>
        <v>90</v>
      </c>
      <c r="H38" s="855">
        <f>ROUND(H36*H37,0)</f>
        <v>90</v>
      </c>
      <c r="I38" s="856">
        <f>ROUND(I36*I37,0)</f>
        <v>90</v>
      </c>
      <c r="J38" s="668"/>
    </row>
    <row r="39" spans="2:12" x14ac:dyDescent="0.2">
      <c r="B39" s="56"/>
      <c r="C39" t="s">
        <v>792</v>
      </c>
      <c r="D39" s="72" t="s">
        <v>11</v>
      </c>
      <c r="E39" s="392">
        <f>E38*12</f>
        <v>1080</v>
      </c>
      <c r="F39" s="392">
        <f>F38*12</f>
        <v>1080</v>
      </c>
      <c r="G39" s="392">
        <f>G38*12</f>
        <v>1080</v>
      </c>
      <c r="H39" s="392">
        <f>H38*12</f>
        <v>1080</v>
      </c>
      <c r="I39" s="857">
        <f>I38*12</f>
        <v>1080</v>
      </c>
      <c r="J39" s="527"/>
    </row>
    <row r="40" spans="2:12" x14ac:dyDescent="0.2">
      <c r="B40" s="56"/>
      <c r="C40" t="s">
        <v>429</v>
      </c>
      <c r="D40" s="65" t="s">
        <v>29</v>
      </c>
      <c r="E40" s="974">
        <v>0.1</v>
      </c>
      <c r="F40" s="974">
        <f t="shared" si="2"/>
        <v>0.1</v>
      </c>
      <c r="G40" s="974">
        <f t="shared" si="2"/>
        <v>0.1</v>
      </c>
      <c r="H40" s="974">
        <f t="shared" si="2"/>
        <v>0.1</v>
      </c>
      <c r="I40" s="975">
        <f t="shared" si="2"/>
        <v>0.1</v>
      </c>
      <c r="J40" s="574"/>
    </row>
    <row r="41" spans="2:12" x14ac:dyDescent="0.2">
      <c r="C41" t="s">
        <v>428</v>
      </c>
      <c r="D41" s="72" t="s">
        <v>11</v>
      </c>
      <c r="E41" s="384">
        <f>ROUND(E39*E40,0)</f>
        <v>108</v>
      </c>
      <c r="F41" s="384">
        <f>ROUND(F39*F40,0)</f>
        <v>108</v>
      </c>
      <c r="G41" s="384">
        <f>ROUND(G39*G40,0)</f>
        <v>108</v>
      </c>
      <c r="H41" s="384">
        <f>ROUND(H39*H40,0)</f>
        <v>108</v>
      </c>
      <c r="I41" s="670">
        <f>ROUND(I39*I40,0)</f>
        <v>108</v>
      </c>
      <c r="J41" s="384"/>
    </row>
    <row r="42" spans="2:12" x14ac:dyDescent="0.2">
      <c r="C42" s="503" t="s">
        <v>352</v>
      </c>
      <c r="D42" s="72" t="s">
        <v>11</v>
      </c>
      <c r="E42" s="384">
        <f>ROUND(E39-E41,0)</f>
        <v>972</v>
      </c>
      <c r="F42" s="384">
        <f>ROUND(F39-F41,0)</f>
        <v>972</v>
      </c>
      <c r="G42" s="384">
        <f>ROUND(G39-G41,0)</f>
        <v>972</v>
      </c>
      <c r="H42" s="384">
        <f>ROUND(H39-H41,0)</f>
        <v>972</v>
      </c>
      <c r="I42" s="384">
        <f>ROUND(I39-I41,0)</f>
        <v>972</v>
      </c>
      <c r="J42" s="384"/>
    </row>
    <row r="43" spans="2:12" x14ac:dyDescent="0.2">
      <c r="C43" t="s">
        <v>430</v>
      </c>
      <c r="D43" s="72" t="s">
        <v>11</v>
      </c>
      <c r="E43" s="385">
        <f>E42/E39</f>
        <v>0.9</v>
      </c>
      <c r="F43" s="385">
        <f>F42/F39</f>
        <v>0.9</v>
      </c>
      <c r="G43" s="385">
        <f>G42/G39</f>
        <v>0.9</v>
      </c>
      <c r="H43" s="385">
        <f>H42/H39</f>
        <v>0.9</v>
      </c>
      <c r="I43" s="385">
        <f>I42/I39</f>
        <v>0.9</v>
      </c>
      <c r="J43" s="669"/>
    </row>
    <row r="44" spans="2:12" x14ac:dyDescent="0.2">
      <c r="C44" t="s">
        <v>431</v>
      </c>
      <c r="D44" s="65" t="s">
        <v>30</v>
      </c>
      <c r="E44" s="974">
        <v>0.05</v>
      </c>
      <c r="F44" s="974">
        <f>E44</f>
        <v>0.05</v>
      </c>
      <c r="G44" s="974">
        <f>F44</f>
        <v>0.05</v>
      </c>
      <c r="H44" s="974">
        <f>G44</f>
        <v>0.05</v>
      </c>
      <c r="I44" s="975">
        <f>H44</f>
        <v>0.05</v>
      </c>
      <c r="J44" s="574"/>
    </row>
    <row r="45" spans="2:12" x14ac:dyDescent="0.2">
      <c r="C45" t="s">
        <v>432</v>
      </c>
      <c r="D45" s="72" t="s">
        <v>11</v>
      </c>
      <c r="E45" s="384">
        <f>ROUND(E42*E44,0)</f>
        <v>49</v>
      </c>
      <c r="F45" s="384">
        <f>ROUND(F42*F44,0)</f>
        <v>49</v>
      </c>
      <c r="G45" s="384">
        <f>ROUND(G42*G44,0)</f>
        <v>49</v>
      </c>
      <c r="H45" s="384">
        <f>ROUND(H42*H44,0)</f>
        <v>49</v>
      </c>
      <c r="I45" s="670">
        <f>ROUND(I42*I44,0)</f>
        <v>49</v>
      </c>
      <c r="J45" s="384"/>
    </row>
    <row r="46" spans="2:12" x14ac:dyDescent="0.2">
      <c r="C46" t="s">
        <v>353</v>
      </c>
      <c r="D46" s="72" t="s">
        <v>11</v>
      </c>
      <c r="E46" s="384">
        <f>E42-E45</f>
        <v>923</v>
      </c>
      <c r="F46" s="384">
        <f>F42-F45</f>
        <v>923</v>
      </c>
      <c r="G46" s="384">
        <f>G42-G45</f>
        <v>923</v>
      </c>
      <c r="H46" s="384">
        <f>H42-H45</f>
        <v>923</v>
      </c>
      <c r="I46" s="384">
        <f>I42-I45</f>
        <v>923</v>
      </c>
      <c r="J46" s="384"/>
      <c r="L46" s="28"/>
    </row>
    <row r="47" spans="2:12" x14ac:dyDescent="0.2">
      <c r="C47" s="503" t="s">
        <v>925</v>
      </c>
      <c r="D47" s="72" t="s">
        <v>11</v>
      </c>
      <c r="E47" s="499">
        <f>E46/E16</f>
        <v>2.3075000000000001</v>
      </c>
      <c r="F47" s="499">
        <f>F46/F16</f>
        <v>2.3075000000000001</v>
      </c>
      <c r="G47" s="499">
        <f>G46/G16</f>
        <v>2.3075000000000001</v>
      </c>
      <c r="H47" s="499">
        <f>H46/H16</f>
        <v>2.3075000000000001</v>
      </c>
      <c r="I47" s="499">
        <f>I46/I16</f>
        <v>2.3075000000000001</v>
      </c>
      <c r="J47" s="499"/>
    </row>
    <row r="48" spans="2:12" x14ac:dyDescent="0.2">
      <c r="C48" s="503" t="s">
        <v>776</v>
      </c>
      <c r="D48" s="72" t="s">
        <v>11</v>
      </c>
      <c r="E48" s="506">
        <f>E46-E24</f>
        <v>851</v>
      </c>
      <c r="F48" s="506">
        <f>F46-F24</f>
        <v>851</v>
      </c>
      <c r="G48" s="506">
        <f>G46-G24</f>
        <v>851</v>
      </c>
      <c r="H48" s="506">
        <f>H46-H24</f>
        <v>851</v>
      </c>
      <c r="I48" s="506">
        <f>I46-I24</f>
        <v>851</v>
      </c>
      <c r="J48" s="506"/>
    </row>
    <row r="49" spans="2:10" ht="12.75" customHeight="1" x14ac:dyDescent="0.2">
      <c r="D49" s="65"/>
      <c r="E49" s="507"/>
      <c r="F49" s="507"/>
      <c r="G49" s="507"/>
      <c r="H49" s="507"/>
      <c r="I49" s="507"/>
    </row>
    <row r="50" spans="2:10" x14ac:dyDescent="0.2">
      <c r="B50" s="56" t="s">
        <v>665</v>
      </c>
      <c r="D50" s="27"/>
      <c r="E50" s="65" t="str">
        <f>$E$15</f>
        <v>Year #1</v>
      </c>
      <c r="F50" s="65" t="str">
        <f>$F$15</f>
        <v>Year #2</v>
      </c>
      <c r="G50" s="65" t="str">
        <f>$G$15</f>
        <v>Year #3</v>
      </c>
      <c r="H50" s="65" t="str">
        <f>$H$15</f>
        <v>Year #4</v>
      </c>
      <c r="I50" s="665" t="str">
        <f>$I$15</f>
        <v>Year #5</v>
      </c>
      <c r="J50" s="36"/>
    </row>
    <row r="51" spans="2:10" x14ac:dyDescent="0.2">
      <c r="B51" s="56"/>
      <c r="C51" t="s">
        <v>354</v>
      </c>
      <c r="D51" s="65" t="s">
        <v>31</v>
      </c>
      <c r="E51" s="972">
        <v>0</v>
      </c>
      <c r="F51" s="972">
        <f>E51</f>
        <v>0</v>
      </c>
      <c r="G51" s="972">
        <f>F51</f>
        <v>0</v>
      </c>
      <c r="H51" s="972">
        <f>G51</f>
        <v>0</v>
      </c>
      <c r="I51" s="1025">
        <f>H51</f>
        <v>0</v>
      </c>
      <c r="J51" s="36"/>
    </row>
    <row r="52" spans="2:10" x14ac:dyDescent="0.2">
      <c r="B52" s="56"/>
      <c r="C52" t="s">
        <v>775</v>
      </c>
      <c r="D52" s="65" t="s">
        <v>32</v>
      </c>
      <c r="E52" s="972">
        <f>IF(E51&gt;0,E48,0)</f>
        <v>0</v>
      </c>
      <c r="F52" s="972">
        <f>IF(F51&gt;0,F48,0)</f>
        <v>0</v>
      </c>
      <c r="G52" s="972">
        <f>IF(G51&gt;0,G48,0)</f>
        <v>0</v>
      </c>
      <c r="H52" s="972">
        <f>IF(H51&gt;0,H48,0)</f>
        <v>0</v>
      </c>
      <c r="I52" s="972">
        <f>IF(I51&gt;0,I48,0)</f>
        <v>0</v>
      </c>
      <c r="J52" s="36"/>
    </row>
    <row r="53" spans="2:10" x14ac:dyDescent="0.2">
      <c r="B53" s="56"/>
      <c r="C53" t="s">
        <v>355</v>
      </c>
      <c r="D53" s="65" t="s">
        <v>33</v>
      </c>
      <c r="E53" s="1023">
        <v>2.6</v>
      </c>
      <c r="F53" s="1023">
        <f t="shared" ref="F53:I53" si="3">E53</f>
        <v>2.6</v>
      </c>
      <c r="G53" s="1023">
        <f t="shared" si="3"/>
        <v>2.6</v>
      </c>
      <c r="H53" s="1023">
        <f t="shared" si="3"/>
        <v>2.6</v>
      </c>
      <c r="I53" s="1024">
        <f t="shared" si="3"/>
        <v>2.6</v>
      </c>
      <c r="J53" s="579"/>
    </row>
    <row r="54" spans="2:10" x14ac:dyDescent="0.2">
      <c r="B54" s="56"/>
      <c r="C54" t="s">
        <v>356</v>
      </c>
      <c r="D54" s="72" t="s">
        <v>11</v>
      </c>
      <c r="E54" s="82"/>
      <c r="F54" s="82">
        <f>F51*F53</f>
        <v>0</v>
      </c>
      <c r="G54" s="82">
        <f>G51*G53</f>
        <v>0</v>
      </c>
      <c r="H54" s="82">
        <f>H51*H53</f>
        <v>0</v>
      </c>
      <c r="I54" s="671">
        <f>I51*I53</f>
        <v>0</v>
      </c>
      <c r="J54" s="82"/>
    </row>
    <row r="55" spans="2:10" x14ac:dyDescent="0.2">
      <c r="B55" s="56"/>
      <c r="D55" s="72"/>
      <c r="E55" s="82"/>
      <c r="F55" s="82"/>
      <c r="G55" s="82"/>
      <c r="H55" s="82"/>
      <c r="I55" s="387"/>
      <c r="J55" s="82"/>
    </row>
    <row r="56" spans="2:10" x14ac:dyDescent="0.2">
      <c r="B56" s="56"/>
      <c r="C56" s="4" t="s">
        <v>662</v>
      </c>
      <c r="D56" s="65" t="s">
        <v>34</v>
      </c>
      <c r="E56" s="972">
        <v>120</v>
      </c>
      <c r="F56" s="972">
        <f>E56</f>
        <v>120</v>
      </c>
      <c r="G56" s="972">
        <f>F56</f>
        <v>120</v>
      </c>
      <c r="H56" s="972">
        <f>G56</f>
        <v>120</v>
      </c>
      <c r="I56" s="973">
        <f>H56</f>
        <v>120</v>
      </c>
      <c r="J56" s="82"/>
    </row>
    <row r="57" spans="2:10" x14ac:dyDescent="0.2">
      <c r="B57" s="56"/>
      <c r="C57" s="4" t="s">
        <v>661</v>
      </c>
      <c r="D57" s="65" t="s">
        <v>35</v>
      </c>
      <c r="E57" s="972">
        <f>E46-E24-E52-E62-E64-E66-E90</f>
        <v>851</v>
      </c>
      <c r="F57" s="972">
        <f>F46-F24-F52-F62-F64-F66-F90</f>
        <v>851</v>
      </c>
      <c r="G57" s="972">
        <f>G46-G24-G52-G62-G64-G66-G90</f>
        <v>851</v>
      </c>
      <c r="H57" s="972">
        <f>H46-H24-H52-H62-H64-H66-H90</f>
        <v>851</v>
      </c>
      <c r="I57" s="972">
        <f>I46-I24-I52-I62-I64-I66-I90</f>
        <v>851</v>
      </c>
      <c r="J57" s="572"/>
    </row>
    <row r="58" spans="2:10" x14ac:dyDescent="0.2">
      <c r="B58" s="56"/>
      <c r="C58" s="4" t="s">
        <v>663</v>
      </c>
      <c r="D58" s="65" t="s">
        <v>36</v>
      </c>
      <c r="E58" s="1023">
        <v>2.2999999999999998</v>
      </c>
      <c r="F58" s="1023">
        <f>E58</f>
        <v>2.2999999999999998</v>
      </c>
      <c r="G58" s="1023">
        <f t="shared" ref="G58:I58" si="4">F58</f>
        <v>2.2999999999999998</v>
      </c>
      <c r="H58" s="1023">
        <f t="shared" si="4"/>
        <v>2.2999999999999998</v>
      </c>
      <c r="I58" s="1024">
        <f t="shared" si="4"/>
        <v>2.2999999999999998</v>
      </c>
      <c r="J58" s="579"/>
    </row>
    <row r="59" spans="2:10" x14ac:dyDescent="0.2">
      <c r="B59" s="56"/>
      <c r="C59" s="4" t="s">
        <v>664</v>
      </c>
      <c r="D59" s="72" t="s">
        <v>11</v>
      </c>
      <c r="E59" s="736">
        <f>E56*E58</f>
        <v>276</v>
      </c>
      <c r="F59" s="736">
        <f>F56*F58</f>
        <v>276</v>
      </c>
      <c r="G59" s="736">
        <f>G56*G58</f>
        <v>276</v>
      </c>
      <c r="H59" s="736">
        <f>H56*H58</f>
        <v>276</v>
      </c>
      <c r="I59" s="849">
        <f>I56*I58</f>
        <v>276</v>
      </c>
      <c r="J59" s="82"/>
    </row>
    <row r="60" spans="2:10" ht="6" customHeight="1" x14ac:dyDescent="0.2">
      <c r="D60" s="72"/>
      <c r="E60" s="83"/>
      <c r="F60" s="83"/>
      <c r="G60" s="83"/>
      <c r="H60" s="83"/>
      <c r="I60" s="83"/>
    </row>
    <row r="61" spans="2:10" x14ac:dyDescent="0.2">
      <c r="B61" s="56" t="s">
        <v>433</v>
      </c>
      <c r="D61" s="72"/>
      <c r="E61" s="82"/>
      <c r="F61" s="82"/>
      <c r="G61" s="82"/>
      <c r="H61" s="82"/>
      <c r="I61" s="387"/>
    </row>
    <row r="62" spans="2:10" x14ac:dyDescent="0.2">
      <c r="C62" t="s">
        <v>434</v>
      </c>
      <c r="D62" s="65" t="s">
        <v>37</v>
      </c>
      <c r="E62" s="1026">
        <v>0</v>
      </c>
      <c r="F62" s="1026">
        <f t="shared" ref="F62:I65" si="5">E62</f>
        <v>0</v>
      </c>
      <c r="G62" s="1026">
        <f t="shared" si="5"/>
        <v>0</v>
      </c>
      <c r="H62" s="1026">
        <f t="shared" si="5"/>
        <v>0</v>
      </c>
      <c r="I62" s="1027">
        <f t="shared" si="5"/>
        <v>0</v>
      </c>
      <c r="J62" s="580"/>
    </row>
    <row r="63" spans="2:10" x14ac:dyDescent="0.2">
      <c r="C63" t="s">
        <v>435</v>
      </c>
      <c r="D63" s="65" t="s">
        <v>38</v>
      </c>
      <c r="E63" s="1023">
        <v>0</v>
      </c>
      <c r="F63" s="1023">
        <f t="shared" si="5"/>
        <v>0</v>
      </c>
      <c r="G63" s="1023">
        <f t="shared" si="5"/>
        <v>0</v>
      </c>
      <c r="H63" s="1023">
        <f t="shared" si="5"/>
        <v>0</v>
      </c>
      <c r="I63" s="1024">
        <f t="shared" si="5"/>
        <v>0</v>
      </c>
      <c r="J63" s="579"/>
    </row>
    <row r="64" spans="2:10" x14ac:dyDescent="0.2">
      <c r="C64" t="s">
        <v>436</v>
      </c>
      <c r="D64" s="65" t="s">
        <v>39</v>
      </c>
      <c r="E64" s="1026">
        <v>0</v>
      </c>
      <c r="F64" s="1026">
        <f t="shared" si="5"/>
        <v>0</v>
      </c>
      <c r="G64" s="1026">
        <f t="shared" si="5"/>
        <v>0</v>
      </c>
      <c r="H64" s="1026">
        <f t="shared" si="5"/>
        <v>0</v>
      </c>
      <c r="I64" s="1027">
        <f t="shared" si="5"/>
        <v>0</v>
      </c>
      <c r="J64" s="580"/>
    </row>
    <row r="65" spans="2:10" x14ac:dyDescent="0.2">
      <c r="C65" t="s">
        <v>437</v>
      </c>
      <c r="D65" s="65" t="s">
        <v>40</v>
      </c>
      <c r="E65" s="1023">
        <v>0</v>
      </c>
      <c r="F65" s="1023">
        <f t="shared" si="5"/>
        <v>0</v>
      </c>
      <c r="G65" s="1023">
        <f t="shared" si="5"/>
        <v>0</v>
      </c>
      <c r="H65" s="1023">
        <f t="shared" si="5"/>
        <v>0</v>
      </c>
      <c r="I65" s="1024">
        <f t="shared" si="5"/>
        <v>0</v>
      </c>
      <c r="J65" s="579"/>
    </row>
    <row r="66" spans="2:10" x14ac:dyDescent="0.2">
      <c r="C66" t="s">
        <v>438</v>
      </c>
      <c r="D66" s="65" t="s">
        <v>41</v>
      </c>
      <c r="E66" s="1026">
        <v>0</v>
      </c>
      <c r="F66" s="1026">
        <f t="shared" ref="F66:I67" si="6">E66</f>
        <v>0</v>
      </c>
      <c r="G66" s="1026">
        <f t="shared" si="6"/>
        <v>0</v>
      </c>
      <c r="H66" s="1026">
        <f t="shared" si="6"/>
        <v>0</v>
      </c>
      <c r="I66" s="1027">
        <f t="shared" si="6"/>
        <v>0</v>
      </c>
      <c r="J66" s="580"/>
    </row>
    <row r="67" spans="2:10" x14ac:dyDescent="0.2">
      <c r="C67" t="s">
        <v>439</v>
      </c>
      <c r="D67" s="65" t="s">
        <v>42</v>
      </c>
      <c r="E67" s="1023">
        <v>0</v>
      </c>
      <c r="F67" s="1023">
        <f t="shared" si="6"/>
        <v>0</v>
      </c>
      <c r="G67" s="1023">
        <f t="shared" si="6"/>
        <v>0</v>
      </c>
      <c r="H67" s="1023">
        <f t="shared" si="6"/>
        <v>0</v>
      </c>
      <c r="I67" s="1024">
        <f t="shared" si="6"/>
        <v>0</v>
      </c>
      <c r="J67" s="579"/>
    </row>
    <row r="68" spans="2:10" ht="6" customHeight="1" x14ac:dyDescent="0.2">
      <c r="E68" s="28"/>
      <c r="F68" s="28"/>
      <c r="G68" s="28"/>
      <c r="H68" s="28"/>
      <c r="I68" s="28"/>
    </row>
    <row r="69" spans="2:10" x14ac:dyDescent="0.2">
      <c r="B69" s="56" t="s">
        <v>501</v>
      </c>
      <c r="E69" s="65" t="str">
        <f>$E$15</f>
        <v>Year #1</v>
      </c>
      <c r="F69" s="65" t="str">
        <f>$F$15</f>
        <v>Year #2</v>
      </c>
      <c r="G69" s="65" t="str">
        <f>$G$15</f>
        <v>Year #3</v>
      </c>
      <c r="H69" s="65" t="str">
        <f>$H$15</f>
        <v>Year #4</v>
      </c>
      <c r="I69" s="65" t="str">
        <f>$I$15</f>
        <v>Year #5</v>
      </c>
      <c r="J69" s="65"/>
    </row>
    <row r="70" spans="2:10" x14ac:dyDescent="0.2">
      <c r="C70" t="s">
        <v>842</v>
      </c>
      <c r="D70" s="72" t="s">
        <v>11</v>
      </c>
      <c r="E70" s="386">
        <f>E22</f>
        <v>60</v>
      </c>
      <c r="F70" s="386">
        <f>F22</f>
        <v>60</v>
      </c>
      <c r="G70" s="386">
        <f>G22</f>
        <v>60</v>
      </c>
      <c r="H70" s="386">
        <f>H22</f>
        <v>60</v>
      </c>
      <c r="I70" s="386">
        <f>I22</f>
        <v>60</v>
      </c>
      <c r="J70" s="586"/>
    </row>
    <row r="71" spans="2:10" x14ac:dyDescent="0.2">
      <c r="C71" t="s">
        <v>221</v>
      </c>
      <c r="D71" s="65" t="s">
        <v>43</v>
      </c>
      <c r="E71" s="1028">
        <v>160</v>
      </c>
      <c r="F71" s="1028">
        <f t="shared" ref="F71:I72" si="7">E71</f>
        <v>160</v>
      </c>
      <c r="G71" s="1028">
        <f t="shared" si="7"/>
        <v>160</v>
      </c>
      <c r="H71" s="1028">
        <f t="shared" si="7"/>
        <v>160</v>
      </c>
      <c r="I71" s="1028">
        <f t="shared" si="7"/>
        <v>160</v>
      </c>
      <c r="J71" s="587"/>
    </row>
    <row r="72" spans="2:10" x14ac:dyDescent="0.2">
      <c r="C72" t="s">
        <v>358</v>
      </c>
      <c r="D72" s="65" t="s">
        <v>44</v>
      </c>
      <c r="E72" s="1023">
        <v>1.25</v>
      </c>
      <c r="F72" s="1023">
        <f t="shared" si="7"/>
        <v>1.25</v>
      </c>
      <c r="G72" s="1023">
        <f t="shared" si="7"/>
        <v>1.25</v>
      </c>
      <c r="H72" s="1023">
        <f t="shared" si="7"/>
        <v>1.25</v>
      </c>
      <c r="I72" s="1023">
        <f t="shared" si="7"/>
        <v>1.25</v>
      </c>
      <c r="J72" s="579"/>
    </row>
    <row r="73" spans="2:10" x14ac:dyDescent="0.2">
      <c r="C73" t="s">
        <v>843</v>
      </c>
      <c r="D73" s="72" t="s">
        <v>11</v>
      </c>
      <c r="E73" s="82">
        <f>E71*E72</f>
        <v>200</v>
      </c>
      <c r="F73" s="82">
        <f>F71*F72</f>
        <v>200</v>
      </c>
      <c r="G73" s="82">
        <f>G71*G72</f>
        <v>200</v>
      </c>
      <c r="H73" s="82">
        <f>H71*H72</f>
        <v>200</v>
      </c>
      <c r="I73" s="82">
        <f>I71*I72</f>
        <v>200</v>
      </c>
      <c r="J73" s="82"/>
    </row>
    <row r="74" spans="2:10" x14ac:dyDescent="0.2">
      <c r="C74" s="503" t="s">
        <v>844</v>
      </c>
      <c r="D74" s="72" t="s">
        <v>11</v>
      </c>
      <c r="E74" s="388">
        <f>E31</f>
        <v>2</v>
      </c>
      <c r="F74" s="388">
        <f>F31</f>
        <v>2</v>
      </c>
      <c r="G74" s="388">
        <f>G31</f>
        <v>2</v>
      </c>
      <c r="H74" s="388">
        <f>H31</f>
        <v>2</v>
      </c>
      <c r="I74" s="388">
        <f>I31</f>
        <v>2</v>
      </c>
      <c r="J74" s="588"/>
    </row>
    <row r="75" spans="2:10" x14ac:dyDescent="0.2">
      <c r="C75" t="s">
        <v>222</v>
      </c>
      <c r="D75" s="65" t="s">
        <v>666</v>
      </c>
      <c r="E75" s="972">
        <v>250</v>
      </c>
      <c r="F75" s="972">
        <f t="shared" ref="F75:I76" si="8">E75</f>
        <v>250</v>
      </c>
      <c r="G75" s="972">
        <f t="shared" si="8"/>
        <v>250</v>
      </c>
      <c r="H75" s="972">
        <f t="shared" si="8"/>
        <v>250</v>
      </c>
      <c r="I75" s="972">
        <f t="shared" si="8"/>
        <v>250</v>
      </c>
      <c r="J75" s="572"/>
    </row>
    <row r="76" spans="2:10" x14ac:dyDescent="0.2">
      <c r="C76" t="s">
        <v>357</v>
      </c>
      <c r="D76" s="65" t="s">
        <v>667</v>
      </c>
      <c r="E76" s="1023">
        <v>1.25</v>
      </c>
      <c r="F76" s="1023">
        <f t="shared" si="8"/>
        <v>1.25</v>
      </c>
      <c r="G76" s="1023">
        <f t="shared" si="8"/>
        <v>1.25</v>
      </c>
      <c r="H76" s="1023">
        <f t="shared" si="8"/>
        <v>1.25</v>
      </c>
      <c r="I76" s="1023">
        <f t="shared" si="8"/>
        <v>1.25</v>
      </c>
      <c r="J76" s="579"/>
    </row>
    <row r="77" spans="2:10" x14ac:dyDescent="0.2">
      <c r="C77" t="s">
        <v>223</v>
      </c>
      <c r="D77" s="72" t="s">
        <v>11</v>
      </c>
      <c r="E77" s="186">
        <f>E75*E76</f>
        <v>312.5</v>
      </c>
      <c r="F77" s="186">
        <f>F75*F76</f>
        <v>312.5</v>
      </c>
      <c r="G77" s="186">
        <f>G75*G76</f>
        <v>312.5</v>
      </c>
      <c r="H77" s="186">
        <f>H75*H76</f>
        <v>312.5</v>
      </c>
      <c r="I77" s="186">
        <f>I75*I76</f>
        <v>312.5</v>
      </c>
      <c r="J77" s="82"/>
    </row>
    <row r="78" spans="2:10" x14ac:dyDescent="0.2">
      <c r="D78" s="72"/>
      <c r="E78" s="82"/>
      <c r="F78" s="82"/>
      <c r="G78" s="82"/>
      <c r="H78" s="82"/>
      <c r="I78" s="82"/>
    </row>
    <row r="79" spans="2:10" x14ac:dyDescent="0.2">
      <c r="B79" s="56" t="s">
        <v>296</v>
      </c>
      <c r="D79" s="72"/>
      <c r="E79" s="83"/>
      <c r="F79" s="83"/>
      <c r="G79" s="83"/>
      <c r="H79" s="83"/>
      <c r="I79" s="83"/>
    </row>
    <row r="80" spans="2:10" x14ac:dyDescent="0.2">
      <c r="C80" t="s">
        <v>297</v>
      </c>
      <c r="D80" s="65" t="s">
        <v>668</v>
      </c>
      <c r="E80" s="972">
        <f>E16+E17</f>
        <v>410</v>
      </c>
      <c r="F80" s="972">
        <f>F16+F17</f>
        <v>410</v>
      </c>
      <c r="G80" s="972">
        <f>G16+G17</f>
        <v>410</v>
      </c>
      <c r="H80" s="972">
        <f>H16+H17</f>
        <v>410</v>
      </c>
      <c r="I80" s="972">
        <f>I16+I17</f>
        <v>410</v>
      </c>
      <c r="J80" s="572"/>
    </row>
    <row r="81" spans="2:10" x14ac:dyDescent="0.2">
      <c r="C81" t="s">
        <v>298</v>
      </c>
      <c r="D81" s="65" t="s">
        <v>669</v>
      </c>
      <c r="E81" s="1028">
        <v>8</v>
      </c>
      <c r="F81" s="1028">
        <f>E81</f>
        <v>8</v>
      </c>
      <c r="G81" s="1028">
        <f>F81</f>
        <v>8</v>
      </c>
      <c r="H81" s="1028">
        <f>G81</f>
        <v>8</v>
      </c>
      <c r="I81" s="1028">
        <f>H81</f>
        <v>8</v>
      </c>
      <c r="J81" s="587"/>
    </row>
    <row r="82" spans="2:10" x14ac:dyDescent="0.2">
      <c r="C82" t="s">
        <v>299</v>
      </c>
      <c r="D82" s="72" t="s">
        <v>11</v>
      </c>
      <c r="E82" s="389">
        <f>E80*E81</f>
        <v>3280</v>
      </c>
      <c r="F82" s="389">
        <f>F80*F81</f>
        <v>3280</v>
      </c>
      <c r="G82" s="389">
        <f>G80*G81</f>
        <v>3280</v>
      </c>
      <c r="H82" s="389">
        <f>H80*H81</f>
        <v>3280</v>
      </c>
      <c r="I82" s="389">
        <f>I80*I81</f>
        <v>3280</v>
      </c>
      <c r="J82" s="588"/>
    </row>
    <row r="83" spans="2:10" x14ac:dyDescent="0.2">
      <c r="C83" t="s">
        <v>300</v>
      </c>
      <c r="D83" s="65" t="s">
        <v>670</v>
      </c>
      <c r="E83" s="1023">
        <v>0.5</v>
      </c>
      <c r="F83" s="1023">
        <f>E83</f>
        <v>0.5</v>
      </c>
      <c r="G83" s="1023">
        <f>F83</f>
        <v>0.5</v>
      </c>
      <c r="H83" s="1023">
        <f>G83</f>
        <v>0.5</v>
      </c>
      <c r="I83" s="1023">
        <f>H83</f>
        <v>0.5</v>
      </c>
      <c r="J83" s="579"/>
    </row>
    <row r="84" spans="2:10" x14ac:dyDescent="0.2">
      <c r="C84" t="s">
        <v>301</v>
      </c>
      <c r="D84" s="72" t="s">
        <v>11</v>
      </c>
      <c r="E84" s="1089">
        <f>E82*E83</f>
        <v>1640</v>
      </c>
      <c r="F84" s="1089">
        <f>F82*F83</f>
        <v>1640</v>
      </c>
      <c r="G84" s="1089">
        <f>G82*G83</f>
        <v>1640</v>
      </c>
      <c r="H84" s="1089">
        <f>H82*H83</f>
        <v>1640</v>
      </c>
      <c r="I84" s="1089">
        <f>I82*I83</f>
        <v>1640</v>
      </c>
      <c r="J84" s="82"/>
    </row>
    <row r="85" spans="2:10" x14ac:dyDescent="0.2">
      <c r="C85" t="s">
        <v>302</v>
      </c>
      <c r="D85" s="65" t="s">
        <v>46</v>
      </c>
      <c r="E85" s="1023">
        <v>6</v>
      </c>
      <c r="F85" s="1023">
        <f t="shared" ref="F85:I86" si="9">E85</f>
        <v>6</v>
      </c>
      <c r="G85" s="1023">
        <f t="shared" si="9"/>
        <v>6</v>
      </c>
      <c r="H85" s="1023">
        <f t="shared" si="9"/>
        <v>6</v>
      </c>
      <c r="I85" s="1023">
        <f t="shared" si="9"/>
        <v>6</v>
      </c>
      <c r="J85" s="579"/>
    </row>
    <row r="86" spans="2:10" x14ac:dyDescent="0.2">
      <c r="C86" t="s">
        <v>319</v>
      </c>
      <c r="D86" s="65" t="s">
        <v>47</v>
      </c>
      <c r="E86" s="1023">
        <v>0</v>
      </c>
      <c r="F86" s="1023">
        <f t="shared" si="9"/>
        <v>0</v>
      </c>
      <c r="G86" s="1023">
        <f t="shared" si="9"/>
        <v>0</v>
      </c>
      <c r="H86" s="1023">
        <f t="shared" si="9"/>
        <v>0</v>
      </c>
      <c r="I86" s="1023">
        <f t="shared" si="9"/>
        <v>0</v>
      </c>
      <c r="J86" s="579"/>
    </row>
    <row r="87" spans="2:10" x14ac:dyDescent="0.2">
      <c r="C87" t="s">
        <v>313</v>
      </c>
      <c r="D87" s="72" t="s">
        <v>11</v>
      </c>
      <c r="E87" s="83">
        <f>(E80*E85)+(E82*E86)</f>
        <v>2460</v>
      </c>
      <c r="F87" s="83">
        <f>(F80*F85)+(F82*F86)</f>
        <v>2460</v>
      </c>
      <c r="G87" s="83">
        <f>(G80*G85)+(G82*G86)</f>
        <v>2460</v>
      </c>
      <c r="H87" s="83">
        <f>(H80*H85)+(H82*H86)</f>
        <v>2460</v>
      </c>
      <c r="I87" s="83">
        <f>(I80*I85)+(I82*I86)</f>
        <v>2460</v>
      </c>
      <c r="J87" s="82"/>
    </row>
    <row r="88" spans="2:10" ht="6" customHeight="1" x14ac:dyDescent="0.2">
      <c r="D88" s="72"/>
      <c r="E88" s="82"/>
      <c r="F88" s="82"/>
      <c r="G88" s="82"/>
      <c r="H88" s="82"/>
      <c r="I88" s="82"/>
    </row>
    <row r="89" spans="2:10" x14ac:dyDescent="0.2">
      <c r="B89" s="56" t="s">
        <v>314</v>
      </c>
      <c r="D89" s="72"/>
      <c r="E89" s="83"/>
      <c r="F89" s="83"/>
      <c r="G89" s="83"/>
      <c r="H89" s="83"/>
      <c r="I89" s="83"/>
    </row>
    <row r="90" spans="2:10" x14ac:dyDescent="0.2">
      <c r="C90" t="s">
        <v>359</v>
      </c>
      <c r="D90" s="65" t="s">
        <v>49</v>
      </c>
      <c r="E90" s="972">
        <v>0</v>
      </c>
      <c r="F90" s="972">
        <f t="shared" ref="F90:I91" si="10">E90</f>
        <v>0</v>
      </c>
      <c r="G90" s="972">
        <f t="shared" si="10"/>
        <v>0</v>
      </c>
      <c r="H90" s="972">
        <f t="shared" si="10"/>
        <v>0</v>
      </c>
      <c r="I90" s="972">
        <f t="shared" si="10"/>
        <v>0</v>
      </c>
      <c r="J90" s="572"/>
    </row>
    <row r="91" spans="2:10" x14ac:dyDescent="0.2">
      <c r="C91" t="s">
        <v>315</v>
      </c>
      <c r="D91" s="65" t="s">
        <v>50</v>
      </c>
      <c r="E91" s="1028">
        <v>0</v>
      </c>
      <c r="F91" s="1028">
        <f t="shared" si="10"/>
        <v>0</v>
      </c>
      <c r="G91" s="1028">
        <f t="shared" si="10"/>
        <v>0</v>
      </c>
      <c r="H91" s="1028">
        <f t="shared" si="10"/>
        <v>0</v>
      </c>
      <c r="I91" s="1028">
        <f t="shared" si="10"/>
        <v>0</v>
      </c>
      <c r="J91" s="587"/>
    </row>
    <row r="92" spans="2:10" x14ac:dyDescent="0.2">
      <c r="C92" t="s">
        <v>316</v>
      </c>
      <c r="D92" s="72" t="s">
        <v>11</v>
      </c>
      <c r="E92" s="389">
        <f>IF(E90&gt;0.5,E90*E91,0)</f>
        <v>0</v>
      </c>
      <c r="F92" s="389">
        <f>IF(F90&gt;0.5,F90*F91,0)</f>
        <v>0</v>
      </c>
      <c r="G92" s="389">
        <f>IF(G90&gt;0.5,G90*G91,0)</f>
        <v>0</v>
      </c>
      <c r="H92" s="389">
        <f>IF(H90&gt;0.5,H90*H91,0)</f>
        <v>0</v>
      </c>
      <c r="I92" s="389">
        <f>IF(I90&gt;0.5,I90*I91,0)</f>
        <v>0</v>
      </c>
      <c r="J92" s="588"/>
    </row>
    <row r="93" spans="2:10" x14ac:dyDescent="0.2">
      <c r="C93" t="s">
        <v>317</v>
      </c>
      <c r="D93" s="65" t="s">
        <v>51</v>
      </c>
      <c r="E93" s="1023">
        <v>0</v>
      </c>
      <c r="F93" s="1023">
        <f>E93</f>
        <v>0</v>
      </c>
      <c r="G93" s="1023">
        <f>F93</f>
        <v>0</v>
      </c>
      <c r="H93" s="1023">
        <f>G93</f>
        <v>0</v>
      </c>
      <c r="I93" s="1023">
        <f>H93</f>
        <v>0</v>
      </c>
      <c r="J93" s="579"/>
    </row>
    <row r="94" spans="2:10" x14ac:dyDescent="0.2">
      <c r="C94" t="s">
        <v>318</v>
      </c>
      <c r="D94" s="72" t="s">
        <v>11</v>
      </c>
      <c r="E94" s="390">
        <f>IF(E92&gt;0.5,E92*E93,0)</f>
        <v>0</v>
      </c>
      <c r="F94" s="390">
        <f>IF(F92&gt;0.5,F92*F93,0)</f>
        <v>0</v>
      </c>
      <c r="G94" s="390">
        <f>IF(G92&gt;0.5,G92*G93,0)</f>
        <v>0</v>
      </c>
      <c r="H94" s="390">
        <f>IF(H92&gt;0.5,H92*H93,0)</f>
        <v>0</v>
      </c>
      <c r="I94" s="390">
        <f>IF(I92&gt;0.5,I92*I93,0)</f>
        <v>0</v>
      </c>
      <c r="J94" s="82"/>
    </row>
    <row r="95" spans="2:10" x14ac:dyDescent="0.2">
      <c r="C95" s="503" t="s">
        <v>830</v>
      </c>
      <c r="D95" s="65" t="s">
        <v>52</v>
      </c>
      <c r="E95" s="1023">
        <v>0</v>
      </c>
      <c r="F95" s="1023">
        <f>E95</f>
        <v>0</v>
      </c>
      <c r="G95" s="1023">
        <f>F95</f>
        <v>0</v>
      </c>
      <c r="H95" s="1023">
        <f>G95</f>
        <v>0</v>
      </c>
      <c r="I95" s="1023">
        <f>H95</f>
        <v>0</v>
      </c>
      <c r="J95" s="579"/>
    </row>
    <row r="96" spans="2:10" x14ac:dyDescent="0.2">
      <c r="C96" t="s">
        <v>320</v>
      </c>
      <c r="D96" s="72" t="s">
        <v>11</v>
      </c>
      <c r="E96" s="82">
        <f>IF(E90&gt;0.5,(E90*E91*E95),0)</f>
        <v>0</v>
      </c>
      <c r="F96" s="82">
        <f>IF(F90&gt;0.5,(F90*F91*F95),0)</f>
        <v>0</v>
      </c>
      <c r="G96" s="82">
        <f>IF(G90&gt;0.5,(G90*G91*G95),0)</f>
        <v>0</v>
      </c>
      <c r="H96" s="82">
        <f>IF(H90&gt;0.5,(H90*H91*H95),0)</f>
        <v>0</v>
      </c>
      <c r="I96" s="82">
        <f>IF(I90&gt;0.5,(I90*I91*I95),0)</f>
        <v>0</v>
      </c>
      <c r="J96" s="82"/>
    </row>
    <row r="97" spans="2:12" ht="6" customHeight="1" x14ac:dyDescent="0.2">
      <c r="D97" s="72"/>
      <c r="E97" s="82"/>
      <c r="F97" s="82"/>
      <c r="G97" s="82"/>
      <c r="H97" s="82"/>
      <c r="I97" s="82"/>
    </row>
    <row r="98" spans="2:12" x14ac:dyDescent="0.2">
      <c r="B98" s="56" t="s">
        <v>12</v>
      </c>
    </row>
    <row r="99" spans="2:12" x14ac:dyDescent="0.2">
      <c r="C99" s="56" t="s">
        <v>13</v>
      </c>
      <c r="E99" s="65" t="str">
        <f>$E$15</f>
        <v>Year #1</v>
      </c>
      <c r="F99" s="65" t="str">
        <f>$F$15</f>
        <v>Year #2</v>
      </c>
      <c r="G99" s="65" t="str">
        <f>$G$15</f>
        <v>Year #3</v>
      </c>
      <c r="H99" s="65" t="str">
        <f>$H$15</f>
        <v>Year #4</v>
      </c>
      <c r="I99" s="65" t="str">
        <f>$I$15</f>
        <v>Year #5</v>
      </c>
      <c r="J99" s="65"/>
      <c r="K99" s="65" t="s">
        <v>790</v>
      </c>
    </row>
    <row r="100" spans="2:12" x14ac:dyDescent="0.2">
      <c r="C100" t="s">
        <v>17</v>
      </c>
      <c r="D100" s="36" t="s">
        <v>53</v>
      </c>
      <c r="E100" s="1023">
        <v>220</v>
      </c>
      <c r="F100" s="1023">
        <f t="shared" ref="F100:I102" si="11">E100</f>
        <v>220</v>
      </c>
      <c r="G100" s="1023">
        <f t="shared" si="11"/>
        <v>220</v>
      </c>
      <c r="H100" s="1023">
        <f t="shared" si="11"/>
        <v>220</v>
      </c>
      <c r="I100" s="1023">
        <f t="shared" si="11"/>
        <v>220</v>
      </c>
      <c r="J100" s="579"/>
      <c r="K100" s="1276">
        <f>E100/45.92</f>
        <v>4.7909407665505226</v>
      </c>
      <c r="L100" s="503" t="s">
        <v>898</v>
      </c>
    </row>
    <row r="101" spans="2:12" x14ac:dyDescent="0.2">
      <c r="C101" t="s">
        <v>153</v>
      </c>
      <c r="D101" s="36" t="s">
        <v>54</v>
      </c>
      <c r="E101" s="1023">
        <v>155</v>
      </c>
      <c r="F101" s="1023">
        <f t="shared" si="11"/>
        <v>155</v>
      </c>
      <c r="G101" s="1023">
        <f t="shared" si="11"/>
        <v>155</v>
      </c>
      <c r="H101" s="1023">
        <f t="shared" si="11"/>
        <v>155</v>
      </c>
      <c r="I101" s="1023">
        <f t="shared" si="11"/>
        <v>155</v>
      </c>
      <c r="J101" s="579"/>
      <c r="K101" s="1276">
        <f>E101/2204</f>
        <v>7.0326678765880224E-2</v>
      </c>
      <c r="L101" s="503" t="s">
        <v>899</v>
      </c>
    </row>
    <row r="102" spans="2:12" x14ac:dyDescent="0.2">
      <c r="C102" s="522" t="s">
        <v>966</v>
      </c>
      <c r="D102" s="36" t="s">
        <v>55</v>
      </c>
      <c r="E102" s="1023">
        <v>920</v>
      </c>
      <c r="F102" s="1023">
        <f t="shared" si="11"/>
        <v>920</v>
      </c>
      <c r="G102" s="1023">
        <f t="shared" si="11"/>
        <v>920</v>
      </c>
      <c r="H102" s="1023">
        <f t="shared" si="11"/>
        <v>920</v>
      </c>
      <c r="I102" s="1023">
        <f t="shared" si="11"/>
        <v>920</v>
      </c>
      <c r="J102" s="579"/>
    </row>
    <row r="103" spans="2:12" x14ac:dyDescent="0.2">
      <c r="C103" s="28" t="s">
        <v>671</v>
      </c>
      <c r="D103" s="36" t="s">
        <v>56</v>
      </c>
      <c r="E103" s="1023">
        <v>0</v>
      </c>
      <c r="F103" s="1023">
        <f>E103</f>
        <v>0</v>
      </c>
      <c r="G103" s="1023">
        <f>F103</f>
        <v>0</v>
      </c>
      <c r="H103" s="1023">
        <f>G103</f>
        <v>0</v>
      </c>
      <c r="I103" s="1023">
        <f>H103</f>
        <v>0</v>
      </c>
      <c r="J103" s="579"/>
    </row>
    <row r="104" spans="2:12" x14ac:dyDescent="0.2">
      <c r="C104" s="28" t="s">
        <v>18</v>
      </c>
      <c r="D104" s="36" t="s">
        <v>697</v>
      </c>
      <c r="E104" s="1023">
        <v>88</v>
      </c>
      <c r="F104" s="1023">
        <f t="shared" ref="F104:I105" si="12">E104</f>
        <v>88</v>
      </c>
      <c r="G104" s="1023">
        <f t="shared" si="12"/>
        <v>88</v>
      </c>
      <c r="H104" s="1023">
        <f t="shared" si="12"/>
        <v>88</v>
      </c>
      <c r="I104" s="1023">
        <f t="shared" si="12"/>
        <v>88</v>
      </c>
      <c r="J104" s="579"/>
      <c r="K104" s="1276">
        <f>E104/2204</f>
        <v>3.9927404718693285E-2</v>
      </c>
      <c r="L104" s="503" t="s">
        <v>899</v>
      </c>
    </row>
    <row r="105" spans="2:12" x14ac:dyDescent="0.2">
      <c r="C105" s="28" t="s">
        <v>147</v>
      </c>
      <c r="D105" s="36" t="s">
        <v>698</v>
      </c>
      <c r="E105" s="1023">
        <v>0</v>
      </c>
      <c r="F105" s="1023">
        <f t="shared" si="12"/>
        <v>0</v>
      </c>
      <c r="G105" s="1023">
        <f t="shared" si="12"/>
        <v>0</v>
      </c>
      <c r="H105" s="1023">
        <f t="shared" si="12"/>
        <v>0</v>
      </c>
      <c r="I105" s="1023">
        <f t="shared" si="12"/>
        <v>0</v>
      </c>
      <c r="J105" s="579"/>
    </row>
    <row r="106" spans="2:12" x14ac:dyDescent="0.2">
      <c r="C106" s="28" t="s">
        <v>341</v>
      </c>
      <c r="D106" s="36" t="s">
        <v>672</v>
      </c>
      <c r="E106" s="1023">
        <v>1450</v>
      </c>
      <c r="F106" s="1023">
        <f t="shared" ref="F106:I108" si="13">E106</f>
        <v>1450</v>
      </c>
      <c r="G106" s="1023">
        <f t="shared" si="13"/>
        <v>1450</v>
      </c>
      <c r="H106" s="1023">
        <f t="shared" si="13"/>
        <v>1450</v>
      </c>
      <c r="I106" s="1023">
        <f t="shared" si="13"/>
        <v>1450</v>
      </c>
      <c r="J106" s="579"/>
    </row>
    <row r="107" spans="2:12" x14ac:dyDescent="0.2">
      <c r="C107" s="28" t="s">
        <v>172</v>
      </c>
      <c r="D107" s="36" t="s">
        <v>148</v>
      </c>
      <c r="E107" s="1023">
        <v>0</v>
      </c>
      <c r="F107" s="1023">
        <f t="shared" si="13"/>
        <v>0</v>
      </c>
      <c r="G107" s="1023">
        <f t="shared" si="13"/>
        <v>0</v>
      </c>
      <c r="H107" s="1023">
        <f t="shared" si="13"/>
        <v>0</v>
      </c>
      <c r="I107" s="1023">
        <f t="shared" si="13"/>
        <v>0</v>
      </c>
      <c r="J107" s="579"/>
    </row>
    <row r="108" spans="2:12" x14ac:dyDescent="0.2">
      <c r="C108" s="28" t="s">
        <v>360</v>
      </c>
      <c r="D108" s="36" t="s">
        <v>57</v>
      </c>
      <c r="E108" s="1023">
        <v>5750</v>
      </c>
      <c r="F108" s="1023">
        <f t="shared" si="13"/>
        <v>5750</v>
      </c>
      <c r="G108" s="1023">
        <f t="shared" si="13"/>
        <v>5750</v>
      </c>
      <c r="H108" s="1023">
        <f t="shared" si="13"/>
        <v>5750</v>
      </c>
      <c r="I108" s="1023">
        <f t="shared" si="13"/>
        <v>5750</v>
      </c>
      <c r="J108" s="579"/>
    </row>
    <row r="109" spans="2:12" x14ac:dyDescent="0.2">
      <c r="B109" s="28"/>
      <c r="C109" s="1029" t="s">
        <v>674</v>
      </c>
      <c r="D109" s="36" t="s">
        <v>58</v>
      </c>
      <c r="E109" s="1023">
        <v>0</v>
      </c>
      <c r="F109" s="1023">
        <f t="shared" ref="F109:I112" si="14">E109</f>
        <v>0</v>
      </c>
      <c r="G109" s="1023">
        <f t="shared" si="14"/>
        <v>0</v>
      </c>
      <c r="H109" s="1023">
        <f t="shared" si="14"/>
        <v>0</v>
      </c>
      <c r="I109" s="1023">
        <f t="shared" si="14"/>
        <v>0</v>
      </c>
      <c r="J109" s="579"/>
    </row>
    <row r="110" spans="2:12" x14ac:dyDescent="0.2">
      <c r="B110" s="28"/>
      <c r="C110" s="1030" t="s">
        <v>676</v>
      </c>
      <c r="D110" s="36" t="s">
        <v>60</v>
      </c>
      <c r="E110" s="1023">
        <v>0</v>
      </c>
      <c r="F110" s="1023">
        <f t="shared" si="14"/>
        <v>0</v>
      </c>
      <c r="G110" s="1023">
        <f t="shared" si="14"/>
        <v>0</v>
      </c>
      <c r="H110" s="1023">
        <f t="shared" si="14"/>
        <v>0</v>
      </c>
      <c r="I110" s="1023">
        <f t="shared" si="14"/>
        <v>0</v>
      </c>
      <c r="J110" s="579"/>
    </row>
    <row r="111" spans="2:12" x14ac:dyDescent="0.2">
      <c r="B111" s="28"/>
      <c r="C111" s="1030" t="s">
        <v>735</v>
      </c>
      <c r="D111" s="36" t="s">
        <v>61</v>
      </c>
      <c r="E111" s="1023">
        <v>0</v>
      </c>
      <c r="F111" s="1023">
        <f>E111</f>
        <v>0</v>
      </c>
      <c r="G111" s="1023">
        <f t="shared" si="14"/>
        <v>0</v>
      </c>
      <c r="H111" s="1023">
        <f t="shared" si="14"/>
        <v>0</v>
      </c>
      <c r="I111" s="1023">
        <f t="shared" si="14"/>
        <v>0</v>
      </c>
      <c r="J111" s="579"/>
    </row>
    <row r="112" spans="2:12" x14ac:dyDescent="0.2">
      <c r="B112" s="28"/>
      <c r="C112" s="1031" t="s">
        <v>675</v>
      </c>
      <c r="D112" s="36" t="s">
        <v>63</v>
      </c>
      <c r="E112" s="1023">
        <v>0</v>
      </c>
      <c r="F112" s="1023">
        <f>E112</f>
        <v>0</v>
      </c>
      <c r="G112" s="1023">
        <f t="shared" si="14"/>
        <v>0</v>
      </c>
      <c r="H112" s="1023">
        <f t="shared" si="14"/>
        <v>0</v>
      </c>
      <c r="I112" s="1023">
        <f t="shared" si="14"/>
        <v>0</v>
      </c>
      <c r="J112" s="579"/>
    </row>
    <row r="113" spans="2:10" ht="6" customHeight="1" x14ac:dyDescent="0.2">
      <c r="B113" s="28"/>
      <c r="C113" s="28"/>
      <c r="D113" s="28"/>
      <c r="E113" s="28"/>
      <c r="F113" s="28"/>
      <c r="G113" s="28"/>
      <c r="H113" s="28"/>
      <c r="I113" s="28"/>
      <c r="J113" s="28"/>
    </row>
    <row r="114" spans="2:10" x14ac:dyDescent="0.2">
      <c r="B114" s="56" t="s">
        <v>719</v>
      </c>
      <c r="E114" s="65" t="str">
        <f>E$15</f>
        <v>Year #1</v>
      </c>
      <c r="F114" s="65" t="str">
        <f>F$15</f>
        <v>Year #2</v>
      </c>
      <c r="G114" s="65" t="str">
        <f>G$15</f>
        <v>Year #3</v>
      </c>
      <c r="H114" s="65" t="str">
        <f>H$15</f>
        <v>Year #4</v>
      </c>
      <c r="I114" s="65" t="str">
        <f>I$15</f>
        <v>Year #5</v>
      </c>
      <c r="J114" s="65"/>
    </row>
    <row r="115" spans="2:10" x14ac:dyDescent="0.2">
      <c r="C115" t="s">
        <v>488</v>
      </c>
      <c r="D115" s="65" t="s">
        <v>64</v>
      </c>
      <c r="E115" s="980">
        <v>0</v>
      </c>
      <c r="F115" s="980">
        <f t="shared" ref="F115:I117" si="15">E115</f>
        <v>0</v>
      </c>
      <c r="G115" s="980">
        <f t="shared" si="15"/>
        <v>0</v>
      </c>
      <c r="H115" s="980">
        <f t="shared" si="15"/>
        <v>0</v>
      </c>
      <c r="I115" s="980">
        <f t="shared" si="15"/>
        <v>0</v>
      </c>
      <c r="J115" s="576"/>
    </row>
    <row r="116" spans="2:10" x14ac:dyDescent="0.2">
      <c r="C116" t="s">
        <v>487</v>
      </c>
      <c r="D116" s="65" t="s">
        <v>65</v>
      </c>
      <c r="E116" s="980">
        <v>0</v>
      </c>
      <c r="F116" s="980">
        <f t="shared" si="15"/>
        <v>0</v>
      </c>
      <c r="G116" s="980">
        <f t="shared" si="15"/>
        <v>0</v>
      </c>
      <c r="H116" s="980">
        <f t="shared" si="15"/>
        <v>0</v>
      </c>
      <c r="I116" s="980">
        <f t="shared" si="15"/>
        <v>0</v>
      </c>
      <c r="J116" s="576"/>
    </row>
    <row r="117" spans="2:10" x14ac:dyDescent="0.2">
      <c r="C117" t="s">
        <v>486</v>
      </c>
      <c r="D117" s="65" t="s">
        <v>66</v>
      </c>
      <c r="E117" s="980">
        <v>0</v>
      </c>
      <c r="F117" s="980">
        <f t="shared" si="15"/>
        <v>0</v>
      </c>
      <c r="G117" s="980">
        <f t="shared" si="15"/>
        <v>0</v>
      </c>
      <c r="H117" s="980">
        <f t="shared" si="15"/>
        <v>0</v>
      </c>
      <c r="I117" s="980">
        <f t="shared" si="15"/>
        <v>0</v>
      </c>
      <c r="J117" s="576"/>
    </row>
    <row r="118" spans="2:10" x14ac:dyDescent="0.2">
      <c r="C118" s="366" t="s">
        <v>924</v>
      </c>
      <c r="D118" s="72" t="s">
        <v>11</v>
      </c>
      <c r="E118" s="656">
        <f>SUM(E115:E117)</f>
        <v>0</v>
      </c>
      <c r="F118" s="656">
        <f>SUM(F115:F117)</f>
        <v>0</v>
      </c>
      <c r="G118" s="656">
        <f>SUM(G115:G117)</f>
        <v>0</v>
      </c>
      <c r="H118" s="656">
        <f>SUM(H115:H117)</f>
        <v>0</v>
      </c>
      <c r="I118" s="656">
        <f>SUM(I115:I117)</f>
        <v>0</v>
      </c>
      <c r="J118" s="34"/>
    </row>
    <row r="119" spans="2:10" ht="6" customHeight="1" x14ac:dyDescent="0.2">
      <c r="C119" s="367"/>
      <c r="D119" s="72"/>
      <c r="E119" s="65"/>
      <c r="F119" s="65"/>
      <c r="G119" s="65"/>
      <c r="H119" s="65"/>
      <c r="I119" s="65"/>
      <c r="J119" s="65"/>
    </row>
    <row r="120" spans="2:10" x14ac:dyDescent="0.2">
      <c r="B120" s="56" t="s">
        <v>19</v>
      </c>
      <c r="E120" s="65" t="s">
        <v>1</v>
      </c>
      <c r="F120" s="65" t="s">
        <v>1</v>
      </c>
      <c r="G120" s="65" t="s">
        <v>1</v>
      </c>
      <c r="H120" s="65" t="s">
        <v>1</v>
      </c>
      <c r="I120" s="65" t="s">
        <v>1</v>
      </c>
    </row>
    <row r="121" spans="2:10" x14ac:dyDescent="0.2">
      <c r="C121" s="56" t="s">
        <v>240</v>
      </c>
      <c r="D121" s="72"/>
      <c r="E121" s="65" t="str">
        <f>E$15</f>
        <v>Year #1</v>
      </c>
      <c r="F121" s="65" t="str">
        <f>F$15</f>
        <v>Year #2</v>
      </c>
      <c r="G121" s="65" t="str">
        <f>G$15</f>
        <v>Year #3</v>
      </c>
      <c r="H121" s="65" t="str">
        <f>H$15</f>
        <v>Year #4</v>
      </c>
      <c r="I121" s="65" t="str">
        <f>I$15</f>
        <v>Year #5</v>
      </c>
      <c r="J121" s="65"/>
    </row>
    <row r="122" spans="2:10" x14ac:dyDescent="0.2">
      <c r="C122" s="503" t="s">
        <v>835</v>
      </c>
      <c r="D122" s="65" t="s">
        <v>67</v>
      </c>
      <c r="E122" s="1032">
        <v>110</v>
      </c>
      <c r="F122" s="1032">
        <v>110</v>
      </c>
      <c r="G122" s="1032">
        <f t="shared" ref="F122:I126" si="16">F122</f>
        <v>110</v>
      </c>
      <c r="H122" s="1032">
        <f t="shared" si="16"/>
        <v>110</v>
      </c>
      <c r="I122" s="1032">
        <f t="shared" si="16"/>
        <v>110</v>
      </c>
      <c r="J122" s="589"/>
    </row>
    <row r="123" spans="2:10" x14ac:dyDescent="0.2">
      <c r="C123" s="1033" t="s">
        <v>967</v>
      </c>
      <c r="D123" s="65"/>
      <c r="E123" s="36" t="s">
        <v>20</v>
      </c>
      <c r="F123" s="36" t="s">
        <v>20</v>
      </c>
      <c r="G123" s="36" t="s">
        <v>20</v>
      </c>
      <c r="H123" s="36" t="s">
        <v>20</v>
      </c>
      <c r="I123" s="36" t="s">
        <v>20</v>
      </c>
      <c r="J123" s="36"/>
    </row>
    <row r="124" spans="2:10" x14ac:dyDescent="0.2">
      <c r="C124" s="28" t="s">
        <v>14</v>
      </c>
      <c r="D124" s="65" t="s">
        <v>700</v>
      </c>
      <c r="E124" s="1034">
        <v>1</v>
      </c>
      <c r="F124" s="1034">
        <f t="shared" si="16"/>
        <v>1</v>
      </c>
      <c r="G124" s="1034">
        <f t="shared" si="16"/>
        <v>1</v>
      </c>
      <c r="H124" s="1034">
        <f t="shared" si="16"/>
        <v>1</v>
      </c>
      <c r="I124" s="1034">
        <f t="shared" si="16"/>
        <v>1</v>
      </c>
      <c r="J124" s="590"/>
    </row>
    <row r="125" spans="2:10" x14ac:dyDescent="0.2">
      <c r="C125" s="28" t="s">
        <v>152</v>
      </c>
      <c r="D125" s="65" t="s">
        <v>701</v>
      </c>
      <c r="E125" s="1034">
        <v>3</v>
      </c>
      <c r="F125" s="1034">
        <f t="shared" si="16"/>
        <v>3</v>
      </c>
      <c r="G125" s="1034">
        <f t="shared" si="16"/>
        <v>3</v>
      </c>
      <c r="H125" s="1034">
        <f t="shared" si="16"/>
        <v>3</v>
      </c>
      <c r="I125" s="1034">
        <f t="shared" si="16"/>
        <v>3</v>
      </c>
      <c r="J125" s="590"/>
    </row>
    <row r="126" spans="2:10" x14ac:dyDescent="0.2">
      <c r="C126" s="28" t="str">
        <f>Input!$C$102</f>
        <v>Creep Feed - Lambs ($/tonne)</v>
      </c>
      <c r="D126" s="65" t="s">
        <v>68</v>
      </c>
      <c r="E126" s="1034">
        <v>0</v>
      </c>
      <c r="F126" s="1034">
        <f t="shared" si="16"/>
        <v>0</v>
      </c>
      <c r="G126" s="1034">
        <f t="shared" si="16"/>
        <v>0</v>
      </c>
      <c r="H126" s="1034">
        <f t="shared" si="16"/>
        <v>0</v>
      </c>
      <c r="I126" s="1034">
        <f t="shared" si="16"/>
        <v>0</v>
      </c>
      <c r="J126" s="590"/>
    </row>
    <row r="127" spans="2:10" x14ac:dyDescent="0.2">
      <c r="C127" s="28" t="s">
        <v>673</v>
      </c>
      <c r="D127" s="65" t="s">
        <v>73</v>
      </c>
      <c r="E127" s="1034">
        <v>0</v>
      </c>
      <c r="F127" s="1034">
        <f>E127</f>
        <v>0</v>
      </c>
      <c r="G127" s="1034">
        <f>F127</f>
        <v>0</v>
      </c>
      <c r="H127" s="1034">
        <f>G127</f>
        <v>0</v>
      </c>
      <c r="I127" s="1034">
        <f>H127</f>
        <v>0</v>
      </c>
      <c r="J127" s="590"/>
    </row>
    <row r="128" spans="2:10" x14ac:dyDescent="0.2">
      <c r="C128" s="28" t="s">
        <v>15</v>
      </c>
      <c r="D128" s="65" t="s">
        <v>74</v>
      </c>
      <c r="E128" s="1034">
        <v>0</v>
      </c>
      <c r="F128" s="1034">
        <f t="shared" ref="F128:I133" si="17">E128</f>
        <v>0</v>
      </c>
      <c r="G128" s="1034">
        <f t="shared" si="17"/>
        <v>0</v>
      </c>
      <c r="H128" s="1034">
        <f t="shared" si="17"/>
        <v>0</v>
      </c>
      <c r="I128" s="1034">
        <f t="shared" si="17"/>
        <v>0</v>
      </c>
      <c r="J128" s="590"/>
    </row>
    <row r="129" spans="3:10" x14ac:dyDescent="0.2">
      <c r="C129" s="28" t="s">
        <v>16</v>
      </c>
      <c r="D129" s="65" t="s">
        <v>75</v>
      </c>
      <c r="E129" s="1034">
        <v>0</v>
      </c>
      <c r="F129" s="1034">
        <f t="shared" si="17"/>
        <v>0</v>
      </c>
      <c r="G129" s="1034">
        <f t="shared" si="17"/>
        <v>0</v>
      </c>
      <c r="H129" s="1034">
        <f t="shared" si="17"/>
        <v>0</v>
      </c>
      <c r="I129" s="1034">
        <f t="shared" si="17"/>
        <v>0</v>
      </c>
      <c r="J129" s="590"/>
    </row>
    <row r="130" spans="3:10" x14ac:dyDescent="0.2">
      <c r="C130" s="28" t="s">
        <v>342</v>
      </c>
      <c r="D130" s="65" t="s">
        <v>76</v>
      </c>
      <c r="E130" s="1034">
        <v>0.02</v>
      </c>
      <c r="F130" s="1034">
        <f t="shared" si="17"/>
        <v>0.02</v>
      </c>
      <c r="G130" s="1034">
        <f t="shared" si="17"/>
        <v>0.02</v>
      </c>
      <c r="H130" s="1034">
        <f t="shared" si="17"/>
        <v>0.02</v>
      </c>
      <c r="I130" s="1034">
        <f t="shared" si="17"/>
        <v>0.02</v>
      </c>
      <c r="J130" s="590"/>
    </row>
    <row r="131" spans="3:10" x14ac:dyDescent="0.2">
      <c r="C131" s="28" t="s">
        <v>45</v>
      </c>
      <c r="D131" s="65" t="s">
        <v>77</v>
      </c>
      <c r="E131" s="1034">
        <v>0</v>
      </c>
      <c r="F131" s="1034">
        <f t="shared" si="17"/>
        <v>0</v>
      </c>
      <c r="G131" s="1034">
        <f t="shared" si="17"/>
        <v>0</v>
      </c>
      <c r="H131" s="1034">
        <f t="shared" si="17"/>
        <v>0</v>
      </c>
      <c r="I131" s="1034">
        <f t="shared" si="17"/>
        <v>0</v>
      </c>
      <c r="J131" s="590"/>
    </row>
    <row r="132" spans="3:10" x14ac:dyDescent="0.2">
      <c r="C132" s="933" t="str">
        <f>C109</f>
        <v>Other - 1</v>
      </c>
      <c r="D132" s="65" t="s">
        <v>88</v>
      </c>
      <c r="E132" s="1034">
        <v>0</v>
      </c>
      <c r="F132" s="1034">
        <f t="shared" si="17"/>
        <v>0</v>
      </c>
      <c r="G132" s="1034">
        <f t="shared" si="17"/>
        <v>0</v>
      </c>
      <c r="H132" s="1034">
        <f t="shared" si="17"/>
        <v>0</v>
      </c>
      <c r="I132" s="1034">
        <f t="shared" si="17"/>
        <v>0</v>
      </c>
      <c r="J132" s="590"/>
    </row>
    <row r="133" spans="3:10" x14ac:dyDescent="0.2">
      <c r="C133" s="933" t="str">
        <f>C110</f>
        <v>Other - 2  (other 1-4 can be changed where)</v>
      </c>
      <c r="D133" s="65" t="s">
        <v>89</v>
      </c>
      <c r="E133" s="1034">
        <v>0</v>
      </c>
      <c r="F133" s="1034">
        <f t="shared" si="17"/>
        <v>0</v>
      </c>
      <c r="G133" s="1034">
        <f t="shared" ref="G133:I135" si="18">F133</f>
        <v>0</v>
      </c>
      <c r="H133" s="1034">
        <f t="shared" si="18"/>
        <v>0</v>
      </c>
      <c r="I133" s="1034">
        <f t="shared" si="18"/>
        <v>0</v>
      </c>
      <c r="J133" s="590"/>
    </row>
    <row r="134" spans="3:10" x14ac:dyDescent="0.2">
      <c r="C134" s="933" t="str">
        <f>C111</f>
        <v>Other - 3   (feed ingredients first listed/priced)</v>
      </c>
      <c r="D134" s="65" t="s">
        <v>90</v>
      </c>
      <c r="E134" s="1034">
        <v>0</v>
      </c>
      <c r="F134" s="1034">
        <f>E134</f>
        <v>0</v>
      </c>
      <c r="G134" s="1034">
        <f t="shared" si="18"/>
        <v>0</v>
      </c>
      <c r="H134" s="1034">
        <f t="shared" si="18"/>
        <v>0</v>
      </c>
      <c r="I134" s="1034">
        <f t="shared" si="18"/>
        <v>0</v>
      </c>
      <c r="J134" s="590"/>
    </row>
    <row r="135" spans="3:10" x14ac:dyDescent="0.2">
      <c r="C135" s="933" t="str">
        <f>C112</f>
        <v>Other - 4</v>
      </c>
      <c r="D135" s="65" t="s">
        <v>91</v>
      </c>
      <c r="E135" s="1034">
        <v>0</v>
      </c>
      <c r="F135" s="1034">
        <f>E135</f>
        <v>0</v>
      </c>
      <c r="G135" s="1034">
        <f t="shared" si="18"/>
        <v>0</v>
      </c>
      <c r="H135" s="1034">
        <f t="shared" si="18"/>
        <v>0</v>
      </c>
      <c r="I135" s="1034">
        <f t="shared" si="18"/>
        <v>0</v>
      </c>
      <c r="J135" s="590"/>
    </row>
    <row r="136" spans="3:10" ht="12" customHeight="1" x14ac:dyDescent="0.2">
      <c r="C136" s="1236" t="s">
        <v>151</v>
      </c>
      <c r="D136" s="1237" t="s">
        <v>11</v>
      </c>
      <c r="E136" s="1238">
        <f>(E124/(2204.62))*E$100+(E125/2204.62)*E$101+(E126/2204.62)*E$102+(E127/2204.62)*E$103+(E128/2204.62)*E$104+(E129/2204.62)*E$105+(E130/2204.62)*E$106+(E131/2204.62)*E$107+(E132/2204.62)*E$109+(E133/2204.62)*E$110+(E134/2204.62)*$E111+(E135/2204.62)*E$112</f>
        <v>0.32386533733704675</v>
      </c>
      <c r="F136" s="1238">
        <f>(F124/(2204.62))*F$100+(F125/2204.62)*F$101+(F126/2204.62)*F$102+(F127/2204.62)*F$103+(F128/2204.62)*F$104+(F129/2204.62)*F$105+(F130/2204.62)*F$106+(F131/2204.62)*F$107+(F132/2204.62)*F$109+(F133/2204.62)*F$110+(F134/2204.62)*$E111+(F135/2204.62)*F$112</f>
        <v>0.32386533733704675</v>
      </c>
      <c r="G136" s="1238">
        <f>(G124/(2204.62))*G$100+(G125/2204.62)*G$101+(G126/2204.62)*G$102+(G127/2204.62)*G$103+(G128/2204.62)*G$104+(G129/2204.62)*G$105+(G130/2204.62)*G$106+(G131/2204.62)*G$107+(G132/2204.62)*G$109+(G133/2204.62)*G$110+(G134/2204.62)*$E111+(G135/2204.62)*G$112</f>
        <v>0.32386533733704675</v>
      </c>
      <c r="H136" s="1238">
        <f>(H124/(2204.62))*H$100+(H125/2204.62)*H$101+(H126/2204.62)*H$102+(H127/2204.62)*H$103+(H128/2204.62)*H$104+(H129/2204.62)*H$105+(H130/2204.62)*H$106+(H131/2204.62)*H$107+(H132/2204.62)*H$109+(H133/2204.62)*H$110+(H134/2204.62)*$E111+(H135/2204.62)*H$112</f>
        <v>0.32386533733704675</v>
      </c>
      <c r="I136" s="1238">
        <f>(I124/(2204.62))*I$100+(I125/2204.62)*I$101+(I126/2204.62)*I$102+(I127/2204.62)*I$103+(I128/2204.62)*I$104+(I129/2204.62)*I$105+(I130/2204.62)*I$106+(I131/2204.62)*I$107+(I132/2204.62)*I$109+(I133/2204.62)*I$110+(I134/2204.62)*$E111+(I135/2204.62)*I$112</f>
        <v>0.32386533733704675</v>
      </c>
      <c r="J136" s="82"/>
    </row>
    <row r="137" spans="3:10" ht="12" customHeight="1" x14ac:dyDescent="0.2">
      <c r="C137" s="1236" t="s">
        <v>239</v>
      </c>
      <c r="D137" s="1237" t="s">
        <v>11</v>
      </c>
      <c r="E137" s="1238">
        <f>E122*E136</f>
        <v>35.625187107075142</v>
      </c>
      <c r="F137" s="1238">
        <f>F122*F136</f>
        <v>35.625187107075142</v>
      </c>
      <c r="G137" s="1238">
        <f>G122*G136</f>
        <v>35.625187107075142</v>
      </c>
      <c r="H137" s="1238">
        <f>H122*H136</f>
        <v>35.625187107075142</v>
      </c>
      <c r="I137" s="1238">
        <f>I122*I136</f>
        <v>35.625187107075142</v>
      </c>
      <c r="J137" s="82"/>
    </row>
    <row r="138" spans="3:10" ht="6" customHeight="1" x14ac:dyDescent="0.2">
      <c r="D138" s="72"/>
      <c r="E138" s="82"/>
      <c r="F138" s="82"/>
      <c r="G138" s="82"/>
      <c r="H138" s="82"/>
      <c r="I138" s="82"/>
    </row>
    <row r="139" spans="3:10" x14ac:dyDescent="0.2">
      <c r="C139" s="56" t="s">
        <v>240</v>
      </c>
      <c r="D139" s="72"/>
      <c r="E139" s="65" t="str">
        <f>E$15</f>
        <v>Year #1</v>
      </c>
      <c r="F139" s="65" t="str">
        <f>F$15</f>
        <v>Year #2</v>
      </c>
      <c r="G139" s="65" t="str">
        <f>G$15</f>
        <v>Year #3</v>
      </c>
      <c r="H139" s="65" t="str">
        <f>H$15</f>
        <v>Year #4</v>
      </c>
      <c r="I139" s="65" t="str">
        <f>I$15</f>
        <v>Year #5</v>
      </c>
      <c r="J139" s="65"/>
    </row>
    <row r="140" spans="3:10" x14ac:dyDescent="0.2">
      <c r="C140" s="503" t="s">
        <v>835</v>
      </c>
      <c r="D140" s="65" t="s">
        <v>92</v>
      </c>
      <c r="E140" s="1032">
        <v>42</v>
      </c>
      <c r="F140" s="1032">
        <f>E140</f>
        <v>42</v>
      </c>
      <c r="G140" s="1032">
        <f>F140</f>
        <v>42</v>
      </c>
      <c r="H140" s="1032">
        <f>G140</f>
        <v>42</v>
      </c>
      <c r="I140" s="1032">
        <f>H140</f>
        <v>42</v>
      </c>
      <c r="J140" s="589"/>
    </row>
    <row r="141" spans="3:10" x14ac:dyDescent="0.2">
      <c r="C141" s="476" t="s">
        <v>968</v>
      </c>
      <c r="D141" s="65"/>
      <c r="E141" s="36" t="s">
        <v>20</v>
      </c>
      <c r="F141" s="36" t="s">
        <v>20</v>
      </c>
      <c r="G141" s="36" t="s">
        <v>20</v>
      </c>
      <c r="H141" s="36" t="s">
        <v>20</v>
      </c>
      <c r="I141" s="36" t="s">
        <v>20</v>
      </c>
      <c r="J141" s="36"/>
    </row>
    <row r="142" spans="3:10" x14ac:dyDescent="0.2">
      <c r="C142" t="str">
        <f>C124</f>
        <v>Barley</v>
      </c>
      <c r="D142" s="65" t="s">
        <v>93</v>
      </c>
      <c r="E142" s="1034">
        <v>2.25</v>
      </c>
      <c r="F142" s="1034">
        <f t="shared" ref="F142:I153" si="19">E142</f>
        <v>2.25</v>
      </c>
      <c r="G142" s="1034">
        <f t="shared" si="19"/>
        <v>2.25</v>
      </c>
      <c r="H142" s="1034">
        <f t="shared" si="19"/>
        <v>2.25</v>
      </c>
      <c r="I142" s="1034">
        <f t="shared" si="19"/>
        <v>2.25</v>
      </c>
      <c r="J142" s="590"/>
    </row>
    <row r="143" spans="3:10" x14ac:dyDescent="0.2">
      <c r="C143" t="str">
        <f>C125</f>
        <v>Hay</v>
      </c>
      <c r="D143" s="65" t="s">
        <v>94</v>
      </c>
      <c r="E143" s="1034">
        <v>2.5</v>
      </c>
      <c r="F143" s="1034">
        <f t="shared" si="19"/>
        <v>2.5</v>
      </c>
      <c r="G143" s="1034">
        <f t="shared" si="19"/>
        <v>2.5</v>
      </c>
      <c r="H143" s="1034">
        <f t="shared" si="19"/>
        <v>2.5</v>
      </c>
      <c r="I143" s="1034">
        <f t="shared" si="19"/>
        <v>2.5</v>
      </c>
      <c r="J143" s="590"/>
    </row>
    <row r="144" spans="3:10" x14ac:dyDescent="0.2">
      <c r="C144" t="str">
        <f>C126</f>
        <v>Creep Feed - Lambs ($/tonne)</v>
      </c>
      <c r="D144" s="65" t="s">
        <v>95</v>
      </c>
      <c r="E144" s="1034">
        <v>0</v>
      </c>
      <c r="F144" s="1034">
        <f t="shared" si="19"/>
        <v>0</v>
      </c>
      <c r="G144" s="1034">
        <f t="shared" si="19"/>
        <v>0</v>
      </c>
      <c r="H144" s="1034">
        <f t="shared" si="19"/>
        <v>0</v>
      </c>
      <c r="I144" s="1034">
        <f t="shared" si="19"/>
        <v>0</v>
      </c>
      <c r="J144" s="590"/>
    </row>
    <row r="145" spans="3:10" x14ac:dyDescent="0.2">
      <c r="C145" t="s">
        <v>673</v>
      </c>
      <c r="D145" s="65" t="s">
        <v>97</v>
      </c>
      <c r="E145" s="1034">
        <v>0</v>
      </c>
      <c r="F145" s="1034">
        <f t="shared" si="19"/>
        <v>0</v>
      </c>
      <c r="G145" s="1034">
        <f t="shared" si="19"/>
        <v>0</v>
      </c>
      <c r="H145" s="1034">
        <f t="shared" si="19"/>
        <v>0</v>
      </c>
      <c r="I145" s="1034">
        <f t="shared" si="19"/>
        <v>0</v>
      </c>
      <c r="J145" s="590"/>
    </row>
    <row r="146" spans="3:10" x14ac:dyDescent="0.2">
      <c r="C146" t="str">
        <f t="shared" ref="C146:C153" si="20">C128</f>
        <v>Straw</v>
      </c>
      <c r="D146" s="65" t="s">
        <v>99</v>
      </c>
      <c r="E146" s="1034">
        <v>0</v>
      </c>
      <c r="F146" s="1034">
        <f t="shared" si="19"/>
        <v>0</v>
      </c>
      <c r="G146" s="1034">
        <f t="shared" si="19"/>
        <v>0</v>
      </c>
      <c r="H146" s="1034">
        <f t="shared" si="19"/>
        <v>0</v>
      </c>
      <c r="I146" s="1034">
        <f t="shared" si="19"/>
        <v>0</v>
      </c>
      <c r="J146" s="590"/>
    </row>
    <row r="147" spans="3:10" x14ac:dyDescent="0.2">
      <c r="C147" t="str">
        <f t="shared" si="20"/>
        <v>Supplements</v>
      </c>
      <c r="D147" s="65" t="s">
        <v>100</v>
      </c>
      <c r="E147" s="1034">
        <v>0</v>
      </c>
      <c r="F147" s="1034">
        <f t="shared" si="19"/>
        <v>0</v>
      </c>
      <c r="G147" s="1034">
        <f t="shared" si="19"/>
        <v>0</v>
      </c>
      <c r="H147" s="1034">
        <f t="shared" si="19"/>
        <v>0</v>
      </c>
      <c r="I147" s="1034">
        <f t="shared" si="19"/>
        <v>0</v>
      </c>
      <c r="J147" s="590"/>
    </row>
    <row r="148" spans="3:10" x14ac:dyDescent="0.2">
      <c r="C148" t="str">
        <f t="shared" si="20"/>
        <v>Salt/Mineral Mix</v>
      </c>
      <c r="D148" s="65" t="s">
        <v>101</v>
      </c>
      <c r="E148" s="1034">
        <v>0.02</v>
      </c>
      <c r="F148" s="1034">
        <f t="shared" si="19"/>
        <v>0.02</v>
      </c>
      <c r="G148" s="1034">
        <f t="shared" si="19"/>
        <v>0.02</v>
      </c>
      <c r="H148" s="1034">
        <f t="shared" si="19"/>
        <v>0.02</v>
      </c>
      <c r="I148" s="1034">
        <f t="shared" si="19"/>
        <v>0.02</v>
      </c>
      <c r="J148" s="590"/>
    </row>
    <row r="149" spans="3:10" x14ac:dyDescent="0.2">
      <c r="C149" t="str">
        <f t="shared" si="20"/>
        <v>Vitamins</v>
      </c>
      <c r="D149" s="65" t="s">
        <v>102</v>
      </c>
      <c r="E149" s="1034">
        <v>0</v>
      </c>
      <c r="F149" s="1034">
        <f t="shared" si="19"/>
        <v>0</v>
      </c>
      <c r="G149" s="1034">
        <f t="shared" si="19"/>
        <v>0</v>
      </c>
      <c r="H149" s="1034">
        <f t="shared" si="19"/>
        <v>0</v>
      </c>
      <c r="I149" s="1034">
        <f t="shared" si="19"/>
        <v>0</v>
      </c>
      <c r="J149" s="590"/>
    </row>
    <row r="150" spans="3:10" x14ac:dyDescent="0.2">
      <c r="C150" t="str">
        <f t="shared" si="20"/>
        <v>Other - 1</v>
      </c>
      <c r="D150" s="65" t="s">
        <v>103</v>
      </c>
      <c r="E150" s="1034">
        <v>0</v>
      </c>
      <c r="F150" s="1034">
        <f t="shared" si="19"/>
        <v>0</v>
      </c>
      <c r="G150" s="1034">
        <f t="shared" si="19"/>
        <v>0</v>
      </c>
      <c r="H150" s="1034">
        <f t="shared" si="19"/>
        <v>0</v>
      </c>
      <c r="I150" s="1034">
        <f t="shared" si="19"/>
        <v>0</v>
      </c>
      <c r="J150" s="590"/>
    </row>
    <row r="151" spans="3:10" x14ac:dyDescent="0.2">
      <c r="C151" t="str">
        <f t="shared" si="20"/>
        <v>Other - 2  (other 1-4 can be changed where)</v>
      </c>
      <c r="D151" s="65" t="s">
        <v>104</v>
      </c>
      <c r="E151" s="1034">
        <v>0</v>
      </c>
      <c r="F151" s="1034">
        <f t="shared" si="19"/>
        <v>0</v>
      </c>
      <c r="G151" s="1034">
        <f t="shared" si="19"/>
        <v>0</v>
      </c>
      <c r="H151" s="1034">
        <f t="shared" si="19"/>
        <v>0</v>
      </c>
      <c r="I151" s="1034">
        <f t="shared" si="19"/>
        <v>0</v>
      </c>
      <c r="J151" s="590"/>
    </row>
    <row r="152" spans="3:10" x14ac:dyDescent="0.2">
      <c r="C152" t="str">
        <f t="shared" si="20"/>
        <v>Other - 3   (feed ingredients first listed/priced)</v>
      </c>
      <c r="D152" s="65" t="s">
        <v>107</v>
      </c>
      <c r="E152" s="1034">
        <v>0</v>
      </c>
      <c r="F152" s="1034">
        <f t="shared" si="19"/>
        <v>0</v>
      </c>
      <c r="G152" s="1034">
        <f t="shared" si="19"/>
        <v>0</v>
      </c>
      <c r="H152" s="1034">
        <f t="shared" si="19"/>
        <v>0</v>
      </c>
      <c r="I152" s="1034">
        <f t="shared" si="19"/>
        <v>0</v>
      </c>
      <c r="J152" s="590"/>
    </row>
    <row r="153" spans="3:10" x14ac:dyDescent="0.2">
      <c r="C153" t="str">
        <f t="shared" si="20"/>
        <v>Other - 4</v>
      </c>
      <c r="D153" s="65" t="s">
        <v>108</v>
      </c>
      <c r="E153" s="1034">
        <v>0</v>
      </c>
      <c r="F153" s="1034">
        <f t="shared" si="19"/>
        <v>0</v>
      </c>
      <c r="G153" s="1034">
        <f t="shared" si="19"/>
        <v>0</v>
      </c>
      <c r="H153" s="1034">
        <f t="shared" si="19"/>
        <v>0</v>
      </c>
      <c r="I153" s="1034">
        <f t="shared" si="19"/>
        <v>0</v>
      </c>
      <c r="J153" s="590"/>
    </row>
    <row r="154" spans="3:10" ht="12" customHeight="1" x14ac:dyDescent="0.2">
      <c r="C154" s="1236" t="s">
        <v>151</v>
      </c>
      <c r="D154" s="1237" t="s">
        <v>11</v>
      </c>
      <c r="E154" s="1275">
        <f>(E142/(2204.62))*E$100+(E143/2204.62)*E$101+(E144/2204.62)*E$102+(E145/2204.62)*E$103+(E146/2204.62)*E$104+(E147/2204.62)*E$105+(E148/2204.62)*E$106+(E149/2204.62)*E$107+(E150/2204.62)*E$109+(E151/2204.62)*E$110+(E152/2204.62)*E$111+(E153/2204.62)*E$112</f>
        <v>0.41344993695058563</v>
      </c>
      <c r="F154" s="1275">
        <f>(F142/(2204.62))*F$100+(F143/2204.62)*F$101+(F144/2204.62)*F$102+(F145/2204.62)*F$103+(F146/2204.62)*F$104+(F147/2204.62)*F$105+(F148/2204.62)*F$106+(F149/2204.62)*F$107+(F150/2204.62)*F$109+(F151/2204.62)*F$110+(F152/2204.62)*F$111+(F153/2204.62)*F$112</f>
        <v>0.41344993695058563</v>
      </c>
      <c r="G154" s="1275">
        <f>(G142/(2204.62))*G$100+(G143/2204.62)*G$101+(G144/2204.62)*G$102+(G145/2204.62)*G$103+(G146/2204.62)*G$104+(G147/2204.62)*G$105+(G148/2204.62)*G$106+(G149/2204.62)*G$107+(G150/2204.62)*G$109+(G151/2204.62)*G$110+(G152/2204.62)*G$111+(G153/2204.62)*G$112</f>
        <v>0.41344993695058563</v>
      </c>
      <c r="H154" s="1275">
        <f>(H142/(2204.62))*H$100+(H143/2204.62)*H$101+(H144/2204.62)*H$102+(H145/2204.62)*H$103+(H146/2204.62)*H$104+(H147/2204.62)*H$105+(H148/2204.62)*H$106+(H149/2204.62)*H$107+(H150/2204.62)*H$109+(H151/2204.62)*H$110+(H152/2204.62)*H$111+(H153/2204.62)*H$112</f>
        <v>0.41344993695058563</v>
      </c>
      <c r="I154" s="1275">
        <f>(I142/(2204.62))*I$100+(I143/2204.62)*I$101+(I144/2204.62)*I$102+(I145/2204.62)*I$103+(I146/2204.62)*I$104+(I147/2204.62)*I$105+(I148/2204.62)*I$106+(I149/2204.62)*I$107+(I150/2204.62)*I$109+(I151/2204.62)*I$110+(I152/2204.62)*I$111+(I153/2204.62)*I$112</f>
        <v>0.41344993695058563</v>
      </c>
      <c r="J154" s="82"/>
    </row>
    <row r="155" spans="3:10" ht="12" customHeight="1" x14ac:dyDescent="0.2">
      <c r="C155" s="1236" t="s">
        <v>171</v>
      </c>
      <c r="D155" s="1237" t="s">
        <v>11</v>
      </c>
      <c r="E155" s="1238">
        <f>E140*E154</f>
        <v>17.364897351924597</v>
      </c>
      <c r="F155" s="1238">
        <f>F140*F154</f>
        <v>17.364897351924597</v>
      </c>
      <c r="G155" s="1238">
        <f>G140*G154</f>
        <v>17.364897351924597</v>
      </c>
      <c r="H155" s="1238">
        <f>H140*H154</f>
        <v>17.364897351924597</v>
      </c>
      <c r="I155" s="1238">
        <f>I140*I154</f>
        <v>17.364897351924597</v>
      </c>
      <c r="J155" s="82"/>
    </row>
    <row r="156" spans="3:10" ht="6" customHeight="1" x14ac:dyDescent="0.2">
      <c r="D156" s="72"/>
      <c r="E156" s="82"/>
      <c r="F156" s="82"/>
      <c r="G156" s="82"/>
      <c r="H156" s="82"/>
      <c r="I156" s="82"/>
      <c r="J156" s="82"/>
    </row>
    <row r="157" spans="3:10" x14ac:dyDescent="0.2">
      <c r="C157" s="56" t="s">
        <v>240</v>
      </c>
      <c r="D157" s="72"/>
      <c r="E157" s="36" t="str">
        <f>E$15</f>
        <v>Year #1</v>
      </c>
      <c r="F157" s="36" t="str">
        <f>F$15</f>
        <v>Year #2</v>
      </c>
      <c r="G157" s="36" t="str">
        <f>G$15</f>
        <v>Year #3</v>
      </c>
      <c r="H157" s="36" t="str">
        <f>H$15</f>
        <v>Year #4</v>
      </c>
      <c r="I157" s="36" t="str">
        <f>I$15</f>
        <v>Year #5</v>
      </c>
      <c r="J157" s="82"/>
    </row>
    <row r="158" spans="3:10" x14ac:dyDescent="0.2">
      <c r="C158" s="503" t="s">
        <v>835</v>
      </c>
      <c r="D158" s="65" t="s">
        <v>109</v>
      </c>
      <c r="E158" s="1032">
        <v>70</v>
      </c>
      <c r="F158" s="1032">
        <f>E158</f>
        <v>70</v>
      </c>
      <c r="G158" s="1032">
        <f>F158</f>
        <v>70</v>
      </c>
      <c r="H158" s="1032">
        <f>G158</f>
        <v>70</v>
      </c>
      <c r="I158" s="1032">
        <f>H158</f>
        <v>70</v>
      </c>
      <c r="J158" s="82"/>
    </row>
    <row r="159" spans="3:10" x14ac:dyDescent="0.2">
      <c r="C159" s="476" t="s">
        <v>906</v>
      </c>
      <c r="D159" s="65"/>
      <c r="E159" s="36" t="s">
        <v>20</v>
      </c>
      <c r="F159" s="36" t="s">
        <v>20</v>
      </c>
      <c r="G159" s="36" t="s">
        <v>20</v>
      </c>
      <c r="H159" s="36" t="s">
        <v>20</v>
      </c>
      <c r="I159" s="36" t="s">
        <v>20</v>
      </c>
      <c r="J159" s="82"/>
    </row>
    <row r="160" spans="3:10" x14ac:dyDescent="0.2">
      <c r="C160" t="str">
        <f>C124</f>
        <v>Barley</v>
      </c>
      <c r="D160" s="65" t="s">
        <v>126</v>
      </c>
      <c r="E160" s="1034">
        <v>2.125</v>
      </c>
      <c r="F160" s="1034">
        <f t="shared" ref="F160:F171" si="21">E160</f>
        <v>2.125</v>
      </c>
      <c r="G160" s="1034">
        <f t="shared" ref="G160:G171" si="22">F160</f>
        <v>2.125</v>
      </c>
      <c r="H160" s="1034">
        <f t="shared" ref="H160:H171" si="23">G160</f>
        <v>2.125</v>
      </c>
      <c r="I160" s="1034">
        <f t="shared" ref="I160:I171" si="24">H160</f>
        <v>2.125</v>
      </c>
      <c r="J160" s="82"/>
    </row>
    <row r="161" spans="3:10" x14ac:dyDescent="0.2">
      <c r="C161" t="str">
        <f t="shared" ref="C161:C171" si="25">C125</f>
        <v>Hay</v>
      </c>
      <c r="D161" s="65" t="s">
        <v>127</v>
      </c>
      <c r="E161" s="1034">
        <v>3</v>
      </c>
      <c r="F161" s="1034">
        <f t="shared" si="21"/>
        <v>3</v>
      </c>
      <c r="G161" s="1034">
        <f t="shared" si="22"/>
        <v>3</v>
      </c>
      <c r="H161" s="1034">
        <f t="shared" si="23"/>
        <v>3</v>
      </c>
      <c r="I161" s="1034">
        <f t="shared" si="24"/>
        <v>3</v>
      </c>
      <c r="J161" s="82"/>
    </row>
    <row r="162" spans="3:10" x14ac:dyDescent="0.2">
      <c r="C162" t="str">
        <f t="shared" si="25"/>
        <v>Creep Feed - Lambs ($/tonne)</v>
      </c>
      <c r="D162" s="65" t="s">
        <v>128</v>
      </c>
      <c r="E162" s="1034">
        <v>0</v>
      </c>
      <c r="F162" s="1034">
        <f t="shared" si="21"/>
        <v>0</v>
      </c>
      <c r="G162" s="1034">
        <f t="shared" si="22"/>
        <v>0</v>
      </c>
      <c r="H162" s="1034">
        <f t="shared" si="23"/>
        <v>0</v>
      </c>
      <c r="I162" s="1034">
        <f t="shared" si="24"/>
        <v>0</v>
      </c>
      <c r="J162" s="82"/>
    </row>
    <row r="163" spans="3:10" x14ac:dyDescent="0.2">
      <c r="C163" t="str">
        <f t="shared" si="25"/>
        <v>Pellets</v>
      </c>
      <c r="D163" s="65" t="s">
        <v>129</v>
      </c>
      <c r="E163" s="1034">
        <v>0</v>
      </c>
      <c r="F163" s="1034">
        <f t="shared" si="21"/>
        <v>0</v>
      </c>
      <c r="G163" s="1034">
        <f t="shared" si="22"/>
        <v>0</v>
      </c>
      <c r="H163" s="1034">
        <f t="shared" si="23"/>
        <v>0</v>
      </c>
      <c r="I163" s="1034">
        <f t="shared" si="24"/>
        <v>0</v>
      </c>
      <c r="J163" s="82"/>
    </row>
    <row r="164" spans="3:10" x14ac:dyDescent="0.2">
      <c r="C164" t="str">
        <f t="shared" si="25"/>
        <v>Straw</v>
      </c>
      <c r="D164" s="65" t="s">
        <v>130</v>
      </c>
      <c r="E164" s="1034">
        <v>0</v>
      </c>
      <c r="F164" s="1034">
        <f t="shared" si="21"/>
        <v>0</v>
      </c>
      <c r="G164" s="1034">
        <f t="shared" si="22"/>
        <v>0</v>
      </c>
      <c r="H164" s="1034">
        <f t="shared" si="23"/>
        <v>0</v>
      </c>
      <c r="I164" s="1034">
        <f t="shared" si="24"/>
        <v>0</v>
      </c>
      <c r="J164" s="82"/>
    </row>
    <row r="165" spans="3:10" x14ac:dyDescent="0.2">
      <c r="C165" t="str">
        <f t="shared" si="25"/>
        <v>Supplements</v>
      </c>
      <c r="D165" s="65" t="s">
        <v>131</v>
      </c>
      <c r="E165" s="1034">
        <v>0</v>
      </c>
      <c r="F165" s="1034">
        <f t="shared" si="21"/>
        <v>0</v>
      </c>
      <c r="G165" s="1034">
        <f t="shared" si="22"/>
        <v>0</v>
      </c>
      <c r="H165" s="1034">
        <f t="shared" si="23"/>
        <v>0</v>
      </c>
      <c r="I165" s="1034">
        <f t="shared" si="24"/>
        <v>0</v>
      </c>
      <c r="J165" s="82"/>
    </row>
    <row r="166" spans="3:10" x14ac:dyDescent="0.2">
      <c r="C166" t="str">
        <f t="shared" si="25"/>
        <v>Salt/Mineral Mix</v>
      </c>
      <c r="D166" s="65" t="s">
        <v>132</v>
      </c>
      <c r="E166" s="1034">
        <v>0.02</v>
      </c>
      <c r="F166" s="1034">
        <f t="shared" si="21"/>
        <v>0.02</v>
      </c>
      <c r="G166" s="1034">
        <f t="shared" si="22"/>
        <v>0.02</v>
      </c>
      <c r="H166" s="1034">
        <f t="shared" si="23"/>
        <v>0.02</v>
      </c>
      <c r="I166" s="1034">
        <f t="shared" si="24"/>
        <v>0.02</v>
      </c>
      <c r="J166" s="82"/>
    </row>
    <row r="167" spans="3:10" x14ac:dyDescent="0.2">
      <c r="C167" t="str">
        <f t="shared" si="25"/>
        <v>Vitamins</v>
      </c>
      <c r="D167" s="65" t="s">
        <v>133</v>
      </c>
      <c r="E167" s="1034">
        <v>0</v>
      </c>
      <c r="F167" s="1034">
        <f t="shared" si="21"/>
        <v>0</v>
      </c>
      <c r="G167" s="1034">
        <f t="shared" si="22"/>
        <v>0</v>
      </c>
      <c r="H167" s="1034">
        <f t="shared" si="23"/>
        <v>0</v>
      </c>
      <c r="I167" s="1034">
        <f t="shared" si="24"/>
        <v>0</v>
      </c>
      <c r="J167" s="82"/>
    </row>
    <row r="168" spans="3:10" x14ac:dyDescent="0.2">
      <c r="C168" t="str">
        <f t="shared" si="25"/>
        <v>Other - 1</v>
      </c>
      <c r="D168" s="65" t="s">
        <v>141</v>
      </c>
      <c r="E168" s="1034">
        <v>0</v>
      </c>
      <c r="F168" s="1034">
        <f t="shared" si="21"/>
        <v>0</v>
      </c>
      <c r="G168" s="1034">
        <f t="shared" si="22"/>
        <v>0</v>
      </c>
      <c r="H168" s="1034">
        <f t="shared" si="23"/>
        <v>0</v>
      </c>
      <c r="I168" s="1034">
        <f t="shared" si="24"/>
        <v>0</v>
      </c>
      <c r="J168" s="82"/>
    </row>
    <row r="169" spans="3:10" x14ac:dyDescent="0.2">
      <c r="C169" t="str">
        <f t="shared" si="25"/>
        <v>Other - 2  (other 1-4 can be changed where)</v>
      </c>
      <c r="D169" s="65" t="s">
        <v>142</v>
      </c>
      <c r="E169" s="1034">
        <v>0</v>
      </c>
      <c r="F169" s="1034">
        <f t="shared" si="21"/>
        <v>0</v>
      </c>
      <c r="G169" s="1034">
        <f t="shared" si="22"/>
        <v>0</v>
      </c>
      <c r="H169" s="1034">
        <f t="shared" si="23"/>
        <v>0</v>
      </c>
      <c r="I169" s="1034">
        <f t="shared" si="24"/>
        <v>0</v>
      </c>
      <c r="J169" s="82"/>
    </row>
    <row r="170" spans="3:10" x14ac:dyDescent="0.2">
      <c r="C170" t="str">
        <f t="shared" si="25"/>
        <v>Other - 3   (feed ingredients first listed/priced)</v>
      </c>
      <c r="D170" s="65" t="s">
        <v>149</v>
      </c>
      <c r="E170" s="1034">
        <v>0</v>
      </c>
      <c r="F170" s="1034">
        <f t="shared" si="21"/>
        <v>0</v>
      </c>
      <c r="G170" s="1034">
        <f t="shared" si="22"/>
        <v>0</v>
      </c>
      <c r="H170" s="1034">
        <f t="shared" si="23"/>
        <v>0</v>
      </c>
      <c r="I170" s="1034">
        <f t="shared" si="24"/>
        <v>0</v>
      </c>
      <c r="J170" s="82"/>
    </row>
    <row r="171" spans="3:10" x14ac:dyDescent="0.2">
      <c r="C171" t="str">
        <f t="shared" si="25"/>
        <v>Other - 4</v>
      </c>
      <c r="D171" s="65" t="s">
        <v>166</v>
      </c>
      <c r="E171" s="1034">
        <v>0</v>
      </c>
      <c r="F171" s="1034">
        <f t="shared" si="21"/>
        <v>0</v>
      </c>
      <c r="G171" s="1034">
        <f t="shared" si="22"/>
        <v>0</v>
      </c>
      <c r="H171" s="1034">
        <f t="shared" si="23"/>
        <v>0</v>
      </c>
      <c r="I171" s="1034">
        <f t="shared" si="24"/>
        <v>0</v>
      </c>
      <c r="J171" s="82"/>
    </row>
    <row r="172" spans="3:10" ht="12" customHeight="1" x14ac:dyDescent="0.2">
      <c r="C172" s="1236" t="s">
        <v>151</v>
      </c>
      <c r="D172" s="1237" t="s">
        <v>11</v>
      </c>
      <c r="E172" s="1275">
        <f>(E160/(2204.62))*E$100+(E161/2204.62)*E$101+(E162/2204.62)*E$102+(E163/2204.62)*E$103+(E164/2204.62)*E$104+(E165/2204.62)*E$105+(E166/2204.62)*E$106+(E167/2204.62)*E$107+(E168/2204.62)*E$109+(E169/2204.62)*E$110+(E170/2204.62)*E$111+(E171/2204.62)*E$112</f>
        <v>0.4361295824223676</v>
      </c>
      <c r="F172" s="1275">
        <f>(F160/(2204.62))*F$100+(F161/2204.62)*F$101+(F162/2204.62)*F$102+(F163/2204.62)*F$103+(F164/2204.62)*F$104+(F165/2204.62)*F$105+(F166/2204.62)*F$106+(F167/2204.62)*F$107+(F168/2204.62)*F$109+(F169/2204.62)*F$110+(F170/2204.62)*F$111+(F171/2204.62)*F$112</f>
        <v>0.4361295824223676</v>
      </c>
      <c r="G172" s="1275">
        <f>(G160/(2204.62))*G$100+(G161/2204.62)*G$101+(G162/2204.62)*G$102+(G163/2204.62)*G$103+(G164/2204.62)*G$104+(G165/2204.62)*G$105+(G166/2204.62)*G$106+(G167/2204.62)*G$107+(G168/2204.62)*G$109+(G169/2204.62)*G$110+(G170/2204.62)*G$111+(G171/2204.62)*G$112</f>
        <v>0.4361295824223676</v>
      </c>
      <c r="H172" s="1275">
        <f>(H160/(2204.62))*H$100+(H161/2204.62)*H$101+(H162/2204.62)*H$102+(H163/2204.62)*H$103+(H164/2204.62)*H$104+(H165/2204.62)*H$105+(H166/2204.62)*H$106+(H167/2204.62)*H$107+(H168/2204.62)*H$109+(H169/2204.62)*H$110+(H170/2204.62)*H$111+(H171/2204.62)*H$112</f>
        <v>0.4361295824223676</v>
      </c>
      <c r="I172" s="1275">
        <f>(I160/(2204.62))*I$100+(I161/2204.62)*I$101+(I162/2204.62)*I$102+(I163/2204.62)*I$103+(I164/2204.62)*I$104+(I165/2204.62)*I$105+(I166/2204.62)*I$106+(I167/2204.62)*I$107+(I168/2204.62)*I$109+(I169/2204.62)*I$110+(I170/2204.62)*I$111+(I171/2204.62)*I$112</f>
        <v>0.4361295824223676</v>
      </c>
      <c r="J172" s="82"/>
    </row>
    <row r="173" spans="3:10" ht="12" customHeight="1" x14ac:dyDescent="0.2">
      <c r="C173" s="1236" t="s">
        <v>171</v>
      </c>
      <c r="D173" s="1237" t="s">
        <v>11</v>
      </c>
      <c r="E173" s="1238">
        <f>E158*E172</f>
        <v>30.529070769565731</v>
      </c>
      <c r="F173" s="1238">
        <f>F158*F172</f>
        <v>30.529070769565731</v>
      </c>
      <c r="G173" s="1238">
        <f>G158*G172</f>
        <v>30.529070769565731</v>
      </c>
      <c r="H173" s="1238">
        <f>H158*H172</f>
        <v>30.529070769565731</v>
      </c>
      <c r="I173" s="1238">
        <f>I158*I172</f>
        <v>30.529070769565731</v>
      </c>
      <c r="J173" s="82"/>
    </row>
    <row r="174" spans="3:10" ht="6" customHeight="1" x14ac:dyDescent="0.2">
      <c r="D174" s="72"/>
      <c r="E174" s="82"/>
      <c r="F174" s="82"/>
      <c r="G174" s="82"/>
      <c r="H174" s="82"/>
      <c r="I174" s="82"/>
      <c r="J174" s="82"/>
    </row>
    <row r="175" spans="3:10" x14ac:dyDescent="0.2">
      <c r="C175" s="56" t="s">
        <v>240</v>
      </c>
      <c r="D175" s="72"/>
      <c r="E175" s="65" t="str">
        <f>E$15</f>
        <v>Year #1</v>
      </c>
      <c r="F175" s="65" t="str">
        <f>F$15</f>
        <v>Year #2</v>
      </c>
      <c r="G175" s="65" t="str">
        <f>G$15</f>
        <v>Year #3</v>
      </c>
      <c r="H175" s="65" t="str">
        <f>H$15</f>
        <v>Year #4</v>
      </c>
      <c r="I175" s="65" t="str">
        <f>I$15</f>
        <v>Year #5</v>
      </c>
      <c r="J175" s="65"/>
    </row>
    <row r="176" spans="3:10" x14ac:dyDescent="0.2">
      <c r="C176" s="503" t="s">
        <v>836</v>
      </c>
      <c r="D176" s="65" t="s">
        <v>167</v>
      </c>
      <c r="E176" s="1032">
        <v>21</v>
      </c>
      <c r="F176" s="1032">
        <f>E176</f>
        <v>21</v>
      </c>
      <c r="G176" s="1032">
        <f>F176</f>
        <v>21</v>
      </c>
      <c r="H176" s="1032">
        <f>G176</f>
        <v>21</v>
      </c>
      <c r="I176" s="1032">
        <f>H176</f>
        <v>21</v>
      </c>
      <c r="J176" s="589"/>
    </row>
    <row r="177" spans="3:10" x14ac:dyDescent="0.2">
      <c r="C177" s="1033" t="s">
        <v>969</v>
      </c>
      <c r="D177" s="65"/>
      <c r="E177" s="65" t="s">
        <v>20</v>
      </c>
      <c r="F177" s="65" t="s">
        <v>20</v>
      </c>
      <c r="G177" s="65" t="s">
        <v>20</v>
      </c>
      <c r="H177" s="65" t="s">
        <v>20</v>
      </c>
      <c r="I177" s="65" t="s">
        <v>20</v>
      </c>
      <c r="J177" s="36"/>
    </row>
    <row r="178" spans="3:10" x14ac:dyDescent="0.2">
      <c r="C178" t="str">
        <f>C124</f>
        <v>Barley</v>
      </c>
      <c r="D178" s="65" t="s">
        <v>170</v>
      </c>
      <c r="E178" s="1034">
        <v>2</v>
      </c>
      <c r="F178" s="1034">
        <f t="shared" ref="F178:I187" si="26">E178</f>
        <v>2</v>
      </c>
      <c r="G178" s="1034">
        <f t="shared" si="26"/>
        <v>2</v>
      </c>
      <c r="H178" s="1034">
        <f t="shared" si="26"/>
        <v>2</v>
      </c>
      <c r="I178" s="1034">
        <f t="shared" si="26"/>
        <v>2</v>
      </c>
      <c r="J178" s="590"/>
    </row>
    <row r="179" spans="3:10" x14ac:dyDescent="0.2">
      <c r="C179" t="str">
        <f>C125</f>
        <v>Hay</v>
      </c>
      <c r="D179" s="65" t="s">
        <v>175</v>
      </c>
      <c r="E179" s="1034">
        <v>1.5</v>
      </c>
      <c r="F179" s="1034">
        <f>E179</f>
        <v>1.5</v>
      </c>
      <c r="G179" s="1034">
        <f>F179</f>
        <v>1.5</v>
      </c>
      <c r="H179" s="1034">
        <f>G179</f>
        <v>1.5</v>
      </c>
      <c r="I179" s="1034">
        <f>H179</f>
        <v>1.5</v>
      </c>
      <c r="J179" s="590"/>
    </row>
    <row r="180" spans="3:10" x14ac:dyDescent="0.2">
      <c r="C180" t="str">
        <f>C126</f>
        <v>Creep Feed - Lambs ($/tonne)</v>
      </c>
      <c r="D180" s="65" t="s">
        <v>176</v>
      </c>
      <c r="E180" s="1034">
        <v>0</v>
      </c>
      <c r="F180" s="1034">
        <f t="shared" si="26"/>
        <v>0</v>
      </c>
      <c r="G180" s="1034">
        <f t="shared" si="26"/>
        <v>0</v>
      </c>
      <c r="H180" s="1034">
        <f t="shared" si="26"/>
        <v>0</v>
      </c>
      <c r="I180" s="1034">
        <f t="shared" si="26"/>
        <v>0</v>
      </c>
      <c r="J180" s="590"/>
    </row>
    <row r="181" spans="3:10" x14ac:dyDescent="0.2">
      <c r="C181" t="s">
        <v>673</v>
      </c>
      <c r="D181" s="65" t="s">
        <v>177</v>
      </c>
      <c r="E181" s="1034">
        <v>0</v>
      </c>
      <c r="F181" s="1034">
        <f t="shared" si="26"/>
        <v>0</v>
      </c>
      <c r="G181" s="1034">
        <f t="shared" si="26"/>
        <v>0</v>
      </c>
      <c r="H181" s="1034">
        <f t="shared" si="26"/>
        <v>0</v>
      </c>
      <c r="I181" s="1034">
        <f t="shared" si="26"/>
        <v>0</v>
      </c>
      <c r="J181" s="590"/>
    </row>
    <row r="182" spans="3:10" x14ac:dyDescent="0.2">
      <c r="C182" t="str">
        <f t="shared" ref="C182:C189" si="27">C128</f>
        <v>Straw</v>
      </c>
      <c r="D182" s="65" t="s">
        <v>178</v>
      </c>
      <c r="E182" s="1034">
        <v>0</v>
      </c>
      <c r="F182" s="1034">
        <f t="shared" si="26"/>
        <v>0</v>
      </c>
      <c r="G182" s="1034">
        <f t="shared" si="26"/>
        <v>0</v>
      </c>
      <c r="H182" s="1034">
        <f t="shared" si="26"/>
        <v>0</v>
      </c>
      <c r="I182" s="1034">
        <f t="shared" si="26"/>
        <v>0</v>
      </c>
      <c r="J182" s="590"/>
    </row>
    <row r="183" spans="3:10" x14ac:dyDescent="0.2">
      <c r="C183" t="str">
        <f t="shared" si="27"/>
        <v>Supplements</v>
      </c>
      <c r="D183" s="65" t="s">
        <v>179</v>
      </c>
      <c r="E183" s="1034">
        <v>0</v>
      </c>
      <c r="F183" s="1034">
        <f t="shared" si="26"/>
        <v>0</v>
      </c>
      <c r="G183" s="1034">
        <f t="shared" si="26"/>
        <v>0</v>
      </c>
      <c r="H183" s="1034">
        <f t="shared" si="26"/>
        <v>0</v>
      </c>
      <c r="I183" s="1034">
        <f t="shared" si="26"/>
        <v>0</v>
      </c>
      <c r="J183" s="590"/>
    </row>
    <row r="184" spans="3:10" x14ac:dyDescent="0.2">
      <c r="C184" t="str">
        <f t="shared" si="27"/>
        <v>Salt/Mineral Mix</v>
      </c>
      <c r="D184" s="65" t="s">
        <v>180</v>
      </c>
      <c r="E184" s="1034">
        <v>0.02</v>
      </c>
      <c r="F184" s="1034">
        <f t="shared" si="26"/>
        <v>0.02</v>
      </c>
      <c r="G184" s="1034">
        <f t="shared" si="26"/>
        <v>0.02</v>
      </c>
      <c r="H184" s="1034">
        <f t="shared" si="26"/>
        <v>0.02</v>
      </c>
      <c r="I184" s="1034">
        <f t="shared" si="26"/>
        <v>0.02</v>
      </c>
      <c r="J184" s="590"/>
    </row>
    <row r="185" spans="3:10" x14ac:dyDescent="0.2">
      <c r="C185" t="str">
        <f t="shared" si="27"/>
        <v>Vitamins</v>
      </c>
      <c r="D185" s="65" t="s">
        <v>186</v>
      </c>
      <c r="E185" s="1034">
        <v>0</v>
      </c>
      <c r="F185" s="1034">
        <f t="shared" si="26"/>
        <v>0</v>
      </c>
      <c r="G185" s="1034">
        <f t="shared" si="26"/>
        <v>0</v>
      </c>
      <c r="H185" s="1034">
        <f t="shared" si="26"/>
        <v>0</v>
      </c>
      <c r="I185" s="1034">
        <f t="shared" si="26"/>
        <v>0</v>
      </c>
      <c r="J185" s="590"/>
    </row>
    <row r="186" spans="3:10" x14ac:dyDescent="0.2">
      <c r="C186" t="str">
        <f t="shared" si="27"/>
        <v>Other - 1</v>
      </c>
      <c r="D186" s="65" t="s">
        <v>187</v>
      </c>
      <c r="E186" s="1034">
        <v>0</v>
      </c>
      <c r="F186" s="1034">
        <f t="shared" si="26"/>
        <v>0</v>
      </c>
      <c r="G186" s="1034">
        <f t="shared" si="26"/>
        <v>0</v>
      </c>
      <c r="H186" s="1034">
        <f t="shared" si="26"/>
        <v>0</v>
      </c>
      <c r="I186" s="1034">
        <f t="shared" si="26"/>
        <v>0</v>
      </c>
      <c r="J186" s="590"/>
    </row>
    <row r="187" spans="3:10" x14ac:dyDescent="0.2">
      <c r="C187" t="str">
        <f t="shared" si="27"/>
        <v>Other - 2  (other 1-4 can be changed where)</v>
      </c>
      <c r="D187" s="65" t="s">
        <v>188</v>
      </c>
      <c r="E187" s="1034">
        <v>0</v>
      </c>
      <c r="F187" s="1034">
        <f t="shared" si="26"/>
        <v>0</v>
      </c>
      <c r="G187" s="1034">
        <f t="shared" si="26"/>
        <v>0</v>
      </c>
      <c r="H187" s="1034">
        <f t="shared" si="26"/>
        <v>0</v>
      </c>
      <c r="I187" s="1034">
        <f t="shared" si="26"/>
        <v>0</v>
      </c>
      <c r="J187" s="590"/>
    </row>
    <row r="188" spans="3:10" x14ac:dyDescent="0.2">
      <c r="C188" t="str">
        <f t="shared" si="27"/>
        <v>Other - 3   (feed ingredients first listed/priced)</v>
      </c>
      <c r="D188" s="65" t="s">
        <v>189</v>
      </c>
      <c r="E188" s="1034">
        <v>0</v>
      </c>
      <c r="F188" s="1034">
        <f t="shared" ref="F188:I189" si="28">E188</f>
        <v>0</v>
      </c>
      <c r="G188" s="1034">
        <f t="shared" si="28"/>
        <v>0</v>
      </c>
      <c r="H188" s="1034">
        <f t="shared" si="28"/>
        <v>0</v>
      </c>
      <c r="I188" s="1034">
        <f t="shared" si="28"/>
        <v>0</v>
      </c>
      <c r="J188" s="590"/>
    </row>
    <row r="189" spans="3:10" x14ac:dyDescent="0.2">
      <c r="C189" t="str">
        <f t="shared" si="27"/>
        <v>Other - 4</v>
      </c>
      <c r="D189" s="65" t="s">
        <v>190</v>
      </c>
      <c r="E189" s="1034">
        <v>0</v>
      </c>
      <c r="F189" s="1034">
        <f t="shared" si="28"/>
        <v>0</v>
      </c>
      <c r="G189" s="1034">
        <f t="shared" si="28"/>
        <v>0</v>
      </c>
      <c r="H189" s="1034">
        <f t="shared" si="28"/>
        <v>0</v>
      </c>
      <c r="I189" s="1034">
        <f t="shared" si="28"/>
        <v>0</v>
      </c>
      <c r="J189" s="590"/>
    </row>
    <row r="190" spans="3:10" ht="12" customHeight="1" x14ac:dyDescent="0.2">
      <c r="C190" s="1236" t="s">
        <v>151</v>
      </c>
      <c r="D190" s="1237" t="s">
        <v>11</v>
      </c>
      <c r="E190" s="1275">
        <f>(E178/(2204.62))*E$100+(E179/2204.62)*E$101+(E180/2204.62)*E$102+(E181/2204.62)*E$103+(E182/2204.62)*E$104+(E183/2204.62)*E$105+(E184/2204.62)*E$106+(E185/2204.62)*E$107+(E186/2204.62)*E$109+(E187/2204.62)*E$110+(E188/2204.62)*E$111+(E189/2204.62)*E$112</f>
        <v>0.31819542596910128</v>
      </c>
      <c r="F190" s="1275">
        <f>(F178/(2204.62))*F$100+(F179/2204.62)*F$101+(F180/2204.62)*F$102+(F181/2204.62)*F$103+(F182/2204.62)*F$104+(F183/2204.62)*F$105+(F184/2204.62)*F$106+(F185/2204.62)*F$107+(F186/2204.62)*F$109+(F187/2204.62)*F$110+(F188/2204.62)*F$111+(F189/2204.62)*F$112</f>
        <v>0.31819542596910128</v>
      </c>
      <c r="G190" s="1275">
        <f>(G178/(2204.62))*G$100+(G179/2204.62)*G$101+(G180/2204.62)*G$102+(G181/2204.62)*G$103+(G182/2204.62)*G$104+(G183/2204.62)*G$105+(G184/2204.62)*G$106+(G185/2204.62)*G$107+(G186/2204.62)*G$109+(G187/2204.62)*G$110+(G188/2204.62)*G$111+(G189/2204.62)*G$112</f>
        <v>0.31819542596910128</v>
      </c>
      <c r="H190" s="1275">
        <f>(H178/(2204.62))*H$100+(H179/2204.62)*H$101+(H180/2204.62)*H$102+(H181/2204.62)*H$103+(H182/2204.62)*H$104+(H183/2204.62)*H$105+(H184/2204.62)*H$106+(H185/2204.62)*H$107+(H186/2204.62)*H$109+(H187/2204.62)*H$110+(H188/2204.62)*H$111+(H189/2204.62)*H$112</f>
        <v>0.31819542596910128</v>
      </c>
      <c r="I190" s="1275">
        <f>(I178/(2204.62))*I$100+(I179/2204.62)*I$101+(I180/2204.62)*I$102+(I181/2204.62)*I$103+(I182/2204.62)*I$104+(I183/2204.62)*I$105+(I184/2204.62)*I$106+(I185/2204.62)*I$107+(I186/2204.62)*I$109+(I187/2204.62)*I$110+(I188/2204.62)*I$111+(I189/2204.62)*I$112</f>
        <v>0.31819542596910128</v>
      </c>
      <c r="J190" s="82"/>
    </row>
    <row r="191" spans="3:10" ht="12" customHeight="1" thickBot="1" x14ac:dyDescent="0.25">
      <c r="C191" s="1236" t="s">
        <v>171</v>
      </c>
      <c r="D191" s="1237" t="s">
        <v>11</v>
      </c>
      <c r="E191" s="1238">
        <f>E176*E190</f>
        <v>6.6821039453511268</v>
      </c>
      <c r="F191" s="1238">
        <f>F176*F190</f>
        <v>6.6821039453511268</v>
      </c>
      <c r="G191" s="1238">
        <f>G176*G190</f>
        <v>6.6821039453511268</v>
      </c>
      <c r="H191" s="1238">
        <f>H176*H190</f>
        <v>6.6821039453511268</v>
      </c>
      <c r="I191" s="1238">
        <f>I176*I190</f>
        <v>6.6821039453511268</v>
      </c>
      <c r="J191" s="82"/>
    </row>
    <row r="192" spans="3:10" ht="12" customHeight="1" x14ac:dyDescent="0.2">
      <c r="C192" s="1258" t="s">
        <v>897</v>
      </c>
      <c r="D192" s="1259" t="s">
        <v>478</v>
      </c>
      <c r="E192" s="1260">
        <f>E122+E140+E158+E176</f>
        <v>243</v>
      </c>
      <c r="F192" s="1260">
        <f>F122+F140+F158+F176</f>
        <v>243</v>
      </c>
      <c r="G192" s="1260">
        <f>G122+G140+G158+G176</f>
        <v>243</v>
      </c>
      <c r="H192" s="1260">
        <f>H122+H140+H158+H176</f>
        <v>243</v>
      </c>
      <c r="I192" s="1261">
        <f>I122+I140+I158+I176</f>
        <v>243</v>
      </c>
      <c r="J192" s="1078"/>
    </row>
    <row r="193" spans="3:10" ht="12" customHeight="1" x14ac:dyDescent="0.2">
      <c r="C193" s="1262" t="s">
        <v>918</v>
      </c>
      <c r="D193" s="1263" t="s">
        <v>11</v>
      </c>
      <c r="E193" s="1264">
        <f>E137+E155+E173+E191</f>
        <v>90.201259173916597</v>
      </c>
      <c r="F193" s="1264">
        <f>F137+F155+F173+F191</f>
        <v>90.201259173916597</v>
      </c>
      <c r="G193" s="1264">
        <f>G137+G155+G173+G191</f>
        <v>90.201259173916597</v>
      </c>
      <c r="H193" s="1264">
        <f>H137+H155+H173+H191</f>
        <v>90.201259173916597</v>
      </c>
      <c r="I193" s="1265">
        <f>I137+I155+I173+I191</f>
        <v>90.201259173916597</v>
      </c>
      <c r="J193" s="659"/>
    </row>
    <row r="194" spans="3:10" ht="12" customHeight="1" x14ac:dyDescent="0.2">
      <c r="C194" s="1262" t="s">
        <v>919</v>
      </c>
      <c r="D194" s="1263" t="s">
        <v>11</v>
      </c>
      <c r="E194" s="1266">
        <f>E16*E193</f>
        <v>36080.503669566642</v>
      </c>
      <c r="F194" s="1266">
        <f>F16*F193</f>
        <v>36080.503669566642</v>
      </c>
      <c r="G194" s="1266">
        <f>G16*G193</f>
        <v>36080.503669566642</v>
      </c>
      <c r="H194" s="1266">
        <f>H16*H193</f>
        <v>36080.503669566642</v>
      </c>
      <c r="I194" s="1267">
        <f>I16*I193</f>
        <v>36080.503669566642</v>
      </c>
      <c r="J194" s="1046"/>
    </row>
    <row r="195" spans="3:10" ht="12" customHeight="1" x14ac:dyDescent="0.2">
      <c r="C195" s="1268" t="s">
        <v>948</v>
      </c>
      <c r="D195" s="1263" t="s">
        <v>11</v>
      </c>
      <c r="E195" s="1269">
        <f>365/(E192+E199)</f>
        <v>1.5020576131687242</v>
      </c>
      <c r="F195" s="1269">
        <f>365/(F192+F199)</f>
        <v>1.5020576131687242</v>
      </c>
      <c r="G195" s="1269">
        <f>365/(G192+G199)</f>
        <v>1.5020576131687242</v>
      </c>
      <c r="H195" s="1269">
        <f>365/(H192+H199)</f>
        <v>1.5020576131687242</v>
      </c>
      <c r="I195" s="1270">
        <f>365/(I192+I199)</f>
        <v>1.5020576131687242</v>
      </c>
      <c r="J195" s="1046"/>
    </row>
    <row r="196" spans="3:10" ht="12" customHeight="1" thickBot="1" x14ac:dyDescent="0.25">
      <c r="C196" s="1271" t="s">
        <v>923</v>
      </c>
      <c r="D196" s="1272" t="s">
        <v>11</v>
      </c>
      <c r="E196" s="1273">
        <f>E16/(E210/30.4167)</f>
        <v>50.068641975308637</v>
      </c>
      <c r="F196" s="1273">
        <f>F16/(F210/30.4167)</f>
        <v>50.068641975308637</v>
      </c>
      <c r="G196" s="1273">
        <f>G16/(G210/30.4167)</f>
        <v>50.068641975308637</v>
      </c>
      <c r="H196" s="1273">
        <f>H16/(H210/30.4167)</f>
        <v>50.068641975308637</v>
      </c>
      <c r="I196" s="1274">
        <f>I16/(I210/30.4167)</f>
        <v>50.068641975308637</v>
      </c>
      <c r="J196" s="1046"/>
    </row>
    <row r="197" spans="3:10" ht="6" customHeight="1" x14ac:dyDescent="0.2">
      <c r="C197" s="366"/>
      <c r="D197" s="72"/>
      <c r="E197" s="82"/>
      <c r="F197" s="82"/>
      <c r="G197" s="82"/>
      <c r="H197" s="82"/>
      <c r="I197" s="82"/>
    </row>
    <row r="198" spans="3:10" x14ac:dyDescent="0.2">
      <c r="C198" s="56" t="s">
        <v>702</v>
      </c>
      <c r="D198" s="72"/>
      <c r="E198" s="82"/>
      <c r="F198" s="82"/>
      <c r="G198" s="82"/>
      <c r="H198" s="82"/>
      <c r="I198" s="82"/>
    </row>
    <row r="199" spans="3:10" x14ac:dyDescent="0.2">
      <c r="C199" t="s">
        <v>343</v>
      </c>
      <c r="D199" s="65" t="s">
        <v>191</v>
      </c>
      <c r="E199" s="1035">
        <v>0</v>
      </c>
      <c r="F199" s="1035">
        <f t="shared" ref="F199:I200" si="29">E199</f>
        <v>0</v>
      </c>
      <c r="G199" s="1035">
        <f t="shared" si="29"/>
        <v>0</v>
      </c>
      <c r="H199" s="1035">
        <f t="shared" si="29"/>
        <v>0</v>
      </c>
      <c r="I199" s="1035">
        <f t="shared" si="29"/>
        <v>0</v>
      </c>
      <c r="J199" s="591"/>
    </row>
    <row r="200" spans="3:10" x14ac:dyDescent="0.2">
      <c r="C200" t="s">
        <v>482</v>
      </c>
      <c r="D200" s="65" t="s">
        <v>192</v>
      </c>
      <c r="E200" s="1036">
        <v>0</v>
      </c>
      <c r="F200" s="1036">
        <f t="shared" si="29"/>
        <v>0</v>
      </c>
      <c r="G200" s="1036">
        <f t="shared" si="29"/>
        <v>0</v>
      </c>
      <c r="H200" s="1036">
        <f t="shared" si="29"/>
        <v>0</v>
      </c>
      <c r="I200" s="1036">
        <f t="shared" si="29"/>
        <v>0</v>
      </c>
      <c r="J200" s="592"/>
    </row>
    <row r="201" spans="3:10" ht="12" customHeight="1" x14ac:dyDescent="0.2">
      <c r="C201" s="1239" t="s">
        <v>928</v>
      </c>
      <c r="D201" s="1237" t="s">
        <v>11</v>
      </c>
      <c r="E201" s="1257">
        <f>IF(E200&gt;0,E200*E199,0)</f>
        <v>0</v>
      </c>
      <c r="F201" s="1257">
        <f>IF(F200&gt;0,F200*F199,0)</f>
        <v>0</v>
      </c>
      <c r="G201" s="1257">
        <f>IF(G200&gt;0,G200*G199,0)</f>
        <v>0</v>
      </c>
      <c r="H201" s="1257">
        <f>IF(H200&gt;0,H200*H199,0)</f>
        <v>0</v>
      </c>
      <c r="I201" s="1257">
        <f>IF(I200&gt;0,I200*I199,0)</f>
        <v>0</v>
      </c>
      <c r="J201" s="391"/>
    </row>
    <row r="202" spans="3:10" ht="12" customHeight="1" x14ac:dyDescent="0.2">
      <c r="C202" s="1239" t="s">
        <v>929</v>
      </c>
      <c r="D202" s="1237" t="s">
        <v>11</v>
      </c>
      <c r="E202" s="1257">
        <f>IF(E201&gt;0,E201*E16,0)</f>
        <v>0</v>
      </c>
      <c r="F202" s="1257">
        <f>IF(F201&gt;0,F201*F16,0)</f>
        <v>0</v>
      </c>
      <c r="G202" s="1257">
        <f>IF(G201&gt;0,G201*G16,0)</f>
        <v>0</v>
      </c>
      <c r="H202" s="1257">
        <f>IF(H201&gt;0,H201*H16,0)</f>
        <v>0</v>
      </c>
      <c r="I202" s="1257">
        <f>IF(I201&gt;0,I201*I16,0)</f>
        <v>0</v>
      </c>
      <c r="J202" s="391"/>
    </row>
    <row r="203" spans="3:10" x14ac:dyDescent="0.2">
      <c r="C203" s="503" t="s">
        <v>960</v>
      </c>
      <c r="D203" s="65" t="s">
        <v>193</v>
      </c>
      <c r="E203" s="1037">
        <v>0</v>
      </c>
      <c r="F203" s="1037">
        <f>E203</f>
        <v>0</v>
      </c>
      <c r="G203" s="1037">
        <f>F203</f>
        <v>0</v>
      </c>
      <c r="H203" s="1037">
        <f>G203</f>
        <v>0</v>
      </c>
      <c r="I203" s="1037">
        <f>H203</f>
        <v>0</v>
      </c>
      <c r="J203" s="593"/>
    </row>
    <row r="204" spans="3:10" ht="12" customHeight="1" x14ac:dyDescent="0.2">
      <c r="C204" s="1239" t="s">
        <v>961</v>
      </c>
      <c r="D204" s="1237" t="s">
        <v>11</v>
      </c>
      <c r="E204" s="1255">
        <f>IF(E199&gt;0,E199*E203,0)</f>
        <v>0</v>
      </c>
      <c r="F204" s="1255">
        <f>IF(F199&gt;0,F199*F203,0)</f>
        <v>0</v>
      </c>
      <c r="G204" s="1255">
        <f>IF(G199&gt;0,G199*G203,0)</f>
        <v>0</v>
      </c>
      <c r="H204" s="1255">
        <f>IF(H199&gt;0,H199*H203,0)</f>
        <v>0</v>
      </c>
      <c r="I204" s="1255">
        <f>IF(I199&gt;0,I199*I203,0)</f>
        <v>0</v>
      </c>
      <c r="J204" s="392"/>
    </row>
    <row r="205" spans="3:10" ht="12" customHeight="1" x14ac:dyDescent="0.2">
      <c r="C205" s="1239" t="s">
        <v>962</v>
      </c>
      <c r="D205" s="1237" t="s">
        <v>11</v>
      </c>
      <c r="E205" s="1255">
        <f>IF(E204&gt;0,E16*E204,0)</f>
        <v>0</v>
      </c>
      <c r="F205" s="1255">
        <f>IF(F204&gt;0,F16*F204,0)</f>
        <v>0</v>
      </c>
      <c r="G205" s="1255">
        <f>IF(G204&gt;0,G16*G204,0)</f>
        <v>0</v>
      </c>
      <c r="H205" s="1255">
        <f>IF(H204&gt;0,H16*H204,0)</f>
        <v>0</v>
      </c>
      <c r="I205" s="1255">
        <f>IF(I204&gt;0,I16*I204,0)</f>
        <v>0</v>
      </c>
      <c r="J205" s="392"/>
    </row>
    <row r="206" spans="3:10" ht="12" customHeight="1" thickBot="1" x14ac:dyDescent="0.25">
      <c r="C206" s="1239" t="s">
        <v>963</v>
      </c>
      <c r="D206" s="1237" t="s">
        <v>11</v>
      </c>
      <c r="E206" s="1256">
        <f>IF(E205&gt;0,E205/2204.6226,0)</f>
        <v>0</v>
      </c>
      <c r="F206" s="1256">
        <f>IF(F205&gt;0,F205/2204.6226,0)</f>
        <v>0</v>
      </c>
      <c r="G206" s="1256">
        <f>IF(G205&gt;0,G205/2204.6226,0)</f>
        <v>0</v>
      </c>
      <c r="H206" s="1256">
        <f>IF(H205&gt;0,H205/2204.6226,0)</f>
        <v>0</v>
      </c>
      <c r="I206" s="1256">
        <f>IF(I205&gt;0,I205/2204.6226,0)</f>
        <v>0</v>
      </c>
      <c r="J206" s="393"/>
    </row>
    <row r="207" spans="3:10" ht="12" customHeight="1" x14ac:dyDescent="0.2">
      <c r="C207" s="1252" t="s">
        <v>930</v>
      </c>
      <c r="D207" s="1080" t="s">
        <v>11</v>
      </c>
      <c r="E207" s="1081">
        <f>IF(E201&gt;0,(E16*E201*(365/E210))+E117,E117)</f>
        <v>0</v>
      </c>
      <c r="F207" s="1081">
        <f>IF(F201&gt;0,(F16*F201*(365/F210))+F117,F117)</f>
        <v>0</v>
      </c>
      <c r="G207" s="1081">
        <f>IF(G201&gt;0,(G16*G201*(365/G210))+G117,G117)</f>
        <v>0</v>
      </c>
      <c r="H207" s="1081">
        <f>IF(H201&gt;0,(H16*H201*(365/H210))+H117,H117)</f>
        <v>0</v>
      </c>
      <c r="I207" s="1082">
        <f>IF(I201&gt;0,(I16*I201*(365/I210))+I117,I117)</f>
        <v>0</v>
      </c>
      <c r="J207" s="393"/>
    </row>
    <row r="208" spans="3:10" ht="12" customHeight="1" x14ac:dyDescent="0.2">
      <c r="C208" s="1253" t="s">
        <v>926</v>
      </c>
      <c r="D208" s="1083" t="s">
        <v>11</v>
      </c>
      <c r="E208" s="1084">
        <f>IF(E207&gt;0,(E207/(E16*365/E210)),0)</f>
        <v>0</v>
      </c>
      <c r="F208" s="1084">
        <f>IF(F207&gt;0,(F207/(F16*365/F210)),0)</f>
        <v>0</v>
      </c>
      <c r="G208" s="1084">
        <f>IF(G207&gt;0,(G207/(G16*365/G210)),0)</f>
        <v>0</v>
      </c>
      <c r="H208" s="1084">
        <f>IF(H207&gt;0,(H207/(H16*365/H210)),0)</f>
        <v>0</v>
      </c>
      <c r="I208" s="1085">
        <f>IF(I207&gt;0,(I207/(I16*365/I210)),0)</f>
        <v>0</v>
      </c>
      <c r="J208" s="442"/>
    </row>
    <row r="209" spans="3:10" ht="12" customHeight="1" x14ac:dyDescent="0.2">
      <c r="C209" s="1253" t="s">
        <v>927</v>
      </c>
      <c r="D209" s="1083" t="s">
        <v>11</v>
      </c>
      <c r="E209" s="1084">
        <f>IF(E199&gt;0,E208/(E199*365/E210),0)</f>
        <v>0</v>
      </c>
      <c r="F209" s="1084">
        <f>IF(F199&gt;0,F208/(F199*365/F210),0)</f>
        <v>0</v>
      </c>
      <c r="G209" s="1084">
        <f>IF(G199&gt;0,G208/(G199*365/G210),0)</f>
        <v>0</v>
      </c>
      <c r="H209" s="1084">
        <f>IF(H199&gt;0,H208/(H199*365/H210),0)</f>
        <v>0</v>
      </c>
      <c r="I209" s="1084">
        <f>IF(I199&gt;0,I208/(I199*365/I210),0)</f>
        <v>0</v>
      </c>
      <c r="J209" s="391"/>
    </row>
    <row r="210" spans="3:10" ht="12" customHeight="1" thickBot="1" x14ac:dyDescent="0.25">
      <c r="C210" s="1254" t="s">
        <v>837</v>
      </c>
      <c r="D210" s="1086" t="s">
        <v>11</v>
      </c>
      <c r="E210" s="1087">
        <f>E192+E199</f>
        <v>243</v>
      </c>
      <c r="F210" s="1087">
        <f>F192+F199</f>
        <v>243</v>
      </c>
      <c r="G210" s="1087">
        <f>G192+G199</f>
        <v>243</v>
      </c>
      <c r="H210" s="1087">
        <f>H192+H199</f>
        <v>243</v>
      </c>
      <c r="I210" s="1088">
        <f>I192+I199</f>
        <v>243</v>
      </c>
      <c r="J210" s="597"/>
    </row>
    <row r="211" spans="3:10" ht="6" customHeight="1" x14ac:dyDescent="0.2"/>
    <row r="212" spans="3:10" x14ac:dyDescent="0.2">
      <c r="C212" s="56" t="s">
        <v>241</v>
      </c>
      <c r="E212" s="65" t="str">
        <f>E$15</f>
        <v>Year #1</v>
      </c>
      <c r="F212" s="65" t="str">
        <f>F$15</f>
        <v>Year #2</v>
      </c>
      <c r="G212" s="65" t="str">
        <f>G$15</f>
        <v>Year #3</v>
      </c>
      <c r="H212" s="65" t="str">
        <f>H$15</f>
        <v>Year #4</v>
      </c>
      <c r="I212" s="65" t="str">
        <f>I$15</f>
        <v>Year #5</v>
      </c>
      <c r="J212" s="65"/>
    </row>
    <row r="213" spans="3:10" x14ac:dyDescent="0.2">
      <c r="C213" s="4" t="s">
        <v>242</v>
      </c>
      <c r="D213" s="65" t="s">
        <v>194</v>
      </c>
      <c r="E213" s="1032">
        <v>232</v>
      </c>
      <c r="F213" s="1032">
        <f>E213</f>
        <v>232</v>
      </c>
      <c r="G213" s="1032">
        <f>F213</f>
        <v>232</v>
      </c>
      <c r="H213" s="1032">
        <f>G213</f>
        <v>232</v>
      </c>
      <c r="I213" s="1032">
        <f>H213</f>
        <v>232</v>
      </c>
      <c r="J213" s="589"/>
    </row>
    <row r="214" spans="3:10" x14ac:dyDescent="0.2">
      <c r="C214" s="1033" t="s">
        <v>908</v>
      </c>
      <c r="D214" s="65"/>
      <c r="E214" s="65" t="s">
        <v>20</v>
      </c>
      <c r="F214" s="65" t="s">
        <v>20</v>
      </c>
      <c r="G214" s="65" t="s">
        <v>20</v>
      </c>
      <c r="H214" s="65" t="s">
        <v>20</v>
      </c>
      <c r="I214" s="65" t="s">
        <v>20</v>
      </c>
      <c r="J214" s="36"/>
    </row>
    <row r="215" spans="3:10" x14ac:dyDescent="0.2">
      <c r="C215" t="str">
        <f>C124</f>
        <v>Barley</v>
      </c>
      <c r="D215" s="65" t="s">
        <v>195</v>
      </c>
      <c r="E215" s="1034">
        <v>1</v>
      </c>
      <c r="F215" s="1034">
        <f t="shared" ref="F215:I224" si="30">E215</f>
        <v>1</v>
      </c>
      <c r="G215" s="1034">
        <f t="shared" si="30"/>
        <v>1</v>
      </c>
      <c r="H215" s="1034">
        <f t="shared" si="30"/>
        <v>1</v>
      </c>
      <c r="I215" s="1034">
        <f t="shared" si="30"/>
        <v>1</v>
      </c>
      <c r="J215" s="590"/>
    </row>
    <row r="216" spans="3:10" x14ac:dyDescent="0.2">
      <c r="C216" t="str">
        <f>C125</f>
        <v>Hay</v>
      </c>
      <c r="D216" s="65" t="s">
        <v>196</v>
      </c>
      <c r="E216" s="1034">
        <v>3.5</v>
      </c>
      <c r="F216" s="1034">
        <f>E216</f>
        <v>3.5</v>
      </c>
      <c r="G216" s="1034">
        <f>F216</f>
        <v>3.5</v>
      </c>
      <c r="H216" s="1034">
        <f>G216</f>
        <v>3.5</v>
      </c>
      <c r="I216" s="1034">
        <f>H216</f>
        <v>3.5</v>
      </c>
      <c r="J216" s="590"/>
    </row>
    <row r="217" spans="3:10" x14ac:dyDescent="0.2">
      <c r="C217" t="str">
        <f>C126</f>
        <v>Creep Feed - Lambs ($/tonne)</v>
      </c>
      <c r="D217" s="65" t="s">
        <v>197</v>
      </c>
      <c r="E217" s="1034">
        <v>0</v>
      </c>
      <c r="F217" s="1034">
        <f t="shared" si="30"/>
        <v>0</v>
      </c>
      <c r="G217" s="1034">
        <f t="shared" si="30"/>
        <v>0</v>
      </c>
      <c r="H217" s="1034">
        <f t="shared" si="30"/>
        <v>0</v>
      </c>
      <c r="I217" s="1034">
        <f t="shared" si="30"/>
        <v>0</v>
      </c>
      <c r="J217" s="590"/>
    </row>
    <row r="218" spans="3:10" x14ac:dyDescent="0.2">
      <c r="C218" t="s">
        <v>673</v>
      </c>
      <c r="D218" s="65" t="s">
        <v>198</v>
      </c>
      <c r="E218" s="1034">
        <v>0</v>
      </c>
      <c r="F218" s="1034">
        <f t="shared" si="30"/>
        <v>0</v>
      </c>
      <c r="G218" s="1034">
        <f t="shared" si="30"/>
        <v>0</v>
      </c>
      <c r="H218" s="1034">
        <f t="shared" si="30"/>
        <v>0</v>
      </c>
      <c r="I218" s="1034">
        <f t="shared" si="30"/>
        <v>0</v>
      </c>
      <c r="J218" s="590"/>
    </row>
    <row r="219" spans="3:10" x14ac:dyDescent="0.2">
      <c r="C219" t="str">
        <f t="shared" ref="C219:C226" si="31">C128</f>
        <v>Straw</v>
      </c>
      <c r="D219" s="65" t="s">
        <v>199</v>
      </c>
      <c r="E219" s="1034">
        <v>0</v>
      </c>
      <c r="F219" s="1034">
        <f t="shared" si="30"/>
        <v>0</v>
      </c>
      <c r="G219" s="1034">
        <f t="shared" si="30"/>
        <v>0</v>
      </c>
      <c r="H219" s="1034">
        <f t="shared" si="30"/>
        <v>0</v>
      </c>
      <c r="I219" s="1034">
        <f t="shared" si="30"/>
        <v>0</v>
      </c>
      <c r="J219" s="590"/>
    </row>
    <row r="220" spans="3:10" x14ac:dyDescent="0.2">
      <c r="C220" t="str">
        <f t="shared" si="31"/>
        <v>Supplements</v>
      </c>
      <c r="D220" s="65" t="s">
        <v>200</v>
      </c>
      <c r="E220" s="1034">
        <v>0</v>
      </c>
      <c r="F220" s="1034">
        <f t="shared" si="30"/>
        <v>0</v>
      </c>
      <c r="G220" s="1034">
        <f t="shared" si="30"/>
        <v>0</v>
      </c>
      <c r="H220" s="1034">
        <f t="shared" si="30"/>
        <v>0</v>
      </c>
      <c r="I220" s="1034">
        <f t="shared" si="30"/>
        <v>0</v>
      </c>
      <c r="J220" s="590"/>
    </row>
    <row r="221" spans="3:10" x14ac:dyDescent="0.2">
      <c r="C221" t="str">
        <f t="shared" si="31"/>
        <v>Salt/Mineral Mix</v>
      </c>
      <c r="D221" s="65" t="s">
        <v>201</v>
      </c>
      <c r="E221" s="1034">
        <v>0.02</v>
      </c>
      <c r="F221" s="1034">
        <f t="shared" si="30"/>
        <v>0.02</v>
      </c>
      <c r="G221" s="1034">
        <f t="shared" si="30"/>
        <v>0.02</v>
      </c>
      <c r="H221" s="1034">
        <f t="shared" si="30"/>
        <v>0.02</v>
      </c>
      <c r="I221" s="1034">
        <f t="shared" si="30"/>
        <v>0.02</v>
      </c>
      <c r="J221" s="590"/>
    </row>
    <row r="222" spans="3:10" x14ac:dyDescent="0.2">
      <c r="C222" t="str">
        <f t="shared" si="31"/>
        <v>Vitamins</v>
      </c>
      <c r="D222" s="65" t="s">
        <v>202</v>
      </c>
      <c r="E222" s="1034">
        <v>0</v>
      </c>
      <c r="F222" s="1034">
        <f t="shared" si="30"/>
        <v>0</v>
      </c>
      <c r="G222" s="1034">
        <f t="shared" si="30"/>
        <v>0</v>
      </c>
      <c r="H222" s="1034">
        <f t="shared" si="30"/>
        <v>0</v>
      </c>
      <c r="I222" s="1034">
        <f t="shared" si="30"/>
        <v>0</v>
      </c>
      <c r="J222" s="590"/>
    </row>
    <row r="223" spans="3:10" x14ac:dyDescent="0.2">
      <c r="C223" t="str">
        <f t="shared" si="31"/>
        <v>Other - 1</v>
      </c>
      <c r="D223" s="65" t="s">
        <v>203</v>
      </c>
      <c r="E223" s="1034">
        <v>0</v>
      </c>
      <c r="F223" s="1034">
        <f t="shared" si="30"/>
        <v>0</v>
      </c>
      <c r="G223" s="1034">
        <f t="shared" si="30"/>
        <v>0</v>
      </c>
      <c r="H223" s="1034">
        <f t="shared" si="30"/>
        <v>0</v>
      </c>
      <c r="I223" s="1034">
        <f t="shared" si="30"/>
        <v>0</v>
      </c>
      <c r="J223" s="590"/>
    </row>
    <row r="224" spans="3:10" x14ac:dyDescent="0.2">
      <c r="C224" t="str">
        <f t="shared" si="31"/>
        <v>Other - 2  (other 1-4 can be changed where)</v>
      </c>
      <c r="D224" s="65" t="s">
        <v>204</v>
      </c>
      <c r="E224" s="1034">
        <v>0</v>
      </c>
      <c r="F224" s="1034">
        <f t="shared" si="30"/>
        <v>0</v>
      </c>
      <c r="G224" s="1034">
        <f t="shared" ref="G224:I226" si="32">F224</f>
        <v>0</v>
      </c>
      <c r="H224" s="1034">
        <f t="shared" si="32"/>
        <v>0</v>
      </c>
      <c r="I224" s="1034">
        <f t="shared" si="32"/>
        <v>0</v>
      </c>
      <c r="J224" s="590"/>
    </row>
    <row r="225" spans="3:10" x14ac:dyDescent="0.2">
      <c r="C225" t="str">
        <f t="shared" si="31"/>
        <v>Other - 3   (feed ingredients first listed/priced)</v>
      </c>
      <c r="D225" s="65" t="s">
        <v>205</v>
      </c>
      <c r="E225" s="1034">
        <v>0</v>
      </c>
      <c r="F225" s="1034">
        <f>E225</f>
        <v>0</v>
      </c>
      <c r="G225" s="1034">
        <f t="shared" si="32"/>
        <v>0</v>
      </c>
      <c r="H225" s="1034">
        <f t="shared" si="32"/>
        <v>0</v>
      </c>
      <c r="I225" s="1034">
        <f t="shared" si="32"/>
        <v>0</v>
      </c>
      <c r="J225" s="590"/>
    </row>
    <row r="226" spans="3:10" ht="13.5" thickBot="1" x14ac:dyDescent="0.25">
      <c r="C226" t="str">
        <f t="shared" si="31"/>
        <v>Other - 4</v>
      </c>
      <c r="D226" s="65" t="s">
        <v>206</v>
      </c>
      <c r="E226" s="1038">
        <v>0</v>
      </c>
      <c r="F226" s="1038">
        <f>E226</f>
        <v>0</v>
      </c>
      <c r="G226" s="1038">
        <f t="shared" si="32"/>
        <v>0</v>
      </c>
      <c r="H226" s="1038">
        <f t="shared" si="32"/>
        <v>0</v>
      </c>
      <c r="I226" s="1038">
        <f t="shared" si="32"/>
        <v>0</v>
      </c>
      <c r="J226" s="590"/>
    </row>
    <row r="227" spans="3:10" ht="12" customHeight="1" x14ac:dyDescent="0.2">
      <c r="C227" s="1240" t="s">
        <v>945</v>
      </c>
      <c r="D227" s="1241" t="s">
        <v>11</v>
      </c>
      <c r="E227" s="1242">
        <f>(E215/(2204.62))*E$100+(E216/2204.62)*E$101+(E217/2204.62)*E$102+(E218/2204.62)*E$103+(E219/2204.62)*E$104+(E220/2204.62)*E$105+(E221/2204.62)*E$106+(E222/2204.62)*E$107+(E223/2204.62)*E$109+(E224/2204.62)*E$110+(E225/2204.62)*E$111+(E226/2204.62)*E$112</f>
        <v>0.35901878781830882</v>
      </c>
      <c r="F227" s="1242">
        <f>(F215/(2204.62))*F$100+(F216/2204.62)*F$101+(F217/2204.62)*F$102+(F218/2204.62)*F$103+(F219/2204.62)*F$104+(F220/2204.62)*F$105+(F221/2204.62)*F$106+(F222/2204.62)*F$107+(F223/2204.62)*F$109+(F224/2204.62)*F$110+(F225/2204.62)*F$111+(F226/2204.62)*F$112</f>
        <v>0.35901878781830882</v>
      </c>
      <c r="G227" s="1242">
        <f>(G215/(2204.62))*G$100+(G216/2204.62)*G$101+(G217/2204.62)*G$102+(G218/2204.62)*G$103+(G219/2204.62)*G$104+(G220/2204.62)*G$105+(G221/2204.62)*G$106+(G222/2204.62)*G$107+(G223/2204.62)*G$109+(G224/2204.62)*G$110+(G225/2204.62)*G$111+(G226/2204.62)*G$112</f>
        <v>0.35901878781830882</v>
      </c>
      <c r="H227" s="1242">
        <f>(H215/(2204.62))*H$100+(H216/2204.62)*H$101+(H217/2204.62)*H$102+(H218/2204.62)*H$103+(H219/2204.62)*H$104+(H220/2204.62)*H$105+(H221/2204.62)*H$106+(H222/2204.62)*H$107+(H223/2204.62)*H$109+(H224/2204.62)*H$110+(H225/2204.62)*H$111+(H226/2204.62)*H$112</f>
        <v>0.35901878781830882</v>
      </c>
      <c r="I227" s="1243">
        <f>(I215/(2204.62))*I$100+(I216/2204.62)*I$101+(I217/2204.62)*I$102+(I218/2204.62)*I$103+(I219/2204.62)*I$104+(I220/2204.62)*I$105+(I221/2204.62)*I$106+(I222/2204.62)*I$107+(I223/2204.62)*I$109+(I224/2204.62)*I$110+(I225/2204.62)*I$111+(I226/2204.62)*I$112</f>
        <v>0.35901878781830882</v>
      </c>
      <c r="J227" s="659"/>
    </row>
    <row r="228" spans="3:10" ht="12" customHeight="1" x14ac:dyDescent="0.2">
      <c r="C228" s="1244" t="s">
        <v>946</v>
      </c>
      <c r="D228" s="1245" t="s">
        <v>11</v>
      </c>
      <c r="E228" s="1246">
        <f>E213*E227</f>
        <v>83.292358773847639</v>
      </c>
      <c r="F228" s="1246">
        <f>F213*F227</f>
        <v>83.292358773847639</v>
      </c>
      <c r="G228" s="1246">
        <f>G213*G227</f>
        <v>83.292358773847639</v>
      </c>
      <c r="H228" s="1246">
        <f>H213*H227</f>
        <v>83.292358773847639</v>
      </c>
      <c r="I228" s="1247">
        <f>I213*I227</f>
        <v>83.292358773847639</v>
      </c>
      <c r="J228" s="659"/>
    </row>
    <row r="229" spans="3:10" ht="12" customHeight="1" thickBot="1" x14ac:dyDescent="0.25">
      <c r="C229" s="1248" t="s">
        <v>947</v>
      </c>
      <c r="D229" s="1249" t="s">
        <v>11</v>
      </c>
      <c r="E229" s="1250">
        <f>E17*E228</f>
        <v>832.92358773847639</v>
      </c>
      <c r="F229" s="1250">
        <f>F17*F228</f>
        <v>832.92358773847639</v>
      </c>
      <c r="G229" s="1250">
        <f>G17*G228</f>
        <v>832.92358773847639</v>
      </c>
      <c r="H229" s="1250">
        <f>H17*H228</f>
        <v>832.92358773847639</v>
      </c>
      <c r="I229" s="1251">
        <f>I17*I228</f>
        <v>832.92358773847639</v>
      </c>
      <c r="J229" s="659"/>
    </row>
    <row r="230" spans="3:10" ht="6" customHeight="1" x14ac:dyDescent="0.2">
      <c r="D230" s="72"/>
      <c r="E230" s="82"/>
      <c r="F230" s="82"/>
      <c r="G230" s="82"/>
      <c r="H230" s="82"/>
      <c r="I230" s="82"/>
    </row>
    <row r="231" spans="3:10" x14ac:dyDescent="0.2">
      <c r="C231" s="56" t="s">
        <v>479</v>
      </c>
      <c r="D231" s="72"/>
      <c r="E231" s="82"/>
      <c r="F231" s="82"/>
      <c r="G231" s="82"/>
      <c r="H231" s="82"/>
      <c r="I231" s="82"/>
    </row>
    <row r="232" spans="3:10" x14ac:dyDescent="0.2">
      <c r="C232" t="s">
        <v>344</v>
      </c>
      <c r="D232" s="65" t="s">
        <v>207</v>
      </c>
      <c r="E232" s="1026">
        <f>365-E213</f>
        <v>133</v>
      </c>
      <c r="F232" s="1026">
        <f>365-F213</f>
        <v>133</v>
      </c>
      <c r="G232" s="1026">
        <f>365-G213</f>
        <v>133</v>
      </c>
      <c r="H232" s="1026">
        <f>365-H213</f>
        <v>133</v>
      </c>
      <c r="I232" s="1026">
        <f>365-I213</f>
        <v>133</v>
      </c>
      <c r="J232" s="580"/>
    </row>
    <row r="233" spans="3:10" x14ac:dyDescent="0.2">
      <c r="C233" s="4" t="s">
        <v>736</v>
      </c>
      <c r="D233" s="65" t="s">
        <v>208</v>
      </c>
      <c r="E233" s="1023">
        <v>0.15</v>
      </c>
      <c r="F233" s="1023">
        <f>E233</f>
        <v>0.15</v>
      </c>
      <c r="G233" s="1023">
        <f>F233</f>
        <v>0.15</v>
      </c>
      <c r="H233" s="1023">
        <f>G233</f>
        <v>0.15</v>
      </c>
      <c r="I233" s="1023">
        <f>H233</f>
        <v>0.15</v>
      </c>
      <c r="J233" s="579"/>
    </row>
    <row r="234" spans="3:10" ht="12" customHeight="1" x14ac:dyDescent="0.2">
      <c r="C234" s="1239" t="s">
        <v>931</v>
      </c>
      <c r="D234" s="1237" t="s">
        <v>11</v>
      </c>
      <c r="E234" s="1238">
        <f>IF(E233&gt;0,E233*E232,0)</f>
        <v>19.95</v>
      </c>
      <c r="F234" s="1238">
        <f>IF(F233&gt;0,F233*F232,0)</f>
        <v>19.95</v>
      </c>
      <c r="G234" s="1238">
        <f>IF(G233&gt;0,G233*G232,0)</f>
        <v>19.95</v>
      </c>
      <c r="H234" s="1238">
        <f>IF(H233&gt;0,H233*H232,0)</f>
        <v>19.95</v>
      </c>
      <c r="I234" s="1238">
        <f>IF(I233&gt;0,I233*I232,0)</f>
        <v>19.95</v>
      </c>
      <c r="J234" s="82"/>
    </row>
    <row r="235" spans="3:10" ht="12" customHeight="1" x14ac:dyDescent="0.2">
      <c r="C235" s="1239" t="s">
        <v>932</v>
      </c>
      <c r="D235" s="1237" t="s">
        <v>11</v>
      </c>
      <c r="E235" s="1238">
        <f>IF(E234&gt;0,E234*E17,0)</f>
        <v>199.5</v>
      </c>
      <c r="F235" s="1238">
        <f>IF(F234&gt;0,F234*F17,0)</f>
        <v>199.5</v>
      </c>
      <c r="G235" s="1238">
        <f>IF(G234&gt;0,G234*G17,0)</f>
        <v>199.5</v>
      </c>
      <c r="H235" s="1238">
        <f>IF(H234&gt;0,H234*H17,0)</f>
        <v>199.5</v>
      </c>
      <c r="I235" s="1238">
        <f>IF(I234&gt;0,I234*I17,0)</f>
        <v>199.5</v>
      </c>
      <c r="J235" s="1115"/>
    </row>
    <row r="236" spans="3:10" ht="6" customHeight="1" x14ac:dyDescent="0.2">
      <c r="C236" s="4"/>
      <c r="D236" s="72"/>
      <c r="E236" s="392"/>
      <c r="F236" s="392"/>
      <c r="G236" s="392"/>
      <c r="H236" s="392"/>
      <c r="I236" s="392"/>
      <c r="J236" s="392"/>
    </row>
    <row r="237" spans="3:10" x14ac:dyDescent="0.2">
      <c r="C237" s="56" t="s">
        <v>243</v>
      </c>
      <c r="E237" s="65" t="str">
        <f>E$15</f>
        <v>Year #1</v>
      </c>
      <c r="F237" s="65" t="str">
        <f>F$15</f>
        <v>Year #2</v>
      </c>
      <c r="G237" s="65" t="str">
        <f>G$15</f>
        <v>Year #3</v>
      </c>
      <c r="H237" s="65" t="str">
        <f>H$15</f>
        <v>Year #4</v>
      </c>
      <c r="I237" s="65" t="str">
        <f>I$15</f>
        <v>Year #5</v>
      </c>
      <c r="J237" s="65"/>
    </row>
    <row r="238" spans="3:10" x14ac:dyDescent="0.2">
      <c r="C238" s="4" t="s">
        <v>242</v>
      </c>
      <c r="D238" s="65" t="s">
        <v>209</v>
      </c>
      <c r="E238" s="1032">
        <v>50</v>
      </c>
      <c r="F238" s="1032">
        <f>E238</f>
        <v>50</v>
      </c>
      <c r="G238" s="1032">
        <f>F238</f>
        <v>50</v>
      </c>
      <c r="H238" s="1032">
        <f>G238</f>
        <v>50</v>
      </c>
      <c r="I238" s="1032">
        <f>H238</f>
        <v>50</v>
      </c>
      <c r="J238" s="589"/>
    </row>
    <row r="239" spans="3:10" x14ac:dyDescent="0.2">
      <c r="C239" s="4" t="s">
        <v>361</v>
      </c>
      <c r="D239" s="65" t="s">
        <v>210</v>
      </c>
      <c r="E239" s="972">
        <f>E39</f>
        <v>1080</v>
      </c>
      <c r="F239" s="972">
        <f>F39</f>
        <v>1080</v>
      </c>
      <c r="G239" s="972">
        <f>G39</f>
        <v>1080</v>
      </c>
      <c r="H239" s="972">
        <f>H39</f>
        <v>1080</v>
      </c>
      <c r="I239" s="972">
        <f>I39</f>
        <v>1080</v>
      </c>
      <c r="J239" s="572"/>
    </row>
    <row r="240" spans="3:10" x14ac:dyDescent="0.2">
      <c r="C240" s="1033" t="s">
        <v>909</v>
      </c>
      <c r="D240" s="65"/>
      <c r="E240" s="65" t="s">
        <v>20</v>
      </c>
      <c r="F240" s="65" t="s">
        <v>20</v>
      </c>
      <c r="G240" s="65" t="s">
        <v>20</v>
      </c>
      <c r="H240" s="65" t="s">
        <v>20</v>
      </c>
      <c r="I240" s="65" t="s">
        <v>20</v>
      </c>
      <c r="J240" s="36"/>
    </row>
    <row r="241" spans="3:12" x14ac:dyDescent="0.2">
      <c r="C241" t="str">
        <f>C124</f>
        <v>Barley</v>
      </c>
      <c r="D241" s="65" t="s">
        <v>211</v>
      </c>
      <c r="E241" s="1034">
        <v>0</v>
      </c>
      <c r="F241" s="1034">
        <f t="shared" ref="F241:I253" si="33">E241</f>
        <v>0</v>
      </c>
      <c r="G241" s="1034">
        <f t="shared" si="33"/>
        <v>0</v>
      </c>
      <c r="H241" s="1034">
        <f t="shared" si="33"/>
        <v>0</v>
      </c>
      <c r="I241" s="1034">
        <f t="shared" si="33"/>
        <v>0</v>
      </c>
      <c r="J241" s="590"/>
    </row>
    <row r="242" spans="3:12" x14ac:dyDescent="0.2">
      <c r="C242" t="str">
        <f>C125</f>
        <v>Hay</v>
      </c>
      <c r="D242" s="65" t="s">
        <v>212</v>
      </c>
      <c r="E242" s="1034">
        <v>0</v>
      </c>
      <c r="F242" s="1034">
        <f t="shared" si="33"/>
        <v>0</v>
      </c>
      <c r="G242" s="1034">
        <f t="shared" si="33"/>
        <v>0</v>
      </c>
      <c r="H242" s="1034">
        <f t="shared" si="33"/>
        <v>0</v>
      </c>
      <c r="I242" s="1034">
        <f t="shared" si="33"/>
        <v>0</v>
      </c>
      <c r="J242" s="590"/>
    </row>
    <row r="243" spans="3:12" x14ac:dyDescent="0.2">
      <c r="C243" t="str">
        <f>C126</f>
        <v>Creep Feed - Lambs ($/tonne)</v>
      </c>
      <c r="D243" s="65" t="s">
        <v>213</v>
      </c>
      <c r="E243" s="1034">
        <v>1</v>
      </c>
      <c r="F243" s="1034">
        <f t="shared" si="33"/>
        <v>1</v>
      </c>
      <c r="G243" s="1034">
        <f t="shared" si="33"/>
        <v>1</v>
      </c>
      <c r="H243" s="1034">
        <f t="shared" si="33"/>
        <v>1</v>
      </c>
      <c r="I243" s="1034">
        <f t="shared" si="33"/>
        <v>1</v>
      </c>
      <c r="J243" s="590"/>
    </row>
    <row r="244" spans="3:12" x14ac:dyDescent="0.2">
      <c r="C244" t="s">
        <v>673</v>
      </c>
      <c r="D244" s="65" t="s">
        <v>214</v>
      </c>
      <c r="E244" s="1034">
        <v>0</v>
      </c>
      <c r="F244" s="1034">
        <f t="shared" si="33"/>
        <v>0</v>
      </c>
      <c r="G244" s="1034">
        <f t="shared" si="33"/>
        <v>0</v>
      </c>
      <c r="H244" s="1034">
        <f t="shared" si="33"/>
        <v>0</v>
      </c>
      <c r="I244" s="1034">
        <f t="shared" si="33"/>
        <v>0</v>
      </c>
      <c r="J244" s="590"/>
    </row>
    <row r="245" spans="3:12" x14ac:dyDescent="0.2">
      <c r="C245" t="str">
        <f>C128</f>
        <v>Straw</v>
      </c>
      <c r="D245" s="65" t="s">
        <v>215</v>
      </c>
      <c r="E245" s="1034">
        <v>0</v>
      </c>
      <c r="F245" s="1034">
        <f t="shared" si="33"/>
        <v>0</v>
      </c>
      <c r="G245" s="1034">
        <f t="shared" si="33"/>
        <v>0</v>
      </c>
      <c r="H245" s="1034">
        <f t="shared" si="33"/>
        <v>0</v>
      </c>
      <c r="I245" s="1034">
        <f t="shared" si="33"/>
        <v>0</v>
      </c>
      <c r="J245" s="590"/>
    </row>
    <row r="246" spans="3:12" x14ac:dyDescent="0.2">
      <c r="C246" t="str">
        <f>C129</f>
        <v>Supplements</v>
      </c>
      <c r="D246" s="65" t="s">
        <v>244</v>
      </c>
      <c r="E246" s="1034">
        <v>0</v>
      </c>
      <c r="F246" s="1034">
        <f t="shared" si="33"/>
        <v>0</v>
      </c>
      <c r="G246" s="1034">
        <f t="shared" si="33"/>
        <v>0</v>
      </c>
      <c r="H246" s="1034">
        <f t="shared" si="33"/>
        <v>0</v>
      </c>
      <c r="I246" s="1034">
        <f t="shared" si="33"/>
        <v>0</v>
      </c>
      <c r="J246" s="590"/>
    </row>
    <row r="247" spans="3:12" x14ac:dyDescent="0.2">
      <c r="C247" t="str">
        <f>C130</f>
        <v>Salt/Mineral Mix</v>
      </c>
      <c r="D247" s="65" t="s">
        <v>245</v>
      </c>
      <c r="E247" s="1034">
        <v>0</v>
      </c>
      <c r="F247" s="1034">
        <f t="shared" si="33"/>
        <v>0</v>
      </c>
      <c r="G247" s="1034">
        <f t="shared" si="33"/>
        <v>0</v>
      </c>
      <c r="H247" s="1034">
        <f t="shared" si="33"/>
        <v>0</v>
      </c>
      <c r="I247" s="1034">
        <f t="shared" si="33"/>
        <v>0</v>
      </c>
      <c r="J247" s="590"/>
    </row>
    <row r="248" spans="3:12" x14ac:dyDescent="0.2">
      <c r="C248" t="str">
        <f>C131</f>
        <v>Vitamins</v>
      </c>
      <c r="D248" s="65" t="s">
        <v>246</v>
      </c>
      <c r="E248" s="1034">
        <v>0</v>
      </c>
      <c r="F248" s="1034">
        <f t="shared" si="33"/>
        <v>0</v>
      </c>
      <c r="G248" s="1034">
        <f t="shared" si="33"/>
        <v>0</v>
      </c>
      <c r="H248" s="1034">
        <f t="shared" si="33"/>
        <v>0</v>
      </c>
      <c r="I248" s="1034">
        <f t="shared" si="33"/>
        <v>0</v>
      </c>
      <c r="J248" s="590"/>
      <c r="K248" s="503"/>
    </row>
    <row r="249" spans="3:12" x14ac:dyDescent="0.2">
      <c r="C249" s="1044" t="s">
        <v>915</v>
      </c>
      <c r="D249" s="65" t="s">
        <v>247</v>
      </c>
      <c r="E249" s="1034">
        <v>0.4</v>
      </c>
      <c r="F249" s="1034">
        <f>E249</f>
        <v>0.4</v>
      </c>
      <c r="G249" s="1034">
        <f t="shared" si="33"/>
        <v>0.4</v>
      </c>
      <c r="H249" s="1034">
        <f t="shared" si="33"/>
        <v>0.4</v>
      </c>
      <c r="I249" s="1034">
        <f t="shared" si="33"/>
        <v>0.4</v>
      </c>
      <c r="J249" s="590"/>
      <c r="K249" s="73"/>
      <c r="L249" s="73"/>
    </row>
    <row r="250" spans="3:12" x14ac:dyDescent="0.2">
      <c r="C250" t="str">
        <f>C132</f>
        <v>Other - 1</v>
      </c>
      <c r="D250" s="65" t="s">
        <v>248</v>
      </c>
      <c r="E250" s="1034">
        <v>0</v>
      </c>
      <c r="F250" s="1034">
        <f t="shared" si="33"/>
        <v>0</v>
      </c>
      <c r="G250" s="1034">
        <f t="shared" si="33"/>
        <v>0</v>
      </c>
      <c r="H250" s="1034">
        <f t="shared" si="33"/>
        <v>0</v>
      </c>
      <c r="I250" s="1034">
        <f t="shared" si="33"/>
        <v>0</v>
      </c>
      <c r="J250" s="590"/>
    </row>
    <row r="251" spans="3:12" x14ac:dyDescent="0.2">
      <c r="C251" t="str">
        <f>C133</f>
        <v>Other - 2  (other 1-4 can be changed where)</v>
      </c>
      <c r="D251" s="65" t="s">
        <v>249</v>
      </c>
      <c r="E251" s="1034">
        <v>0</v>
      </c>
      <c r="F251" s="1034">
        <f t="shared" si="33"/>
        <v>0</v>
      </c>
      <c r="G251" s="1034">
        <f t="shared" si="33"/>
        <v>0</v>
      </c>
      <c r="H251" s="1034">
        <f t="shared" si="33"/>
        <v>0</v>
      </c>
      <c r="I251" s="1034">
        <f t="shared" si="33"/>
        <v>0</v>
      </c>
      <c r="J251" s="590"/>
    </row>
    <row r="252" spans="3:12" x14ac:dyDescent="0.2">
      <c r="C252" t="str">
        <f>C134</f>
        <v>Other - 3   (feed ingredients first listed/priced)</v>
      </c>
      <c r="D252" s="65" t="s">
        <v>250</v>
      </c>
      <c r="E252" s="1034">
        <v>0</v>
      </c>
      <c r="F252" s="1034">
        <f t="shared" si="33"/>
        <v>0</v>
      </c>
      <c r="G252" s="1034">
        <f t="shared" si="33"/>
        <v>0</v>
      </c>
      <c r="H252" s="1034">
        <f t="shared" si="33"/>
        <v>0</v>
      </c>
      <c r="I252" s="1034">
        <f t="shared" si="33"/>
        <v>0</v>
      </c>
      <c r="J252" s="590"/>
    </row>
    <row r="253" spans="3:12" x14ac:dyDescent="0.2">
      <c r="C253" t="str">
        <f>C135</f>
        <v>Other - 4</v>
      </c>
      <c r="D253" s="65" t="s">
        <v>251</v>
      </c>
      <c r="E253" s="1113">
        <v>0</v>
      </c>
      <c r="F253" s="1113">
        <f t="shared" si="33"/>
        <v>0</v>
      </c>
      <c r="G253" s="1113">
        <f t="shared" si="33"/>
        <v>0</v>
      </c>
      <c r="H253" s="1113">
        <f t="shared" si="33"/>
        <v>0</v>
      </c>
      <c r="I253" s="1113">
        <f t="shared" si="33"/>
        <v>0</v>
      </c>
      <c r="J253" s="590"/>
    </row>
    <row r="254" spans="3:12" ht="12" customHeight="1" x14ac:dyDescent="0.2">
      <c r="C254" s="1239" t="s">
        <v>917</v>
      </c>
      <c r="D254" s="1237" t="s">
        <v>11</v>
      </c>
      <c r="E254" s="1238">
        <f>(E241/(2204.62))*E$100+(E242/2204.62)*E$101+(E243/2204.62)*E$102+(E244/2204.62)*E$103+(E245/2204.62)*E$104+(E246/2204.62)*E$105+(E247/2204.62)*E$106+(E248/2204.62)*E$107+(E322/E239)/E238+(E250/2204.62)*E$109+(E251/2204.62)*E$110+(E252/2204.62)*$E111+(E253/2204.62)*E$112</f>
        <v>0.41730547668078855</v>
      </c>
      <c r="F254" s="1238">
        <f>(F241/(2204.62))*F$100+(F242/2204.62)*F$101+(F243/2204.62)*F$102+(F244/2204.62)*F$103+(F245/2204.62)*F$104+(F246/2204.62)*F$105+(F247/2204.62)*F$106+(F248/2204.62)*F$107+(F322/F239)/F238+(F250/2204.62)*F$109+(F251/2204.62)*F$110+(F252/2204.62)*$E111+(F253/2204.62)*F$112</f>
        <v>0.41730547668078855</v>
      </c>
      <c r="G254" s="1238">
        <f>(G241/(2204.62))*G$100+(G242/2204.62)*G$101+(G243/2204.62)*G$102+(G244/2204.62)*G$103+(G245/2204.62)*G$104+(G246/2204.62)*G$105+(G247/2204.62)*G$106+(G248/2204.62)*G$107+(G322/G239)/G238+(G250/2204.62)*G$109+(G251/2204.62)*G$110+(G252/2204.62)*$E111+(G253/2204.62)*G$112</f>
        <v>0.41730547668078855</v>
      </c>
      <c r="H254" s="1238">
        <f>(H241/(2204.62))*H$100+(H242/2204.62)*H$101+(H243/2204.62)*H$102+(H244/2204.62)*H$103+(H245/2204.62)*H$104+(H246/2204.62)*H$105+(H247/2204.62)*H$106+(H248/2204.62)*H$107+(H322/H239)/H238+(H250/2204.62)*H$109+(H251/2204.62)*H$110+(H252/2204.62)*$E111+(H253/2204.62)*H$112</f>
        <v>0.41730547668078855</v>
      </c>
      <c r="I254" s="1238">
        <f>(I241/(2204.62))*I$100+(I242/2204.62)*I$101+(I243/2204.62)*I$102+(I244/2204.62)*I$103+(I245/2204.62)*I$104+(I246/2204.62)*I$105+(I247/2204.62)*I$106+(I248/2204.62)*I$107+(I322/I239)/I238+(I250/2204.62)*I$109+(I251/2204.62)*I$110+(I252/2204.62)*$E111+(I253/2204.62)*I$112</f>
        <v>0.41730547668078855</v>
      </c>
      <c r="J254" s="82"/>
    </row>
    <row r="255" spans="3:12" ht="12" customHeight="1" x14ac:dyDescent="0.2">
      <c r="C255" s="1239" t="s">
        <v>916</v>
      </c>
      <c r="D255" s="1237" t="s">
        <v>11</v>
      </c>
      <c r="E255" s="1238">
        <f>E238*E254</f>
        <v>20.865273834039428</v>
      </c>
      <c r="F255" s="1238">
        <f>F238*F254</f>
        <v>20.865273834039428</v>
      </c>
      <c r="G255" s="1238">
        <f>G238*G254</f>
        <v>20.865273834039428</v>
      </c>
      <c r="H255" s="1238">
        <f>H238*H254</f>
        <v>20.865273834039428</v>
      </c>
      <c r="I255" s="1238">
        <f>I238*I254</f>
        <v>20.865273834039428</v>
      </c>
      <c r="J255" s="82"/>
      <c r="K255" s="73"/>
    </row>
    <row r="256" spans="3:12" ht="6" customHeight="1" x14ac:dyDescent="0.2">
      <c r="D256" s="72"/>
      <c r="E256" s="82"/>
      <c r="F256" s="82"/>
      <c r="G256" s="82"/>
      <c r="H256" s="82"/>
      <c r="I256" s="82"/>
    </row>
    <row r="257" spans="3:10" x14ac:dyDescent="0.2">
      <c r="C257" s="56" t="s">
        <v>243</v>
      </c>
      <c r="E257" s="65" t="str">
        <f>E$15</f>
        <v>Year #1</v>
      </c>
      <c r="F257" s="65" t="str">
        <f>F$15</f>
        <v>Year #2</v>
      </c>
      <c r="G257" s="65" t="str">
        <f>G$15</f>
        <v>Year #3</v>
      </c>
      <c r="H257" s="65" t="str">
        <f>H$15</f>
        <v>Year #4</v>
      </c>
      <c r="I257" s="65" t="str">
        <f>I$15</f>
        <v>Year #5</v>
      </c>
      <c r="J257" s="65"/>
    </row>
    <row r="258" spans="3:10" x14ac:dyDescent="0.2">
      <c r="C258" s="4" t="s">
        <v>242</v>
      </c>
      <c r="D258" s="65" t="s">
        <v>252</v>
      </c>
      <c r="E258" s="1032">
        <v>35</v>
      </c>
      <c r="F258" s="1032">
        <f>E258</f>
        <v>35</v>
      </c>
      <c r="G258" s="1032">
        <f>F258</f>
        <v>35</v>
      </c>
      <c r="H258" s="1032">
        <f>G258</f>
        <v>35</v>
      </c>
      <c r="I258" s="1032">
        <f>H258</f>
        <v>35</v>
      </c>
      <c r="J258" s="589"/>
    </row>
    <row r="259" spans="3:10" x14ac:dyDescent="0.2">
      <c r="C259" s="4" t="s">
        <v>362</v>
      </c>
      <c r="D259" s="65" t="s">
        <v>253</v>
      </c>
      <c r="E259" s="972">
        <f>(E239+E42)/2</f>
        <v>1026</v>
      </c>
      <c r="F259" s="972">
        <f>(F239+F42)/2</f>
        <v>1026</v>
      </c>
      <c r="G259" s="972">
        <f>(G239+G42)/2</f>
        <v>1026</v>
      </c>
      <c r="H259" s="972">
        <f>(H239+H42)/2</f>
        <v>1026</v>
      </c>
      <c r="I259" s="972">
        <f>(I239+I42)/2</f>
        <v>1026</v>
      </c>
      <c r="J259" s="572"/>
    </row>
    <row r="260" spans="3:10" x14ac:dyDescent="0.2">
      <c r="C260" s="1033" t="s">
        <v>910</v>
      </c>
      <c r="D260" s="65"/>
      <c r="E260" s="36" t="s">
        <v>20</v>
      </c>
      <c r="F260" s="36" t="s">
        <v>20</v>
      </c>
      <c r="G260" s="36" t="s">
        <v>20</v>
      </c>
      <c r="H260" s="36" t="s">
        <v>20</v>
      </c>
      <c r="I260" s="36" t="s">
        <v>20</v>
      </c>
      <c r="J260" s="36"/>
    </row>
    <row r="261" spans="3:10" x14ac:dyDescent="0.2">
      <c r="C261" t="str">
        <f>C124</f>
        <v>Barley</v>
      </c>
      <c r="D261" s="65" t="s">
        <v>254</v>
      </c>
      <c r="E261" s="1034">
        <v>1.2</v>
      </c>
      <c r="F261" s="1034">
        <f t="shared" ref="F261:I273" si="34">E261</f>
        <v>1.2</v>
      </c>
      <c r="G261" s="1034">
        <f t="shared" si="34"/>
        <v>1.2</v>
      </c>
      <c r="H261" s="1034">
        <f t="shared" si="34"/>
        <v>1.2</v>
      </c>
      <c r="I261" s="1034">
        <f t="shared" si="34"/>
        <v>1.2</v>
      </c>
      <c r="J261" s="590"/>
    </row>
    <row r="262" spans="3:10" x14ac:dyDescent="0.2">
      <c r="C262" t="str">
        <f>C125</f>
        <v>Hay</v>
      </c>
      <c r="D262" s="65" t="s">
        <v>255</v>
      </c>
      <c r="E262" s="1034">
        <v>0.8</v>
      </c>
      <c r="F262" s="1034">
        <f t="shared" si="34"/>
        <v>0.8</v>
      </c>
      <c r="G262" s="1034">
        <f t="shared" si="34"/>
        <v>0.8</v>
      </c>
      <c r="H262" s="1034">
        <f t="shared" si="34"/>
        <v>0.8</v>
      </c>
      <c r="I262" s="1034">
        <f t="shared" si="34"/>
        <v>0.8</v>
      </c>
      <c r="J262" s="590"/>
    </row>
    <row r="263" spans="3:10" x14ac:dyDescent="0.2">
      <c r="C263" t="str">
        <f>C126</f>
        <v>Creep Feed - Lambs ($/tonne)</v>
      </c>
      <c r="D263" s="65" t="s">
        <v>256</v>
      </c>
      <c r="E263" s="1034">
        <v>0</v>
      </c>
      <c r="F263" s="1034">
        <f t="shared" si="34"/>
        <v>0</v>
      </c>
      <c r="G263" s="1034">
        <f t="shared" si="34"/>
        <v>0</v>
      </c>
      <c r="H263" s="1034">
        <f t="shared" si="34"/>
        <v>0</v>
      </c>
      <c r="I263" s="1034">
        <f t="shared" si="34"/>
        <v>0</v>
      </c>
      <c r="J263" s="590"/>
    </row>
    <row r="264" spans="3:10" x14ac:dyDescent="0.2">
      <c r="C264" t="s">
        <v>673</v>
      </c>
      <c r="D264" s="65" t="s">
        <v>257</v>
      </c>
      <c r="E264" s="1034">
        <v>0</v>
      </c>
      <c r="F264" s="1034">
        <f t="shared" si="34"/>
        <v>0</v>
      </c>
      <c r="G264" s="1034">
        <f t="shared" si="34"/>
        <v>0</v>
      </c>
      <c r="H264" s="1034">
        <f t="shared" si="34"/>
        <v>0</v>
      </c>
      <c r="I264" s="1034">
        <f t="shared" si="34"/>
        <v>0</v>
      </c>
      <c r="J264" s="590"/>
    </row>
    <row r="265" spans="3:10" x14ac:dyDescent="0.2">
      <c r="C265" t="str">
        <f>C128</f>
        <v>Straw</v>
      </c>
      <c r="D265" s="65" t="s">
        <v>258</v>
      </c>
      <c r="E265" s="1034">
        <v>0</v>
      </c>
      <c r="F265" s="1034">
        <f t="shared" si="34"/>
        <v>0</v>
      </c>
      <c r="G265" s="1034">
        <f t="shared" si="34"/>
        <v>0</v>
      </c>
      <c r="H265" s="1034">
        <f t="shared" si="34"/>
        <v>0</v>
      </c>
      <c r="I265" s="1034">
        <f t="shared" si="34"/>
        <v>0</v>
      </c>
      <c r="J265" s="590"/>
    </row>
    <row r="266" spans="3:10" x14ac:dyDescent="0.2">
      <c r="C266" t="str">
        <f>C129</f>
        <v>Supplements</v>
      </c>
      <c r="D266" s="65" t="s">
        <v>259</v>
      </c>
      <c r="E266" s="1034">
        <v>0</v>
      </c>
      <c r="F266" s="1034">
        <f t="shared" si="34"/>
        <v>0</v>
      </c>
      <c r="G266" s="1034">
        <f t="shared" si="34"/>
        <v>0</v>
      </c>
      <c r="H266" s="1034">
        <f t="shared" si="34"/>
        <v>0</v>
      </c>
      <c r="I266" s="1034">
        <f t="shared" si="34"/>
        <v>0</v>
      </c>
      <c r="J266" s="590"/>
    </row>
    <row r="267" spans="3:10" x14ac:dyDescent="0.2">
      <c r="C267" t="str">
        <f>C130</f>
        <v>Salt/Mineral Mix</v>
      </c>
      <c r="D267" s="65" t="s">
        <v>260</v>
      </c>
      <c r="E267" s="1034">
        <v>0.01</v>
      </c>
      <c r="F267" s="1034">
        <f t="shared" si="34"/>
        <v>0.01</v>
      </c>
      <c r="G267" s="1034">
        <f t="shared" si="34"/>
        <v>0.01</v>
      </c>
      <c r="H267" s="1034">
        <f t="shared" si="34"/>
        <v>0.01</v>
      </c>
      <c r="I267" s="1034">
        <f t="shared" si="34"/>
        <v>0.01</v>
      </c>
      <c r="J267" s="590"/>
    </row>
    <row r="268" spans="3:10" x14ac:dyDescent="0.2">
      <c r="C268" t="str">
        <f>C131</f>
        <v>Vitamins</v>
      </c>
      <c r="D268" s="65" t="s">
        <v>261</v>
      </c>
      <c r="E268" s="1034">
        <v>0</v>
      </c>
      <c r="F268" s="1034">
        <f t="shared" si="34"/>
        <v>0</v>
      </c>
      <c r="G268" s="1034">
        <f t="shared" si="34"/>
        <v>0</v>
      </c>
      <c r="H268" s="1034">
        <f t="shared" si="34"/>
        <v>0</v>
      </c>
      <c r="I268" s="1034">
        <f t="shared" si="34"/>
        <v>0</v>
      </c>
      <c r="J268" s="590"/>
    </row>
    <row r="269" spans="3:10" x14ac:dyDescent="0.2">
      <c r="C269" t="str">
        <f>C249</f>
        <v>Milk Replacer (lbs/day, days on milk Input#83)</v>
      </c>
      <c r="D269" s="65" t="s">
        <v>262</v>
      </c>
      <c r="E269" s="1034">
        <v>0</v>
      </c>
      <c r="F269" s="1034">
        <f>E269</f>
        <v>0</v>
      </c>
      <c r="G269" s="1034">
        <f t="shared" si="34"/>
        <v>0</v>
      </c>
      <c r="H269" s="1034">
        <f t="shared" si="34"/>
        <v>0</v>
      </c>
      <c r="I269" s="1034">
        <f t="shared" si="34"/>
        <v>0</v>
      </c>
      <c r="J269" s="590"/>
    </row>
    <row r="270" spans="3:10" x14ac:dyDescent="0.2">
      <c r="C270" t="str">
        <f>C132</f>
        <v>Other - 1</v>
      </c>
      <c r="D270" s="65" t="s">
        <v>263</v>
      </c>
      <c r="E270" s="1034">
        <v>0</v>
      </c>
      <c r="F270" s="1034">
        <f t="shared" si="34"/>
        <v>0</v>
      </c>
      <c r="G270" s="1034">
        <f t="shared" si="34"/>
        <v>0</v>
      </c>
      <c r="H270" s="1034">
        <f t="shared" si="34"/>
        <v>0</v>
      </c>
      <c r="I270" s="1034">
        <f t="shared" si="34"/>
        <v>0</v>
      </c>
      <c r="J270" s="590"/>
    </row>
    <row r="271" spans="3:10" x14ac:dyDescent="0.2">
      <c r="C271" t="str">
        <f>C133</f>
        <v>Other - 2  (other 1-4 can be changed where)</v>
      </c>
      <c r="D271" s="65" t="s">
        <v>264</v>
      </c>
      <c r="E271" s="1034">
        <v>0</v>
      </c>
      <c r="F271" s="1034">
        <f t="shared" si="34"/>
        <v>0</v>
      </c>
      <c r="G271" s="1034">
        <f t="shared" si="34"/>
        <v>0</v>
      </c>
      <c r="H271" s="1034">
        <f t="shared" si="34"/>
        <v>0</v>
      </c>
      <c r="I271" s="1034">
        <f t="shared" si="34"/>
        <v>0</v>
      </c>
      <c r="J271" s="590"/>
    </row>
    <row r="272" spans="3:10" x14ac:dyDescent="0.2">
      <c r="C272" t="str">
        <f>C134</f>
        <v>Other - 3   (feed ingredients first listed/priced)</v>
      </c>
      <c r="D272" s="65" t="s">
        <v>265</v>
      </c>
      <c r="E272" s="1034">
        <v>0</v>
      </c>
      <c r="F272" s="1034">
        <f t="shared" si="34"/>
        <v>0</v>
      </c>
      <c r="G272" s="1034">
        <f t="shared" si="34"/>
        <v>0</v>
      </c>
      <c r="H272" s="1034">
        <f t="shared" si="34"/>
        <v>0</v>
      </c>
      <c r="I272" s="1034">
        <f t="shared" si="34"/>
        <v>0</v>
      </c>
      <c r="J272" s="590"/>
    </row>
    <row r="273" spans="3:10" x14ac:dyDescent="0.2">
      <c r="C273" t="str">
        <f>C135</f>
        <v>Other - 4</v>
      </c>
      <c r="D273" s="65" t="s">
        <v>266</v>
      </c>
      <c r="E273" s="1034">
        <v>0</v>
      </c>
      <c r="F273" s="1034">
        <f t="shared" si="34"/>
        <v>0</v>
      </c>
      <c r="G273" s="1034">
        <f t="shared" si="34"/>
        <v>0</v>
      </c>
      <c r="H273" s="1034">
        <f t="shared" si="34"/>
        <v>0</v>
      </c>
      <c r="I273" s="1034">
        <f t="shared" si="34"/>
        <v>0</v>
      </c>
      <c r="J273" s="590"/>
    </row>
    <row r="274" spans="3:10" ht="12" customHeight="1" x14ac:dyDescent="0.2">
      <c r="C274" s="1236" t="s">
        <v>151</v>
      </c>
      <c r="D274" s="1237" t="s">
        <v>11</v>
      </c>
      <c r="E274" s="1238">
        <f>(E261/(2204.62))*E$100+(E262/2204.62)*E$101+(E263/2204.62)*E$102+(E264/2204.62)*E$103+(E265/2204.62)*E$104+(E266/2204.62)*E$105+(E267/2204.62)*E$106+(E268/2204.62)*E$107+(E269/2204.62)*E$108+(E270/2204.62)*E$109+(E271/2204.62)*E$110+(E272/2204.62)*$E251+(E273/2204.62)*E$112</f>
        <v>0.182571146047845</v>
      </c>
      <c r="F274" s="1238">
        <f>(F261/(2204.62))*F$100+(F262/2204.62)*F$101+(F263/2204.62)*F$102+(F264/2204.62)*F$103+(F265/2204.62)*F$104+(F266/2204.62)*F$105+(F267/2204.62)*F$106+(F268/2204.62)*F$107+(F269/2204.62)*F$108+(F270/2204.62)*F$109+(F271/2204.62)*F$110+(F272/2204.62)*$E251+(F273/2204.62)*F$112</f>
        <v>0.182571146047845</v>
      </c>
      <c r="G274" s="1238">
        <f>(G261/(2204.62))*G$100+(G262/2204.62)*G$101+(G263/2204.62)*G$102+(G264/2204.62)*G$103+(G265/2204.62)*G$104+(G266/2204.62)*G$105+(G267/2204.62)*G$106+(G268/2204.62)*G$107+(G269/2204.62)*G$108+(G270/2204.62)*G$109+(G271/2204.62)*G$110+(G272/2204.62)*$E251+(G273/2204.62)*G$112</f>
        <v>0.182571146047845</v>
      </c>
      <c r="H274" s="1238">
        <f>(H261/(2204.62))*H$100+(H262/2204.62)*H$101+(H263/2204.62)*H$102+(H264/2204.62)*H$103+(H265/2204.62)*H$104+(H266/2204.62)*H$105+(H267/2204.62)*H$106+(H268/2204.62)*H$107+(H269/2204.62)*H$108+(H270/2204.62)*H$109+(H271/2204.62)*H$110+(H272/2204.62)*$E251+(H273/2204.62)*H$112</f>
        <v>0.182571146047845</v>
      </c>
      <c r="I274" s="1238">
        <f>(I261/(2204.62))*I$100+(I262/2204.62)*I$101+(I263/2204.62)*I$102+(I264/2204.62)*I$103+(I265/2204.62)*I$104+(I266/2204.62)*I$105+(I267/2204.62)*I$106+(I268/2204.62)*I$107+(I269/2204.62)*I$108+(I270/2204.62)*I$109+(I271/2204.62)*I$110+(I272/2204.62)*$E251+(I273/2204.62)*I$112</f>
        <v>0.182571146047845</v>
      </c>
      <c r="J274" s="82"/>
    </row>
    <row r="275" spans="3:10" ht="12" customHeight="1" x14ac:dyDescent="0.2">
      <c r="C275" s="1236" t="s">
        <v>171</v>
      </c>
      <c r="D275" s="1237" t="s">
        <v>11</v>
      </c>
      <c r="E275" s="1238">
        <f>E258*E274</f>
        <v>6.3899901116745745</v>
      </c>
      <c r="F275" s="1238">
        <f>F258*F274</f>
        <v>6.3899901116745745</v>
      </c>
      <c r="G275" s="1238">
        <f>G258*G274</f>
        <v>6.3899901116745745</v>
      </c>
      <c r="H275" s="1238">
        <f>H258*H274</f>
        <v>6.3899901116745745</v>
      </c>
      <c r="I275" s="1238">
        <f>I258*I274</f>
        <v>6.3899901116745745</v>
      </c>
      <c r="J275" s="82"/>
    </row>
    <row r="276" spans="3:10" ht="6" customHeight="1" x14ac:dyDescent="0.2">
      <c r="D276" s="72"/>
      <c r="E276" s="82"/>
      <c r="F276" s="82"/>
      <c r="G276" s="82"/>
      <c r="H276" s="82"/>
      <c r="I276" s="82"/>
    </row>
    <row r="277" spans="3:10" x14ac:dyDescent="0.2">
      <c r="C277" s="56" t="s">
        <v>243</v>
      </c>
      <c r="E277" s="65" t="str">
        <f>E$15</f>
        <v>Year #1</v>
      </c>
      <c r="F277" s="65" t="str">
        <f>F$15</f>
        <v>Year #2</v>
      </c>
      <c r="G277" s="65" t="str">
        <f>G$15</f>
        <v>Year #3</v>
      </c>
      <c r="H277" s="65" t="str">
        <f>H$15</f>
        <v>Year #4</v>
      </c>
      <c r="I277" s="65" t="str">
        <f>I$15</f>
        <v>Year #5</v>
      </c>
      <c r="J277" s="65"/>
    </row>
    <row r="278" spans="3:10" x14ac:dyDescent="0.2">
      <c r="C278" s="4" t="s">
        <v>242</v>
      </c>
      <c r="D278" s="65" t="s">
        <v>267</v>
      </c>
      <c r="E278" s="1032">
        <v>70</v>
      </c>
      <c r="F278" s="1032">
        <f>E278</f>
        <v>70</v>
      </c>
      <c r="G278" s="1032">
        <f>F278</f>
        <v>70</v>
      </c>
      <c r="H278" s="1032">
        <f t="shared" ref="H278:I278" si="35">G278</f>
        <v>70</v>
      </c>
      <c r="I278" s="1032">
        <f t="shared" si="35"/>
        <v>70</v>
      </c>
      <c r="J278" s="589"/>
    </row>
    <row r="279" spans="3:10" x14ac:dyDescent="0.2">
      <c r="C279" s="4" t="s">
        <v>363</v>
      </c>
      <c r="D279" s="65" t="s">
        <v>268</v>
      </c>
      <c r="E279" s="972">
        <f>E42</f>
        <v>972</v>
      </c>
      <c r="F279" s="972">
        <f>F42</f>
        <v>972</v>
      </c>
      <c r="G279" s="972">
        <f>G42</f>
        <v>972</v>
      </c>
      <c r="H279" s="972">
        <f>H42</f>
        <v>972</v>
      </c>
      <c r="I279" s="972">
        <f>I42</f>
        <v>972</v>
      </c>
      <c r="J279" s="572"/>
    </row>
    <row r="280" spans="3:10" x14ac:dyDescent="0.2">
      <c r="C280" s="1033" t="s">
        <v>911</v>
      </c>
      <c r="D280" s="65"/>
      <c r="E280" s="36" t="s">
        <v>20</v>
      </c>
      <c r="F280" s="36" t="s">
        <v>20</v>
      </c>
      <c r="G280" s="36" t="s">
        <v>20</v>
      </c>
      <c r="H280" s="36" t="s">
        <v>20</v>
      </c>
      <c r="I280" s="36" t="s">
        <v>20</v>
      </c>
      <c r="J280" s="36"/>
    </row>
    <row r="281" spans="3:10" x14ac:dyDescent="0.2">
      <c r="C281" t="str">
        <f>C124</f>
        <v>Barley</v>
      </c>
      <c r="D281" s="65" t="s">
        <v>269</v>
      </c>
      <c r="E281" s="1034">
        <v>2.5</v>
      </c>
      <c r="F281" s="1034">
        <f t="shared" ref="F281:I293" si="36">E281</f>
        <v>2.5</v>
      </c>
      <c r="G281" s="1034">
        <f t="shared" si="36"/>
        <v>2.5</v>
      </c>
      <c r="H281" s="1034">
        <f t="shared" si="36"/>
        <v>2.5</v>
      </c>
      <c r="I281" s="1034">
        <f t="shared" si="36"/>
        <v>2.5</v>
      </c>
      <c r="J281" s="590"/>
    </row>
    <row r="282" spans="3:10" x14ac:dyDescent="0.2">
      <c r="C282" t="str">
        <f>C125</f>
        <v>Hay</v>
      </c>
      <c r="D282" s="65" t="s">
        <v>270</v>
      </c>
      <c r="E282" s="1034">
        <v>1</v>
      </c>
      <c r="F282" s="1034">
        <f t="shared" si="36"/>
        <v>1</v>
      </c>
      <c r="G282" s="1034">
        <f t="shared" si="36"/>
        <v>1</v>
      </c>
      <c r="H282" s="1034">
        <f t="shared" si="36"/>
        <v>1</v>
      </c>
      <c r="I282" s="1034">
        <f t="shared" si="36"/>
        <v>1</v>
      </c>
      <c r="J282" s="590"/>
    </row>
    <row r="283" spans="3:10" x14ac:dyDescent="0.2">
      <c r="C283" t="str">
        <f>C126</f>
        <v>Creep Feed - Lambs ($/tonne)</v>
      </c>
      <c r="D283" s="65" t="s">
        <v>271</v>
      </c>
      <c r="E283" s="1034">
        <v>0</v>
      </c>
      <c r="F283" s="1034">
        <f t="shared" si="36"/>
        <v>0</v>
      </c>
      <c r="G283" s="1034">
        <f t="shared" si="36"/>
        <v>0</v>
      </c>
      <c r="H283" s="1034">
        <f t="shared" si="36"/>
        <v>0</v>
      </c>
      <c r="I283" s="1034">
        <f t="shared" si="36"/>
        <v>0</v>
      </c>
      <c r="J283" s="590"/>
    </row>
    <row r="284" spans="3:10" x14ac:dyDescent="0.2">
      <c r="C284" t="s">
        <v>673</v>
      </c>
      <c r="D284" s="65" t="s">
        <v>272</v>
      </c>
      <c r="E284" s="1034">
        <v>0</v>
      </c>
      <c r="F284" s="1034">
        <f t="shared" si="36"/>
        <v>0</v>
      </c>
      <c r="G284" s="1034">
        <f t="shared" si="36"/>
        <v>0</v>
      </c>
      <c r="H284" s="1034">
        <f t="shared" si="36"/>
        <v>0</v>
      </c>
      <c r="I284" s="1034">
        <f t="shared" si="36"/>
        <v>0</v>
      </c>
      <c r="J284" s="590"/>
    </row>
    <row r="285" spans="3:10" x14ac:dyDescent="0.2">
      <c r="C285" t="str">
        <f>C128</f>
        <v>Straw</v>
      </c>
      <c r="D285" s="65" t="s">
        <v>273</v>
      </c>
      <c r="E285" s="1034">
        <v>0</v>
      </c>
      <c r="F285" s="1034">
        <f t="shared" si="36"/>
        <v>0</v>
      </c>
      <c r="G285" s="1034">
        <f t="shared" si="36"/>
        <v>0</v>
      </c>
      <c r="H285" s="1034">
        <f t="shared" si="36"/>
        <v>0</v>
      </c>
      <c r="I285" s="1034">
        <f t="shared" si="36"/>
        <v>0</v>
      </c>
      <c r="J285" s="590"/>
    </row>
    <row r="286" spans="3:10" x14ac:dyDescent="0.2">
      <c r="C286" t="str">
        <f>C129</f>
        <v>Supplements</v>
      </c>
      <c r="D286" s="65" t="s">
        <v>274</v>
      </c>
      <c r="E286" s="1034">
        <v>0</v>
      </c>
      <c r="F286" s="1034">
        <f t="shared" si="36"/>
        <v>0</v>
      </c>
      <c r="G286" s="1034">
        <f t="shared" si="36"/>
        <v>0</v>
      </c>
      <c r="H286" s="1034">
        <f t="shared" si="36"/>
        <v>0</v>
      </c>
      <c r="I286" s="1034">
        <f t="shared" si="36"/>
        <v>0</v>
      </c>
      <c r="J286" s="590"/>
    </row>
    <row r="287" spans="3:10" x14ac:dyDescent="0.2">
      <c r="C287" t="str">
        <f>C130</f>
        <v>Salt/Mineral Mix</v>
      </c>
      <c r="D287" s="65" t="s">
        <v>275</v>
      </c>
      <c r="E287" s="1034">
        <v>0.04</v>
      </c>
      <c r="F287" s="1034">
        <f t="shared" si="36"/>
        <v>0.04</v>
      </c>
      <c r="G287" s="1034">
        <f t="shared" si="36"/>
        <v>0.04</v>
      </c>
      <c r="H287" s="1034">
        <f t="shared" si="36"/>
        <v>0.04</v>
      </c>
      <c r="I287" s="1034">
        <f t="shared" si="36"/>
        <v>0.04</v>
      </c>
      <c r="J287" s="590"/>
    </row>
    <row r="288" spans="3:10" x14ac:dyDescent="0.2">
      <c r="C288" t="str">
        <f>C131</f>
        <v>Vitamins</v>
      </c>
      <c r="D288" s="65" t="s">
        <v>276</v>
      </c>
      <c r="E288" s="1034">
        <v>0</v>
      </c>
      <c r="F288" s="1034">
        <f t="shared" si="36"/>
        <v>0</v>
      </c>
      <c r="G288" s="1034">
        <f t="shared" si="36"/>
        <v>0</v>
      </c>
      <c r="H288" s="1034">
        <f t="shared" si="36"/>
        <v>0</v>
      </c>
      <c r="I288" s="1034">
        <f t="shared" si="36"/>
        <v>0</v>
      </c>
      <c r="J288" s="590"/>
    </row>
    <row r="289" spans="2:10" x14ac:dyDescent="0.2">
      <c r="C289" t="str">
        <f>C249</f>
        <v>Milk Replacer (lbs/day, days on milk Input#83)</v>
      </c>
      <c r="D289" s="65" t="s">
        <v>277</v>
      </c>
      <c r="E289" s="1034">
        <v>0</v>
      </c>
      <c r="F289" s="1034">
        <f>E289</f>
        <v>0</v>
      </c>
      <c r="G289" s="1034">
        <f t="shared" si="36"/>
        <v>0</v>
      </c>
      <c r="H289" s="1034">
        <f t="shared" si="36"/>
        <v>0</v>
      </c>
      <c r="I289" s="1034">
        <f t="shared" si="36"/>
        <v>0</v>
      </c>
      <c r="J289" s="590"/>
    </row>
    <row r="290" spans="2:10" x14ac:dyDescent="0.2">
      <c r="C290" t="str">
        <f>C132</f>
        <v>Other - 1</v>
      </c>
      <c r="D290" s="65" t="s">
        <v>278</v>
      </c>
      <c r="E290" s="1034">
        <v>0</v>
      </c>
      <c r="F290" s="1034">
        <f t="shared" si="36"/>
        <v>0</v>
      </c>
      <c r="G290" s="1034">
        <f t="shared" si="36"/>
        <v>0</v>
      </c>
      <c r="H290" s="1034">
        <f t="shared" si="36"/>
        <v>0</v>
      </c>
      <c r="I290" s="1034">
        <f t="shared" si="36"/>
        <v>0</v>
      </c>
      <c r="J290" s="590"/>
    </row>
    <row r="291" spans="2:10" x14ac:dyDescent="0.2">
      <c r="C291" t="str">
        <f>C133</f>
        <v>Other - 2  (other 1-4 can be changed where)</v>
      </c>
      <c r="D291" s="65" t="s">
        <v>279</v>
      </c>
      <c r="E291" s="1034">
        <v>0</v>
      </c>
      <c r="F291" s="1034">
        <f t="shared" si="36"/>
        <v>0</v>
      </c>
      <c r="G291" s="1034">
        <f t="shared" si="36"/>
        <v>0</v>
      </c>
      <c r="H291" s="1034">
        <f t="shared" si="36"/>
        <v>0</v>
      </c>
      <c r="I291" s="1034">
        <f t="shared" si="36"/>
        <v>0</v>
      </c>
      <c r="J291" s="590"/>
    </row>
    <row r="292" spans="2:10" x14ac:dyDescent="0.2">
      <c r="C292" t="str">
        <f>C134</f>
        <v>Other - 3   (feed ingredients first listed/priced)</v>
      </c>
      <c r="D292" s="65" t="s">
        <v>280</v>
      </c>
      <c r="E292" s="1034">
        <v>0</v>
      </c>
      <c r="F292" s="1034">
        <f t="shared" si="36"/>
        <v>0</v>
      </c>
      <c r="G292" s="1034">
        <f t="shared" si="36"/>
        <v>0</v>
      </c>
      <c r="H292" s="1034">
        <f t="shared" si="36"/>
        <v>0</v>
      </c>
      <c r="I292" s="1034">
        <f t="shared" si="36"/>
        <v>0</v>
      </c>
      <c r="J292" s="590"/>
    </row>
    <row r="293" spans="2:10" x14ac:dyDescent="0.2">
      <c r="C293" t="str">
        <f>C135</f>
        <v>Other - 4</v>
      </c>
      <c r="D293" s="65" t="s">
        <v>281</v>
      </c>
      <c r="E293" s="1034">
        <v>0</v>
      </c>
      <c r="F293" s="1034">
        <f t="shared" si="36"/>
        <v>0</v>
      </c>
      <c r="G293" s="1034">
        <f t="shared" si="36"/>
        <v>0</v>
      </c>
      <c r="H293" s="1034">
        <f t="shared" si="36"/>
        <v>0</v>
      </c>
      <c r="I293" s="1034">
        <f t="shared" si="36"/>
        <v>0</v>
      </c>
      <c r="J293" s="590"/>
    </row>
    <row r="294" spans="2:10" ht="12" customHeight="1" x14ac:dyDescent="0.2">
      <c r="C294" s="1236" t="s">
        <v>151</v>
      </c>
      <c r="D294" s="1237" t="s">
        <v>11</v>
      </c>
      <c r="E294" s="1238">
        <f>(E281/(2204.62))*E$100+(E282/2204.62)*E$101+(E283/2204.62)*E$102+(E284/2204.62)*E$103+(E285/2204.62)*E$104+(E286/2204.62)*E$105+(E287/2204.62)*E$106+(E288/2204.62)*E$107+(E289/2204.62)*E$108+(E290/2204.62)*E$109+(E291/2204.62)*E$110+(E292/2204.62)*$E271+(E293/2204.62)*E$112</f>
        <v>0.34609138989939309</v>
      </c>
      <c r="F294" s="1238">
        <f>(F281/(2204.62))*F$100+(F282/2204.62)*F$101+(F283/2204.62)*F$102+(F284/2204.62)*F$103+(F285/2204.62)*F$104+(F286/2204.62)*F$105+(F287/2204.62)*F$106+(F288/2204.62)*F$107+(F289/2204.62)*F$108+(F290/2204.62)*F$109+(F291/2204.62)*F$110+(F292/2204.62)*$E271+(F293/2204.62)*F$112</f>
        <v>0.34609138989939309</v>
      </c>
      <c r="G294" s="1238">
        <f>(G281/(2204.62))*G$100+(G282/2204.62)*G$101+(G283/2204.62)*G$102+(G284/2204.62)*G$103+(G285/2204.62)*G$104+(G286/2204.62)*G$105+(G287/2204.62)*G$106+(G288/2204.62)*G$107+(G289/2204.62)*G$108+(G290/2204.62)*G$109+(G291/2204.62)*G$110+(G292/2204.62)*$E271+(G293/2204.62)*G$112</f>
        <v>0.34609138989939309</v>
      </c>
      <c r="H294" s="1238">
        <f>(H281/(2204.62))*H$100+(H282/2204.62)*H$101+(H283/2204.62)*H$102+(H284/2204.62)*H$103+(H285/2204.62)*H$104+(H286/2204.62)*H$105+(H287/2204.62)*H$106+(H288/2204.62)*H$107+(H289/2204.62)*H$108+(H290/2204.62)*H$109+(H291/2204.62)*H$110+(H292/2204.62)*$E271+(H293/2204.62)*H$112</f>
        <v>0.34609138989939309</v>
      </c>
      <c r="I294" s="1238">
        <f>(I281/(2204.62))*I$100+(I282/2204.62)*I$101+(I283/2204.62)*I$102+(I284/2204.62)*I$103+(I285/2204.62)*I$104+(I286/2204.62)*I$105+(I287/2204.62)*I$106+(I288/2204.62)*I$107+(I289/2204.62)*I$108+(I290/2204.62)*I$109+(I291/2204.62)*I$110+(I292/2204.62)*$E271+(I293/2204.62)*I$112</f>
        <v>0.34609138989939309</v>
      </c>
      <c r="J294" s="82"/>
    </row>
    <row r="295" spans="2:10" ht="12" customHeight="1" thickBot="1" x14ac:dyDescent="0.25">
      <c r="C295" s="1236" t="s">
        <v>171</v>
      </c>
      <c r="D295" s="1237" t="s">
        <v>11</v>
      </c>
      <c r="E295" s="1238">
        <f>E278*E294</f>
        <v>24.226397292957515</v>
      </c>
      <c r="F295" s="1238">
        <f>F278*F294</f>
        <v>24.226397292957515</v>
      </c>
      <c r="G295" s="1238">
        <f>G278*G294</f>
        <v>24.226397292957515</v>
      </c>
      <c r="H295" s="1238">
        <f>H278*H294</f>
        <v>24.226397292957515</v>
      </c>
      <c r="I295" s="1238">
        <f>I278*I294</f>
        <v>24.226397292957515</v>
      </c>
      <c r="J295" s="82"/>
    </row>
    <row r="296" spans="2:10" ht="12" customHeight="1" x14ac:dyDescent="0.2">
      <c r="C296" s="1227" t="s">
        <v>477</v>
      </c>
      <c r="D296" s="1047" t="s">
        <v>478</v>
      </c>
      <c r="E296" s="1228">
        <f>E238+E258+E278</f>
        <v>155</v>
      </c>
      <c r="F296" s="1228">
        <f>F238+F258+F278</f>
        <v>155</v>
      </c>
      <c r="G296" s="1228">
        <f>G238+G258+G278</f>
        <v>155</v>
      </c>
      <c r="H296" s="1228">
        <f>H238+H258+H278</f>
        <v>155</v>
      </c>
      <c r="I296" s="1229">
        <f>I238+I258+I278</f>
        <v>155</v>
      </c>
      <c r="J296" s="1045"/>
    </row>
    <row r="297" spans="2:10" ht="12" customHeight="1" x14ac:dyDescent="0.2">
      <c r="C297" s="1230" t="s">
        <v>703</v>
      </c>
      <c r="D297" s="1048" t="s">
        <v>11</v>
      </c>
      <c r="E297" s="1231">
        <f>E255+E275+E295</f>
        <v>51.481661238671521</v>
      </c>
      <c r="F297" s="1231">
        <f>F255+F275+F295</f>
        <v>51.481661238671521</v>
      </c>
      <c r="G297" s="1231">
        <f>G255+G275+G295</f>
        <v>51.481661238671521</v>
      </c>
      <c r="H297" s="1231">
        <f>H255+H275+H295</f>
        <v>51.481661238671521</v>
      </c>
      <c r="I297" s="1232">
        <f>I255+I275+I295</f>
        <v>51.481661238671521</v>
      </c>
      <c r="J297" s="659"/>
    </row>
    <row r="298" spans="2:10" ht="12" customHeight="1" thickBot="1" x14ac:dyDescent="0.25">
      <c r="C298" s="1233" t="s">
        <v>720</v>
      </c>
      <c r="D298" s="1049" t="s">
        <v>11</v>
      </c>
      <c r="E298" s="1234">
        <f>(E239*E255)+(E259*E275)+(E279*E295)</f>
        <v>52638.683764095404</v>
      </c>
      <c r="F298" s="1234">
        <f>(F239*F255)+(F259*F275)+(F279*F295)</f>
        <v>52638.683764095404</v>
      </c>
      <c r="G298" s="1234">
        <f>(G239*G255)+(G259*G275)+(G279*G295)</f>
        <v>52638.683764095404</v>
      </c>
      <c r="H298" s="1234">
        <f>(H239*H255)+(H259*H275)+(H279*H295)</f>
        <v>52638.683764095404</v>
      </c>
      <c r="I298" s="1235">
        <f>(I239*I255)+(I259*I275)+(I279*I295)</f>
        <v>52638.683764095404</v>
      </c>
      <c r="J298" s="1046"/>
    </row>
    <row r="299" spans="2:10" x14ac:dyDescent="0.2">
      <c r="C299" s="366"/>
      <c r="D299" s="72"/>
      <c r="E299" s="82"/>
      <c r="F299" s="82"/>
      <c r="G299" s="82"/>
      <c r="H299" s="82"/>
      <c r="I299" s="82"/>
    </row>
    <row r="300" spans="2:10" x14ac:dyDescent="0.2">
      <c r="B300" s="56" t="s">
        <v>48</v>
      </c>
    </row>
    <row r="301" spans="2:10" x14ac:dyDescent="0.2">
      <c r="C301" s="56" t="s">
        <v>154</v>
      </c>
      <c r="E301" s="65" t="str">
        <f>$E$15</f>
        <v>Year #1</v>
      </c>
      <c r="F301" s="65" t="str">
        <f>$F$15</f>
        <v>Year #2</v>
      </c>
      <c r="G301" s="65" t="str">
        <f>$G$15</f>
        <v>Year #3</v>
      </c>
      <c r="H301" s="65" t="str">
        <f>$H$15</f>
        <v>Year #4</v>
      </c>
      <c r="I301" s="65" t="str">
        <f>$I$15</f>
        <v>Year #5</v>
      </c>
      <c r="J301" s="65"/>
    </row>
    <row r="302" spans="2:10" x14ac:dyDescent="0.2">
      <c r="C302" s="4" t="s">
        <v>771</v>
      </c>
      <c r="D302" s="65" t="s">
        <v>282</v>
      </c>
      <c r="E302" s="1023">
        <v>14</v>
      </c>
      <c r="F302" s="1023">
        <f>E302*(1+E$384)</f>
        <v>14.280000000000001</v>
      </c>
      <c r="G302" s="1023">
        <f>F302*(1+F$384)</f>
        <v>14.565600000000002</v>
      </c>
      <c r="H302" s="1023">
        <f>G302*(1+G$384)</f>
        <v>14.856912000000001</v>
      </c>
      <c r="I302" s="1023">
        <f>H302*(1+H$384)</f>
        <v>15.154050240000002</v>
      </c>
      <c r="J302" s="579"/>
    </row>
    <row r="303" spans="2:10" x14ac:dyDescent="0.2">
      <c r="C303" s="503" t="s">
        <v>805</v>
      </c>
      <c r="D303" s="72" t="s">
        <v>11</v>
      </c>
      <c r="E303" s="358">
        <f>E16-E20+E24+E25-E22</f>
        <v>400</v>
      </c>
      <c r="F303" s="358">
        <f>F16-F20+F24+F25-F22</f>
        <v>400</v>
      </c>
      <c r="G303" s="358">
        <f>G16-G20+G24+G25-G22</f>
        <v>400</v>
      </c>
      <c r="H303" s="358">
        <f>H16-H20+H24+H25-H22</f>
        <v>400</v>
      </c>
      <c r="I303" s="358">
        <f>I16-I20+I24+I25-I22</f>
        <v>400</v>
      </c>
      <c r="J303" s="357"/>
    </row>
    <row r="304" spans="2:10" x14ac:dyDescent="0.2">
      <c r="C304" s="503" t="s">
        <v>806</v>
      </c>
      <c r="D304" s="72" t="s">
        <v>11</v>
      </c>
      <c r="E304" s="357">
        <f>E17+E32-E74</f>
        <v>10.3</v>
      </c>
      <c r="F304" s="357">
        <f>F17+F32-F74</f>
        <v>10.3</v>
      </c>
      <c r="G304" s="357">
        <f>G17+G32-G74</f>
        <v>10.3</v>
      </c>
      <c r="H304" s="357">
        <f>H17+H32-H74</f>
        <v>10.3</v>
      </c>
      <c r="I304" s="357">
        <f>I17+I32-I74</f>
        <v>10.3</v>
      </c>
      <c r="J304" s="357"/>
    </row>
    <row r="305" spans="3:10" x14ac:dyDescent="0.2">
      <c r="C305" s="503" t="s">
        <v>807</v>
      </c>
      <c r="D305" s="72" t="s">
        <v>11</v>
      </c>
      <c r="E305" s="444">
        <f>E302*(E303+E304)</f>
        <v>5744.2</v>
      </c>
      <c r="F305" s="444">
        <f>F302*(F303+F304)</f>
        <v>5859.0840000000007</v>
      </c>
      <c r="G305" s="444">
        <f>G302*(G303+G304)</f>
        <v>5976.2656800000004</v>
      </c>
      <c r="H305" s="444">
        <f>H302*(H303+H304)</f>
        <v>6095.7909936000005</v>
      </c>
      <c r="I305" s="444">
        <f>I302*(I303+I304)</f>
        <v>6217.7068134720012</v>
      </c>
      <c r="J305" s="444"/>
    </row>
    <row r="306" spans="3:10" ht="6" customHeight="1" x14ac:dyDescent="0.2">
      <c r="D306" s="65"/>
      <c r="E306" s="443"/>
      <c r="F306" s="443"/>
      <c r="G306" s="443"/>
      <c r="H306" s="443"/>
      <c r="I306" s="443"/>
      <c r="J306" s="443"/>
    </row>
    <row r="307" spans="3:10" x14ac:dyDescent="0.2">
      <c r="C307" s="56" t="s">
        <v>224</v>
      </c>
      <c r="F307" s="73" t="s">
        <v>1</v>
      </c>
      <c r="G307" s="73" t="s">
        <v>1</v>
      </c>
      <c r="H307" s="73" t="s">
        <v>1</v>
      </c>
      <c r="I307" s="73" t="s">
        <v>1</v>
      </c>
      <c r="J307" s="73"/>
    </row>
    <row r="308" spans="3:10" x14ac:dyDescent="0.2">
      <c r="C308" t="s">
        <v>893</v>
      </c>
      <c r="D308" s="65" t="s">
        <v>283</v>
      </c>
      <c r="E308" s="1023">
        <v>14</v>
      </c>
      <c r="F308" s="1023">
        <f t="shared" ref="F308:I310" si="37">E308*(1+E$384)</f>
        <v>14.280000000000001</v>
      </c>
      <c r="G308" s="1023">
        <f t="shared" si="37"/>
        <v>14.565600000000002</v>
      </c>
      <c r="H308" s="1023">
        <f t="shared" si="37"/>
        <v>14.856912000000001</v>
      </c>
      <c r="I308" s="1023">
        <f t="shared" si="37"/>
        <v>15.154050240000002</v>
      </c>
      <c r="J308" s="579"/>
    </row>
    <row r="309" spans="3:10" x14ac:dyDescent="0.2">
      <c r="C309" t="s">
        <v>364</v>
      </c>
      <c r="D309" s="65" t="s">
        <v>933</v>
      </c>
      <c r="E309" s="1023">
        <v>4.5</v>
      </c>
      <c r="F309" s="1023">
        <f t="shared" si="37"/>
        <v>4.59</v>
      </c>
      <c r="G309" s="1023">
        <f t="shared" si="37"/>
        <v>4.6818</v>
      </c>
      <c r="H309" s="1023">
        <f t="shared" si="37"/>
        <v>4.775436</v>
      </c>
      <c r="I309" s="1023">
        <f t="shared" si="37"/>
        <v>4.8709447199999998</v>
      </c>
      <c r="J309" s="579"/>
    </row>
    <row r="310" spans="3:10" x14ac:dyDescent="0.2">
      <c r="C310" s="503" t="s">
        <v>977</v>
      </c>
      <c r="D310" s="65" t="s">
        <v>303</v>
      </c>
      <c r="E310" s="1023">
        <v>5</v>
      </c>
      <c r="F310" s="1023">
        <f t="shared" si="37"/>
        <v>5.0999999999999996</v>
      </c>
      <c r="G310" s="1023">
        <f t="shared" si="37"/>
        <v>5.202</v>
      </c>
      <c r="H310" s="1023">
        <f t="shared" si="37"/>
        <v>5.3060400000000003</v>
      </c>
      <c r="I310" s="1023">
        <f t="shared" si="37"/>
        <v>5.4121608000000005</v>
      </c>
      <c r="J310" s="579"/>
    </row>
    <row r="311" spans="3:10" x14ac:dyDescent="0.2">
      <c r="C311" s="111" t="s">
        <v>907</v>
      </c>
      <c r="D311" s="72" t="s">
        <v>11</v>
      </c>
      <c r="E311" s="186">
        <f>E308+E309+E310</f>
        <v>23.5</v>
      </c>
      <c r="F311" s="186">
        <f>F308+F309+F310</f>
        <v>23.97</v>
      </c>
      <c r="G311" s="186">
        <f>G308+G309+G310</f>
        <v>24.449400000000004</v>
      </c>
      <c r="H311" s="186">
        <f>H308+H309+H310</f>
        <v>24.938388</v>
      </c>
      <c r="I311" s="186">
        <f>I308+I309+I310</f>
        <v>25.437155760000003</v>
      </c>
      <c r="J311" s="82"/>
    </row>
    <row r="312" spans="3:10" x14ac:dyDescent="0.2">
      <c r="C312" t="s">
        <v>323</v>
      </c>
      <c r="D312" s="72" t="s">
        <v>11</v>
      </c>
      <c r="E312" s="384">
        <f>Monthly!$AD$23</f>
        <v>540</v>
      </c>
      <c r="F312" s="384">
        <f>Monthly!$AE$23</f>
        <v>540</v>
      </c>
      <c r="G312" s="384">
        <f>G36*12</f>
        <v>540</v>
      </c>
      <c r="H312" s="384">
        <f>H36*12</f>
        <v>540</v>
      </c>
      <c r="I312" s="384">
        <f>I36*12</f>
        <v>540</v>
      </c>
      <c r="J312" s="384"/>
    </row>
    <row r="313" spans="3:10" x14ac:dyDescent="0.2">
      <c r="C313" t="s">
        <v>490</v>
      </c>
      <c r="D313" s="72" t="s">
        <v>11</v>
      </c>
      <c r="E313" s="83">
        <f>(E308+E309+E310)*E312</f>
        <v>12690</v>
      </c>
      <c r="F313" s="83">
        <f>(F308+F309+F310)*F312</f>
        <v>12943.8</v>
      </c>
      <c r="G313" s="83">
        <f>(G308+G309+G310)*G312</f>
        <v>13202.676000000003</v>
      </c>
      <c r="H313" s="83">
        <f>(H308+H309+H310)*H312</f>
        <v>13466.729520000001</v>
      </c>
      <c r="I313" s="83">
        <f>(I308+I309+I310)*I312</f>
        <v>13736.064110400002</v>
      </c>
      <c r="J313" s="83"/>
    </row>
    <row r="314" spans="3:10" ht="6" customHeight="1" x14ac:dyDescent="0.2">
      <c r="D314" s="72"/>
      <c r="E314" s="83"/>
      <c r="F314" s="83"/>
      <c r="G314" s="83"/>
      <c r="H314" s="83"/>
      <c r="I314" s="83"/>
      <c r="J314" s="83"/>
    </row>
    <row r="315" spans="3:10" x14ac:dyDescent="0.2">
      <c r="C315" s="56" t="s">
        <v>873</v>
      </c>
      <c r="D315" s="72"/>
      <c r="E315" s="83"/>
      <c r="F315" s="83"/>
      <c r="G315" s="83"/>
      <c r="H315" s="83"/>
      <c r="I315" s="83"/>
      <c r="J315" s="83"/>
    </row>
    <row r="316" spans="3:10" x14ac:dyDescent="0.2">
      <c r="C316" s="503" t="s">
        <v>874</v>
      </c>
      <c r="D316" s="65" t="s">
        <v>304</v>
      </c>
      <c r="E316" s="980">
        <v>1000</v>
      </c>
      <c r="F316" s="980">
        <f>E316*(1+E$384)</f>
        <v>1020</v>
      </c>
      <c r="G316" s="980">
        <f>F316*(1+F$384)</f>
        <v>1040.4000000000001</v>
      </c>
      <c r="H316" s="980">
        <f>G316*(1+G$384)</f>
        <v>1061.2080000000001</v>
      </c>
      <c r="I316" s="980">
        <f>H316*(1+H$384)</f>
        <v>1082.4321600000001</v>
      </c>
      <c r="J316" s="83"/>
    </row>
    <row r="317" spans="3:10" x14ac:dyDescent="0.2">
      <c r="C317" s="503" t="s">
        <v>905</v>
      </c>
      <c r="D317" s="65" t="s">
        <v>305</v>
      </c>
      <c r="E317" s="1050">
        <v>2</v>
      </c>
      <c r="F317" s="1050">
        <f t="shared" ref="F317:I318" si="38">E317</f>
        <v>2</v>
      </c>
      <c r="G317" s="1050">
        <f t="shared" si="38"/>
        <v>2</v>
      </c>
      <c r="H317" s="1050">
        <f t="shared" si="38"/>
        <v>2</v>
      </c>
      <c r="I317" s="1050">
        <f t="shared" si="38"/>
        <v>2</v>
      </c>
      <c r="J317" s="83"/>
    </row>
    <row r="318" spans="3:10" x14ac:dyDescent="0.2">
      <c r="C318" s="503" t="s">
        <v>914</v>
      </c>
      <c r="D318" s="65" t="s">
        <v>306</v>
      </c>
      <c r="E318" s="1028">
        <v>28</v>
      </c>
      <c r="F318" s="1028">
        <f t="shared" si="38"/>
        <v>28</v>
      </c>
      <c r="G318" s="1028">
        <f t="shared" si="38"/>
        <v>28</v>
      </c>
      <c r="H318" s="1028">
        <f t="shared" si="38"/>
        <v>28</v>
      </c>
      <c r="I318" s="1028">
        <f t="shared" si="38"/>
        <v>28</v>
      </c>
      <c r="J318" s="83"/>
    </row>
    <row r="319" spans="3:10" x14ac:dyDescent="0.2">
      <c r="C319" s="503" t="s">
        <v>935</v>
      </c>
      <c r="D319" s="72" t="s">
        <v>11</v>
      </c>
      <c r="E319" s="588">
        <f>IF(E38&gt;(E36*E317),E38-(E36*E317),0)</f>
        <v>0</v>
      </c>
      <c r="F319" s="588">
        <f>IF(F38&gt;(F36*F317),F38-(F36*F317),0)</f>
        <v>0</v>
      </c>
      <c r="G319" s="588">
        <f>IF(G38&gt;(G36*G317),G38-(G36*G317),0)</f>
        <v>0</v>
      </c>
      <c r="H319" s="588">
        <f>IF(H38&gt;(H36*H317),H38-(H36*H317),0)</f>
        <v>0</v>
      </c>
      <c r="I319" s="588">
        <f>IF(I38&gt;(I36*I317),I38-(I36*I317),0)</f>
        <v>0</v>
      </c>
      <c r="J319" s="83"/>
    </row>
    <row r="320" spans="3:10" x14ac:dyDescent="0.2">
      <c r="C320" s="503" t="s">
        <v>922</v>
      </c>
      <c r="D320" s="72" t="s">
        <v>11</v>
      </c>
      <c r="E320" s="82">
        <f>IF(E318&gt;0,(E318*E249)/2204.62*E108,0)</f>
        <v>29.211383367655202</v>
      </c>
      <c r="F320" s="82">
        <f>IF(F318&gt;0,(F318*F249)/2204.62*F108,0)</f>
        <v>29.211383367655202</v>
      </c>
      <c r="G320" s="82">
        <f>IF(G318&gt;0,(G318*G249)/2204.62*G108,0)</f>
        <v>29.211383367655202</v>
      </c>
      <c r="H320" s="82">
        <f>IF(H318&gt;0,(H318*H249)/2204.62*H108,0)</f>
        <v>29.211383367655202</v>
      </c>
      <c r="I320" s="82">
        <f>IF(I318&gt;0,(I318*I249)/2204.62*I108,0)</f>
        <v>29.211383367655202</v>
      </c>
      <c r="J320" s="83"/>
    </row>
    <row r="321" spans="3:10" x14ac:dyDescent="0.2">
      <c r="C321" s="503" t="s">
        <v>934</v>
      </c>
      <c r="D321" s="72" t="s">
        <v>11</v>
      </c>
      <c r="E321" s="82">
        <f>IF(E318&gt;0,E320/E318,0)</f>
        <v>1.0432636917019715</v>
      </c>
      <c r="F321" s="82">
        <f>IF(F318&gt;0,F320/F318,0)</f>
        <v>1.0432636917019715</v>
      </c>
      <c r="G321" s="82">
        <f>IF(G318&gt;0,G320/G318,0)</f>
        <v>1.0432636917019715</v>
      </c>
      <c r="H321" s="82">
        <f>IF(H318&gt;0,H320/H318,0)</f>
        <v>1.0432636917019715</v>
      </c>
      <c r="I321" s="82">
        <f>IF(I318&gt;0,I320/I318,0)</f>
        <v>1.0432636917019715</v>
      </c>
      <c r="J321" s="83"/>
    </row>
    <row r="322" spans="3:10" x14ac:dyDescent="0.2">
      <c r="C322" s="503" t="s">
        <v>921</v>
      </c>
      <c r="D322" s="72" t="s">
        <v>11</v>
      </c>
      <c r="E322" s="82">
        <f>IF(E319&gt;0,((E318*E249*E319)/2204.62)*E108,0)</f>
        <v>0</v>
      </c>
      <c r="F322" s="82">
        <f>IF(F319&gt;0,((F318*F249*F319)/2204.62)*F108,0)</f>
        <v>0</v>
      </c>
      <c r="G322" s="82">
        <f>IF(G319&gt;0,((G318*G249*G319)/2204.62)*G108,0)</f>
        <v>0</v>
      </c>
      <c r="H322" s="82">
        <f>IF(H319&gt;0,((H318*H249*H319)/2204.62)*H108,0)</f>
        <v>0</v>
      </c>
      <c r="I322" s="82">
        <f>IF(I319&gt;0,((I318*I249*I319)/2204.62)*I108,0)</f>
        <v>0</v>
      </c>
      <c r="J322" s="83"/>
    </row>
    <row r="323" spans="3:10" ht="6" customHeight="1" x14ac:dyDescent="0.2">
      <c r="D323" s="72"/>
      <c r="E323" s="384"/>
      <c r="F323" s="384"/>
      <c r="G323" s="384"/>
      <c r="H323" s="384"/>
      <c r="I323" s="384"/>
    </row>
    <row r="324" spans="3:10" x14ac:dyDescent="0.2">
      <c r="C324" s="56" t="s">
        <v>289</v>
      </c>
      <c r="D324" s="65"/>
      <c r="E324" s="190"/>
      <c r="F324" s="190"/>
      <c r="G324" s="190"/>
      <c r="H324" s="190"/>
      <c r="I324" s="190"/>
    </row>
    <row r="325" spans="3:10" x14ac:dyDescent="0.2">
      <c r="C325" t="s">
        <v>290</v>
      </c>
      <c r="D325" s="65" t="s">
        <v>307</v>
      </c>
      <c r="E325" s="980">
        <v>1000</v>
      </c>
      <c r="F325" s="980">
        <f>E325</f>
        <v>1000</v>
      </c>
      <c r="G325" s="980">
        <f>F325</f>
        <v>1000</v>
      </c>
      <c r="H325" s="980">
        <f>G325</f>
        <v>1000</v>
      </c>
      <c r="I325" s="980">
        <f>H325</f>
        <v>1000</v>
      </c>
      <c r="J325" s="576"/>
    </row>
    <row r="326" spans="3:10" x14ac:dyDescent="0.2">
      <c r="C326" t="s">
        <v>292</v>
      </c>
      <c r="D326" s="65" t="s">
        <v>308</v>
      </c>
      <c r="E326" s="980">
        <v>500</v>
      </c>
      <c r="F326" s="980">
        <f>E326*(1+E$384)</f>
        <v>510</v>
      </c>
      <c r="G326" s="980">
        <f>F326*(1+F$384)</f>
        <v>520.20000000000005</v>
      </c>
      <c r="H326" s="980">
        <f>G326*(1+G$384)</f>
        <v>530.60400000000004</v>
      </c>
      <c r="I326" s="980">
        <f>H326*(1+H$384)</f>
        <v>541.21608000000003</v>
      </c>
      <c r="J326" s="576"/>
    </row>
    <row r="327" spans="3:10" ht="6" customHeight="1" x14ac:dyDescent="0.2">
      <c r="D327" s="65"/>
      <c r="E327" s="76"/>
      <c r="F327" s="76"/>
      <c r="G327" s="76"/>
      <c r="H327" s="76"/>
      <c r="I327" s="76"/>
      <c r="J327" s="34"/>
    </row>
    <row r="328" spans="3:10" x14ac:dyDescent="0.2">
      <c r="C328" s="56" t="s">
        <v>295</v>
      </c>
      <c r="D328" s="65"/>
      <c r="E328" s="34"/>
      <c r="F328" s="34"/>
      <c r="G328" s="34"/>
      <c r="H328" s="34"/>
      <c r="I328" s="34"/>
      <c r="J328" s="34"/>
    </row>
    <row r="329" spans="3:10" x14ac:dyDescent="0.2">
      <c r="C329" t="s">
        <v>291</v>
      </c>
      <c r="D329" s="65" t="s">
        <v>309</v>
      </c>
      <c r="E329" s="980">
        <v>700</v>
      </c>
      <c r="F329" s="980">
        <f>E329</f>
        <v>700</v>
      </c>
      <c r="G329" s="980">
        <f>F329</f>
        <v>700</v>
      </c>
      <c r="H329" s="980">
        <f>G329</f>
        <v>700</v>
      </c>
      <c r="I329" s="980">
        <f>H329</f>
        <v>700</v>
      </c>
      <c r="J329" s="576"/>
    </row>
    <row r="330" spans="3:10" x14ac:dyDescent="0.2">
      <c r="C330" t="s">
        <v>292</v>
      </c>
      <c r="D330" s="65" t="s">
        <v>310</v>
      </c>
      <c r="E330" s="980">
        <v>500</v>
      </c>
      <c r="F330" s="980">
        <f>E330*(1+E$384)</f>
        <v>510</v>
      </c>
      <c r="G330" s="980">
        <f>F330*(1+F$384)</f>
        <v>520.20000000000005</v>
      </c>
      <c r="H330" s="980">
        <f>G330*(1+G$384)</f>
        <v>530.60400000000004</v>
      </c>
      <c r="I330" s="980">
        <f>H330*(1+H$384)</f>
        <v>541.21608000000003</v>
      </c>
      <c r="J330" s="576"/>
    </row>
    <row r="331" spans="3:10" ht="6" customHeight="1" x14ac:dyDescent="0.2">
      <c r="D331" s="65"/>
      <c r="E331" s="35"/>
      <c r="F331" s="35"/>
      <c r="G331" s="35"/>
      <c r="H331" s="35"/>
      <c r="I331" s="35"/>
    </row>
    <row r="332" spans="3:10" x14ac:dyDescent="0.2">
      <c r="C332" s="56" t="s">
        <v>157</v>
      </c>
      <c r="E332" s="36" t="str">
        <f>$E$15</f>
        <v>Year #1</v>
      </c>
      <c r="F332" s="36" t="str">
        <f>$F$15</f>
        <v>Year #2</v>
      </c>
      <c r="G332" s="36" t="str">
        <f>$G$15</f>
        <v>Year #3</v>
      </c>
      <c r="H332" s="36" t="str">
        <f>$H$15</f>
        <v>Year #4</v>
      </c>
      <c r="I332" s="36" t="str">
        <f>$I$15</f>
        <v>Year #5</v>
      </c>
      <c r="J332" s="36"/>
    </row>
    <row r="333" spans="3:10" x14ac:dyDescent="0.2">
      <c r="C333" s="503" t="s">
        <v>797</v>
      </c>
      <c r="D333" s="65" t="s">
        <v>311</v>
      </c>
      <c r="E333" s="1028">
        <v>25</v>
      </c>
      <c r="F333" s="1028">
        <f t="shared" ref="F333:I334" si="39">E333</f>
        <v>25</v>
      </c>
      <c r="G333" s="1028">
        <f t="shared" si="39"/>
        <v>25</v>
      </c>
      <c r="H333" s="1028">
        <f t="shared" si="39"/>
        <v>25</v>
      </c>
      <c r="I333" s="1028">
        <f t="shared" si="39"/>
        <v>25</v>
      </c>
      <c r="J333" s="587"/>
    </row>
    <row r="334" spans="3:10" x14ac:dyDescent="0.2">
      <c r="C334" s="503" t="s">
        <v>875</v>
      </c>
      <c r="D334" s="65" t="s">
        <v>324</v>
      </c>
      <c r="E334" s="1028">
        <v>18</v>
      </c>
      <c r="F334" s="1028">
        <f t="shared" si="39"/>
        <v>18</v>
      </c>
      <c r="G334" s="1028">
        <f t="shared" si="39"/>
        <v>18</v>
      </c>
      <c r="H334" s="1028">
        <f t="shared" si="39"/>
        <v>18</v>
      </c>
      <c r="I334" s="1028">
        <f t="shared" si="39"/>
        <v>18</v>
      </c>
      <c r="J334" s="587"/>
    </row>
    <row r="335" spans="3:10" x14ac:dyDescent="0.2">
      <c r="C335" s="503" t="s">
        <v>798</v>
      </c>
      <c r="D335" s="72" t="s">
        <v>11</v>
      </c>
      <c r="E335" s="1028">
        <f>(E333*52)+(E334*12)</f>
        <v>1516</v>
      </c>
      <c r="F335" s="1028">
        <f>(F333*52)+(F334*12)</f>
        <v>1516</v>
      </c>
      <c r="G335" s="1028">
        <f>(G333*52)+(G334*12)</f>
        <v>1516</v>
      </c>
      <c r="H335" s="1028">
        <f>(H333*52)+(H334*12)</f>
        <v>1516</v>
      </c>
      <c r="I335" s="1028">
        <f>(I333*52)+(I334*12)</f>
        <v>1516</v>
      </c>
      <c r="J335" s="587"/>
    </row>
    <row r="336" spans="3:10" x14ac:dyDescent="0.2">
      <c r="C336" s="4" t="s">
        <v>738</v>
      </c>
      <c r="D336" s="65" t="s">
        <v>325</v>
      </c>
      <c r="E336" s="1023">
        <v>20</v>
      </c>
      <c r="F336" s="1023">
        <f>E336*(1+E$384)</f>
        <v>20.399999999999999</v>
      </c>
      <c r="G336" s="1023">
        <f>F336*(1+F$384)</f>
        <v>20.808</v>
      </c>
      <c r="H336" s="1023">
        <f>G336*(1+G$384)</f>
        <v>21.224160000000001</v>
      </c>
      <c r="I336" s="1023">
        <f>H336*(1+H$384)</f>
        <v>21.648643200000002</v>
      </c>
      <c r="J336" s="579"/>
    </row>
    <row r="337" spans="3:10" x14ac:dyDescent="0.2">
      <c r="C337" t="s">
        <v>156</v>
      </c>
      <c r="D337" s="72" t="s">
        <v>11</v>
      </c>
      <c r="E337" s="84">
        <f>E335*E336</f>
        <v>30320</v>
      </c>
      <c r="F337" s="84">
        <f>F335*F336</f>
        <v>30926.399999999998</v>
      </c>
      <c r="G337" s="84">
        <f>G335*G336</f>
        <v>31544.928</v>
      </c>
      <c r="H337" s="84">
        <f>H335*H336</f>
        <v>32175.826560000001</v>
      </c>
      <c r="I337" s="84">
        <f>I335*I336</f>
        <v>32819.343091200004</v>
      </c>
      <c r="J337" s="83"/>
    </row>
    <row r="338" spans="3:10" ht="6" customHeight="1" x14ac:dyDescent="0.2">
      <c r="D338" s="72"/>
      <c r="E338" s="384"/>
      <c r="F338" s="384"/>
      <c r="G338" s="384"/>
      <c r="H338" s="384"/>
      <c r="I338" s="384"/>
      <c r="J338" s="384"/>
    </row>
    <row r="339" spans="3:10" x14ac:dyDescent="0.2">
      <c r="C339" s="56" t="s">
        <v>155</v>
      </c>
      <c r="E339" s="65" t="str">
        <f>$E$15</f>
        <v>Year #1</v>
      </c>
      <c r="F339" s="65" t="str">
        <f>$F$15</f>
        <v>Year #2</v>
      </c>
      <c r="G339" s="65" t="str">
        <f>$G$15</f>
        <v>Year #3</v>
      </c>
      <c r="H339" s="65" t="str">
        <f>$H$15</f>
        <v>Year #4</v>
      </c>
      <c r="I339" s="65" t="str">
        <f>$I$15</f>
        <v>Year #5</v>
      </c>
      <c r="J339" s="65"/>
    </row>
    <row r="340" spans="3:10" x14ac:dyDescent="0.2">
      <c r="C340" s="4" t="s">
        <v>772</v>
      </c>
      <c r="D340" s="65" t="s">
        <v>326</v>
      </c>
      <c r="E340" s="980">
        <v>3600</v>
      </c>
      <c r="F340" s="980">
        <f>E340*(1+E$384)</f>
        <v>3672</v>
      </c>
      <c r="G340" s="980">
        <f>F340*(1+F$384)</f>
        <v>3745.44</v>
      </c>
      <c r="H340" s="980">
        <f>G340*(1+G$384)</f>
        <v>3820.3488000000002</v>
      </c>
      <c r="I340" s="980">
        <f>H340*(1+H$384)</f>
        <v>3896.7557760000004</v>
      </c>
      <c r="J340" s="576"/>
    </row>
    <row r="341" spans="3:10" x14ac:dyDescent="0.2">
      <c r="C341" t="s">
        <v>225</v>
      </c>
      <c r="D341" s="72" t="s">
        <v>11</v>
      </c>
      <c r="E341" s="736">
        <f>E340/E303</f>
        <v>9</v>
      </c>
      <c r="F341" s="736">
        <f>F340/F303</f>
        <v>9.18</v>
      </c>
      <c r="G341" s="736">
        <f>G340/G303</f>
        <v>9.3635999999999999</v>
      </c>
      <c r="H341" s="736">
        <f>H340/H303</f>
        <v>9.550872</v>
      </c>
      <c r="I341" s="736">
        <f>I340/I303</f>
        <v>9.7418894400000013</v>
      </c>
      <c r="J341" s="82"/>
    </row>
    <row r="342" spans="3:10" x14ac:dyDescent="0.2">
      <c r="C342" s="4" t="s">
        <v>773</v>
      </c>
      <c r="D342" s="65" t="s">
        <v>327</v>
      </c>
      <c r="E342" s="980">
        <v>0</v>
      </c>
      <c r="F342" s="980">
        <f t="shared" ref="F342:I343" si="40">E342*(1+E$384)</f>
        <v>0</v>
      </c>
      <c r="G342" s="980">
        <f t="shared" si="40"/>
        <v>0</v>
      </c>
      <c r="H342" s="980">
        <f t="shared" si="40"/>
        <v>0</v>
      </c>
      <c r="I342" s="980">
        <f t="shared" si="40"/>
        <v>0</v>
      </c>
      <c r="J342" s="576"/>
    </row>
    <row r="343" spans="3:10" x14ac:dyDescent="0.2">
      <c r="C343" s="4" t="s">
        <v>773</v>
      </c>
      <c r="D343" s="65" t="s">
        <v>328</v>
      </c>
      <c r="E343" s="980">
        <v>0</v>
      </c>
      <c r="F343" s="980">
        <f t="shared" si="40"/>
        <v>0</v>
      </c>
      <c r="G343" s="980">
        <f t="shared" si="40"/>
        <v>0</v>
      </c>
      <c r="H343" s="980">
        <f t="shared" si="40"/>
        <v>0</v>
      </c>
      <c r="I343" s="980">
        <f t="shared" si="40"/>
        <v>0</v>
      </c>
      <c r="J343" s="576"/>
    </row>
    <row r="344" spans="3:10" x14ac:dyDescent="0.2">
      <c r="C344" s="4" t="s">
        <v>774</v>
      </c>
      <c r="D344" s="72" t="s">
        <v>11</v>
      </c>
      <c r="E344" s="83">
        <f>E340+E342+E343</f>
        <v>3600</v>
      </c>
      <c r="F344" s="83">
        <f>F340+F342+F343</f>
        <v>3672</v>
      </c>
      <c r="G344" s="83">
        <f>G340+G342+G343</f>
        <v>3745.44</v>
      </c>
      <c r="H344" s="83">
        <f>H340+H342+H343</f>
        <v>3820.3488000000002</v>
      </c>
      <c r="I344" s="83">
        <f>I340+I342+I343</f>
        <v>3896.7557760000004</v>
      </c>
      <c r="J344" s="83"/>
    </row>
    <row r="345" spans="3:10" ht="6" customHeight="1" x14ac:dyDescent="0.2">
      <c r="D345" s="65"/>
      <c r="E345" s="190"/>
      <c r="F345" s="190"/>
      <c r="G345" s="190"/>
      <c r="H345" s="190"/>
      <c r="I345" s="190"/>
    </row>
    <row r="346" spans="3:10" x14ac:dyDescent="0.2">
      <c r="C346" s="56" t="s">
        <v>159</v>
      </c>
      <c r="D346" s="65"/>
      <c r="E346" s="190"/>
      <c r="F346" s="190"/>
      <c r="G346" s="190"/>
      <c r="H346" s="190"/>
      <c r="I346" s="190"/>
    </row>
    <row r="347" spans="3:10" x14ac:dyDescent="0.2">
      <c r="C347" t="s">
        <v>160</v>
      </c>
      <c r="D347" s="65" t="s">
        <v>329</v>
      </c>
      <c r="E347" s="980">
        <v>3700</v>
      </c>
      <c r="F347" s="980">
        <f>E347*(1+E$384)</f>
        <v>3774</v>
      </c>
      <c r="G347" s="980">
        <f>F347*(1+F$384)</f>
        <v>3849.48</v>
      </c>
      <c r="H347" s="980">
        <f>G347*(1+G$384)</f>
        <v>3926.4695999999999</v>
      </c>
      <c r="I347" s="980">
        <f>H347*(1+H$384)</f>
        <v>4004.9989919999998</v>
      </c>
      <c r="J347" s="576"/>
    </row>
    <row r="348" spans="3:10" x14ac:dyDescent="0.2">
      <c r="C348" t="s">
        <v>226</v>
      </c>
      <c r="D348" s="72" t="s">
        <v>11</v>
      </c>
      <c r="E348" s="390">
        <f>E347/E303</f>
        <v>9.25</v>
      </c>
      <c r="F348" s="390">
        <f>F347/F303</f>
        <v>9.4350000000000005</v>
      </c>
      <c r="G348" s="390">
        <f>G347/G303</f>
        <v>9.6236999999999995</v>
      </c>
      <c r="H348" s="390">
        <f>H347/H303</f>
        <v>9.8161740000000002</v>
      </c>
      <c r="I348" s="390">
        <f>I347/I303</f>
        <v>10.01249748</v>
      </c>
      <c r="J348" s="82"/>
    </row>
    <row r="349" spans="3:10" x14ac:dyDescent="0.2">
      <c r="C349" t="s">
        <v>162</v>
      </c>
      <c r="D349" s="65" t="s">
        <v>330</v>
      </c>
      <c r="E349" s="980">
        <v>1500</v>
      </c>
      <c r="F349" s="980">
        <f>E349*(1+E$384)</f>
        <v>1530</v>
      </c>
      <c r="G349" s="980">
        <f>F349*(1+F$384)</f>
        <v>1560.6000000000001</v>
      </c>
      <c r="H349" s="980">
        <f>G349*(1+G$384)</f>
        <v>1591.8120000000001</v>
      </c>
      <c r="I349" s="980">
        <f>H349*(1+H$384)</f>
        <v>1623.6482400000002</v>
      </c>
      <c r="J349" s="576"/>
    </row>
    <row r="350" spans="3:10" x14ac:dyDescent="0.2">
      <c r="C350" t="s">
        <v>227</v>
      </c>
      <c r="D350" s="72" t="s">
        <v>11</v>
      </c>
      <c r="E350" s="186">
        <f>E349/E303</f>
        <v>3.75</v>
      </c>
      <c r="F350" s="186">
        <f>F349/F303</f>
        <v>3.8250000000000002</v>
      </c>
      <c r="G350" s="186">
        <f>G349/G303</f>
        <v>3.9015000000000004</v>
      </c>
      <c r="H350" s="186">
        <f>H349/H303</f>
        <v>3.9795300000000005</v>
      </c>
      <c r="I350" s="186">
        <f>I349/I303</f>
        <v>4.0591206000000009</v>
      </c>
      <c r="J350" s="82"/>
    </row>
    <row r="351" spans="3:10" ht="6" customHeight="1" x14ac:dyDescent="0.2"/>
    <row r="352" spans="3:10" x14ac:dyDescent="0.2">
      <c r="C352" s="56" t="s">
        <v>484</v>
      </c>
    </row>
    <row r="353" spans="2:10" x14ac:dyDescent="0.2">
      <c r="C353" t="s">
        <v>161</v>
      </c>
      <c r="D353" s="65" t="s">
        <v>331</v>
      </c>
      <c r="E353" s="980">
        <v>2500</v>
      </c>
      <c r="F353" s="980">
        <f>E353*(1+E$384)</f>
        <v>2550</v>
      </c>
      <c r="G353" s="980">
        <f>F353*(1+F$384)</f>
        <v>2601</v>
      </c>
      <c r="H353" s="980">
        <f>G353*(1+G$384)</f>
        <v>2653.02</v>
      </c>
      <c r="I353" s="980">
        <f>H353*(1+H$384)</f>
        <v>2706.0803999999998</v>
      </c>
      <c r="J353" s="576"/>
    </row>
    <row r="354" spans="2:10" x14ac:dyDescent="0.2">
      <c r="C354" t="s">
        <v>228</v>
      </c>
      <c r="D354" s="72" t="s">
        <v>11</v>
      </c>
      <c r="E354" s="186">
        <f>E353/E303</f>
        <v>6.25</v>
      </c>
      <c r="F354" s="186">
        <f>F353/F303</f>
        <v>6.375</v>
      </c>
      <c r="G354" s="186">
        <f>G353/G303</f>
        <v>6.5025000000000004</v>
      </c>
      <c r="H354" s="186">
        <f>H353/H303</f>
        <v>6.6325500000000002</v>
      </c>
      <c r="I354" s="186">
        <f>I353/I303</f>
        <v>6.7652009999999994</v>
      </c>
      <c r="J354" s="82"/>
    </row>
    <row r="355" spans="2:10" x14ac:dyDescent="0.2">
      <c r="C355" t="s">
        <v>165</v>
      </c>
      <c r="D355" s="65" t="s">
        <v>332</v>
      </c>
      <c r="E355" s="980">
        <v>2000</v>
      </c>
      <c r="F355" s="980">
        <f>E355*(1+E$384)</f>
        <v>2040</v>
      </c>
      <c r="G355" s="980">
        <f>F355*(1+F$384)</f>
        <v>2080.8000000000002</v>
      </c>
      <c r="H355" s="980">
        <f>G355*(1+G$384)</f>
        <v>2122.4160000000002</v>
      </c>
      <c r="I355" s="980">
        <f>H355*(1+H$384)</f>
        <v>2164.8643200000001</v>
      </c>
      <c r="J355" s="576"/>
    </row>
    <row r="356" spans="2:10" x14ac:dyDescent="0.2">
      <c r="C356" t="s">
        <v>229</v>
      </c>
      <c r="D356" s="72" t="s">
        <v>11</v>
      </c>
      <c r="E356" s="186">
        <f>E355/E303</f>
        <v>5</v>
      </c>
      <c r="F356" s="186">
        <f>F355/F303</f>
        <v>5.0999999999999996</v>
      </c>
      <c r="G356" s="186">
        <f>G355/G303</f>
        <v>5.2020000000000008</v>
      </c>
      <c r="H356" s="186">
        <f>H355/H303</f>
        <v>5.3060400000000003</v>
      </c>
      <c r="I356" s="186">
        <f>I355/I303</f>
        <v>5.4121608000000005</v>
      </c>
      <c r="J356" s="82"/>
    </row>
    <row r="357" spans="2:10" x14ac:dyDescent="0.2">
      <c r="D357" s="65"/>
      <c r="E357" s="190"/>
      <c r="F357" s="190"/>
      <c r="G357" s="190"/>
      <c r="H357" s="190"/>
      <c r="I357" s="190"/>
    </row>
    <row r="358" spans="2:10" x14ac:dyDescent="0.2">
      <c r="B358" s="56" t="s">
        <v>587</v>
      </c>
    </row>
    <row r="359" spans="2:10" x14ac:dyDescent="0.2">
      <c r="C359" s="56" t="s">
        <v>143</v>
      </c>
      <c r="D359" s="65"/>
      <c r="E359" s="65" t="str">
        <f>$E$15</f>
        <v>Year #1</v>
      </c>
      <c r="F359" s="65" t="str">
        <f>$F$15</f>
        <v>Year #2</v>
      </c>
      <c r="G359" s="65" t="str">
        <f>$G$15</f>
        <v>Year #3</v>
      </c>
      <c r="H359" s="65" t="str">
        <f>$H$15</f>
        <v>Year #4</v>
      </c>
      <c r="I359" s="65" t="str">
        <f>$I$15</f>
        <v>Year #5</v>
      </c>
      <c r="J359" s="65"/>
    </row>
    <row r="360" spans="2:10" x14ac:dyDescent="0.2">
      <c r="C360" t="s">
        <v>588</v>
      </c>
      <c r="D360" s="65" t="s">
        <v>333</v>
      </c>
      <c r="E360" s="1023">
        <v>4.5</v>
      </c>
      <c r="F360" s="1023">
        <f t="shared" ref="F360:I361" si="41">E360</f>
        <v>4.5</v>
      </c>
      <c r="G360" s="1023">
        <f t="shared" si="41"/>
        <v>4.5</v>
      </c>
      <c r="H360" s="1023">
        <f t="shared" si="41"/>
        <v>4.5</v>
      </c>
      <c r="I360" s="1023">
        <f t="shared" si="41"/>
        <v>4.5</v>
      </c>
      <c r="J360" s="579"/>
    </row>
    <row r="361" spans="2:10" x14ac:dyDescent="0.2">
      <c r="C361" t="s">
        <v>591</v>
      </c>
      <c r="D361" s="65" t="s">
        <v>334</v>
      </c>
      <c r="E361" s="1023">
        <v>4.5</v>
      </c>
      <c r="F361" s="1023">
        <f t="shared" si="41"/>
        <v>4.5</v>
      </c>
      <c r="G361" s="1023">
        <f t="shared" si="41"/>
        <v>4.5</v>
      </c>
      <c r="H361" s="1023">
        <f t="shared" si="41"/>
        <v>4.5</v>
      </c>
      <c r="I361" s="1023">
        <f t="shared" si="41"/>
        <v>4.5</v>
      </c>
      <c r="J361" s="579"/>
    </row>
    <row r="362" spans="2:10" x14ac:dyDescent="0.2">
      <c r="C362" t="s">
        <v>163</v>
      </c>
      <c r="D362" s="72" t="s">
        <v>11</v>
      </c>
      <c r="E362" s="84">
        <f>(E57+E52)*E360+(E22+E74)*E361</f>
        <v>4108.5</v>
      </c>
      <c r="F362" s="84">
        <f>(F57+F52)*F360+(F22+F74)*F361</f>
        <v>4108.5</v>
      </c>
      <c r="G362" s="84">
        <f>(G57+G52)*G360+(G22+G74)*G361</f>
        <v>4108.5</v>
      </c>
      <c r="H362" s="84">
        <f>(H57+H52)*H360+(H22+H74)*H361</f>
        <v>4108.5</v>
      </c>
      <c r="I362" s="84">
        <f>(I57+I52)*I360+(I22+I74)*I361</f>
        <v>4108.5</v>
      </c>
      <c r="J362" s="83"/>
    </row>
    <row r="363" spans="2:10" ht="6" customHeight="1" x14ac:dyDescent="0.2">
      <c r="D363" s="72"/>
      <c r="E363" s="83"/>
      <c r="F363" s="83"/>
      <c r="G363" s="83"/>
      <c r="H363" s="83"/>
      <c r="I363" s="83"/>
      <c r="J363" s="83"/>
    </row>
    <row r="364" spans="2:10" x14ac:dyDescent="0.2">
      <c r="C364" s="56" t="s">
        <v>586</v>
      </c>
      <c r="D364" s="65"/>
      <c r="E364" s="65" t="str">
        <f>$E$15</f>
        <v>Year #1</v>
      </c>
      <c r="F364" s="65" t="str">
        <f>$F$15</f>
        <v>Year #2</v>
      </c>
      <c r="G364" s="65" t="str">
        <f>$G$15</f>
        <v>Year #3</v>
      </c>
      <c r="H364" s="65" t="str">
        <f>$H$15</f>
        <v>Year #4</v>
      </c>
      <c r="I364" s="65" t="str">
        <f>$I$15</f>
        <v>Year #5</v>
      </c>
      <c r="J364" s="65"/>
    </row>
    <row r="365" spans="2:10" x14ac:dyDescent="0.2">
      <c r="C365" s="503" t="s">
        <v>895</v>
      </c>
      <c r="D365" s="65" t="s">
        <v>335</v>
      </c>
      <c r="E365" s="1023">
        <v>3.9</v>
      </c>
      <c r="F365" s="1023">
        <f t="shared" ref="F365:I366" si="42">E365</f>
        <v>3.9</v>
      </c>
      <c r="G365" s="1023">
        <f t="shared" si="42"/>
        <v>3.9</v>
      </c>
      <c r="H365" s="1023">
        <f t="shared" si="42"/>
        <v>3.9</v>
      </c>
      <c r="I365" s="1023">
        <f t="shared" si="42"/>
        <v>3.9</v>
      </c>
      <c r="J365" s="579"/>
    </row>
    <row r="366" spans="2:10" x14ac:dyDescent="0.2">
      <c r="C366" s="503" t="s">
        <v>901</v>
      </c>
      <c r="D366" s="65" t="s">
        <v>336</v>
      </c>
      <c r="E366" s="1023">
        <v>3.9</v>
      </c>
      <c r="F366" s="1023">
        <f t="shared" si="42"/>
        <v>3.9</v>
      </c>
      <c r="G366" s="1023">
        <f t="shared" si="42"/>
        <v>3.9</v>
      </c>
      <c r="H366" s="1023">
        <f t="shared" si="42"/>
        <v>3.9</v>
      </c>
      <c r="I366" s="1023">
        <f t="shared" si="42"/>
        <v>3.9</v>
      </c>
      <c r="J366" s="579"/>
    </row>
    <row r="367" spans="2:10" x14ac:dyDescent="0.2">
      <c r="C367" t="s">
        <v>589</v>
      </c>
      <c r="D367" s="72" t="s">
        <v>11</v>
      </c>
      <c r="E367" s="84">
        <f>Monthly!AD128</f>
        <v>18625.2</v>
      </c>
      <c r="F367" s="84">
        <f>Monthly!AE128</f>
        <v>18844.320000000003</v>
      </c>
      <c r="G367" s="84">
        <f>(G57+G52)*G365+(G22+G74)*G366</f>
        <v>3560.7000000000003</v>
      </c>
      <c r="H367" s="84">
        <f>(H57+H52)*H365+(H22+H74)*H366</f>
        <v>3560.7000000000003</v>
      </c>
      <c r="I367" s="84">
        <f>(I57+I52)*I365+(I22+I74)*I366</f>
        <v>3560.7000000000003</v>
      </c>
      <c r="J367" s="83"/>
    </row>
    <row r="368" spans="2:10" ht="6" customHeight="1" x14ac:dyDescent="0.2">
      <c r="D368" s="72"/>
      <c r="E368" s="83"/>
      <c r="F368" s="83"/>
      <c r="G368" s="83"/>
      <c r="H368" s="83"/>
      <c r="I368" s="83"/>
      <c r="J368" s="83"/>
    </row>
    <row r="369" spans="2:10" x14ac:dyDescent="0.2">
      <c r="C369" s="56" t="s">
        <v>62</v>
      </c>
      <c r="E369" s="65" t="str">
        <f>$E$15</f>
        <v>Year #1</v>
      </c>
      <c r="F369" s="65" t="str">
        <f>$F$15</f>
        <v>Year #2</v>
      </c>
      <c r="G369" s="65" t="str">
        <f>$G$15</f>
        <v>Year #3</v>
      </c>
      <c r="H369" s="65" t="str">
        <f>$H$15</f>
        <v>Year #4</v>
      </c>
      <c r="I369" s="65" t="str">
        <f>$I$15</f>
        <v>Year #5</v>
      </c>
      <c r="J369" s="65"/>
    </row>
    <row r="370" spans="2:10" x14ac:dyDescent="0.2">
      <c r="C370" t="s">
        <v>230</v>
      </c>
      <c r="D370" s="65" t="s">
        <v>337</v>
      </c>
      <c r="E370" s="1023">
        <v>12</v>
      </c>
      <c r="F370" s="1023">
        <f t="shared" ref="F370:I371" si="43">E370*(1+E$384)</f>
        <v>12.24</v>
      </c>
      <c r="G370" s="1023">
        <f t="shared" si="43"/>
        <v>12.4848</v>
      </c>
      <c r="H370" s="1023">
        <f t="shared" si="43"/>
        <v>12.734496</v>
      </c>
      <c r="I370" s="1023">
        <f t="shared" si="43"/>
        <v>12.989185920000001</v>
      </c>
      <c r="J370" s="579"/>
    </row>
    <row r="371" spans="2:10" x14ac:dyDescent="0.2">
      <c r="C371" t="s">
        <v>590</v>
      </c>
      <c r="D371" s="65" t="s">
        <v>338</v>
      </c>
      <c r="E371" s="1023">
        <v>12</v>
      </c>
      <c r="F371" s="1023">
        <f t="shared" si="43"/>
        <v>12.24</v>
      </c>
      <c r="G371" s="1023">
        <f t="shared" si="43"/>
        <v>12.4848</v>
      </c>
      <c r="H371" s="1023">
        <f t="shared" si="43"/>
        <v>12.734496</v>
      </c>
      <c r="I371" s="1023">
        <f t="shared" si="43"/>
        <v>12.989185920000001</v>
      </c>
      <c r="J371" s="579"/>
    </row>
    <row r="372" spans="2:10" x14ac:dyDescent="0.2">
      <c r="C372" t="s">
        <v>164</v>
      </c>
      <c r="D372" s="72" t="s">
        <v>11</v>
      </c>
      <c r="E372" s="84">
        <f>(E57+E52)*E370+(E22+E74)*E371</f>
        <v>10956</v>
      </c>
      <c r="F372" s="84">
        <f>(F57+F52)*F370+(F22+F74)*F371</f>
        <v>11175.119999999999</v>
      </c>
      <c r="G372" s="84">
        <f>(G57+G52)*G370+(G22+G74)*G371</f>
        <v>11398.6224</v>
      </c>
      <c r="H372" s="84">
        <f>(H57+H52)*H370+(H22+H74)*H371</f>
        <v>11626.594848000001</v>
      </c>
      <c r="I372" s="84">
        <f>(I57+I52)*I370+(I22+I74)*I371</f>
        <v>11859.12674496</v>
      </c>
      <c r="J372" s="83"/>
    </row>
    <row r="373" spans="2:10" ht="6" customHeight="1" x14ac:dyDescent="0.2"/>
    <row r="374" spans="2:10" x14ac:dyDescent="0.2">
      <c r="B374" s="56" t="s">
        <v>69</v>
      </c>
    </row>
    <row r="375" spans="2:10" x14ac:dyDescent="0.2">
      <c r="C375" t="s">
        <v>70</v>
      </c>
      <c r="D375" s="65" t="s">
        <v>339</v>
      </c>
      <c r="E375" s="980">
        <v>2000</v>
      </c>
      <c r="F375" s="980">
        <f>E375*(1+F384)</f>
        <v>2040</v>
      </c>
      <c r="G375" s="980">
        <f>F375*(1+G384)</f>
        <v>2080.8000000000002</v>
      </c>
      <c r="H375" s="980">
        <f>G375*(1+H384)</f>
        <v>2122.4160000000002</v>
      </c>
      <c r="I375" s="980">
        <f>H375*(1+I384)</f>
        <v>2164.8643200000001</v>
      </c>
      <c r="J375" s="576"/>
    </row>
    <row r="376" spans="2:10" x14ac:dyDescent="0.2">
      <c r="C376" t="s">
        <v>71</v>
      </c>
      <c r="D376" s="65" t="s">
        <v>340</v>
      </c>
      <c r="E376" s="980">
        <v>2200</v>
      </c>
      <c r="F376" s="980">
        <f>E376*(1+F384)</f>
        <v>2244</v>
      </c>
      <c r="G376" s="980">
        <f>F376*(1+G384)</f>
        <v>2288.88</v>
      </c>
      <c r="H376" s="980">
        <f>G376*(1+H384)</f>
        <v>2334.6576</v>
      </c>
      <c r="I376" s="980">
        <f>H376*(1+I384)</f>
        <v>2381.3507519999998</v>
      </c>
      <c r="J376" s="576"/>
    </row>
    <row r="377" spans="2:10" x14ac:dyDescent="0.2">
      <c r="C377" s="4" t="s">
        <v>677</v>
      </c>
      <c r="D377" s="65" t="s">
        <v>345</v>
      </c>
      <c r="E377" s="980">
        <v>1500</v>
      </c>
      <c r="F377" s="980">
        <f>E377*(1+E$384)</f>
        <v>1530</v>
      </c>
      <c r="G377" s="980">
        <f>F377*(1+F$384)</f>
        <v>1560.6000000000001</v>
      </c>
      <c r="H377" s="980">
        <f>G377*(1+G$384)</f>
        <v>1591.8120000000001</v>
      </c>
      <c r="I377" s="980">
        <f>H377*(1+H$384)</f>
        <v>1623.6482400000002</v>
      </c>
      <c r="J377" s="576"/>
    </row>
    <row r="378" spans="2:10" x14ac:dyDescent="0.2">
      <c r="C378" t="s">
        <v>87</v>
      </c>
      <c r="D378" s="65" t="s">
        <v>346</v>
      </c>
      <c r="E378" s="980">
        <v>125000</v>
      </c>
      <c r="F378" s="980">
        <f>E378*(1+F384)</f>
        <v>127500</v>
      </c>
      <c r="G378" s="980">
        <f>F378*(1+G384)</f>
        <v>130050</v>
      </c>
      <c r="H378" s="980">
        <f>G378*(1+H384)</f>
        <v>132651</v>
      </c>
      <c r="I378" s="980">
        <f>H378*(1+I384)</f>
        <v>135304.01999999999</v>
      </c>
      <c r="J378" s="576"/>
    </row>
    <row r="379" spans="2:10" x14ac:dyDescent="0.2">
      <c r="C379" t="s">
        <v>86</v>
      </c>
      <c r="D379" s="65" t="s">
        <v>347</v>
      </c>
      <c r="E379" s="1023">
        <v>0.45</v>
      </c>
      <c r="F379" s="1023">
        <f>E379</f>
        <v>0.45</v>
      </c>
      <c r="G379" s="1023">
        <f>F379</f>
        <v>0.45</v>
      </c>
      <c r="H379" s="1023">
        <f>G379</f>
        <v>0.45</v>
      </c>
      <c r="I379" s="1023">
        <f>H379</f>
        <v>0.45</v>
      </c>
      <c r="J379" s="579"/>
    </row>
    <row r="380" spans="2:10" x14ac:dyDescent="0.2">
      <c r="C380" t="s">
        <v>96</v>
      </c>
      <c r="D380" s="72" t="s">
        <v>11</v>
      </c>
      <c r="E380" s="1089">
        <f>E378/100*E379</f>
        <v>562.5</v>
      </c>
      <c r="F380" s="1089">
        <f>F378/100*F379</f>
        <v>573.75</v>
      </c>
      <c r="G380" s="1089">
        <f>G378/100*G379</f>
        <v>585.22500000000002</v>
      </c>
      <c r="H380" s="1089">
        <f>H378/100*H379</f>
        <v>596.92949999999996</v>
      </c>
      <c r="I380" s="1089">
        <f>I378/100*I379</f>
        <v>608.86808999999994</v>
      </c>
      <c r="J380" s="83"/>
    </row>
    <row r="381" spans="2:10" x14ac:dyDescent="0.2">
      <c r="C381" t="s">
        <v>231</v>
      </c>
      <c r="D381" s="65" t="s">
        <v>398</v>
      </c>
      <c r="E381" s="1039">
        <f>E16*E26+E17*E33</f>
        <v>188000</v>
      </c>
      <c r="F381" s="1039">
        <f>F16*F26+F17*F33</f>
        <v>188000</v>
      </c>
      <c r="G381" s="1039">
        <f>G16*G26+G17*G33</f>
        <v>188000</v>
      </c>
      <c r="H381" s="1039">
        <f>H16*H26+H17*H33</f>
        <v>188000</v>
      </c>
      <c r="I381" s="1039">
        <f>I16*I26+I17*I33</f>
        <v>188000</v>
      </c>
      <c r="J381" s="594"/>
    </row>
    <row r="382" spans="2:10" x14ac:dyDescent="0.2">
      <c r="C382" t="s">
        <v>232</v>
      </c>
      <c r="D382" s="65" t="s">
        <v>399</v>
      </c>
      <c r="E382" s="1023">
        <v>0.55000000000000004</v>
      </c>
      <c r="F382" s="1023">
        <f>E382</f>
        <v>0.55000000000000004</v>
      </c>
      <c r="G382" s="1023">
        <f>F382</f>
        <v>0.55000000000000004</v>
      </c>
      <c r="H382" s="1023">
        <f>G382</f>
        <v>0.55000000000000004</v>
      </c>
      <c r="I382" s="1023">
        <f>H382</f>
        <v>0.55000000000000004</v>
      </c>
      <c r="J382" s="579"/>
    </row>
    <row r="383" spans="2:10" x14ac:dyDescent="0.2">
      <c r="C383" t="s">
        <v>233</v>
      </c>
      <c r="D383" s="72" t="s">
        <v>11</v>
      </c>
      <c r="E383" s="737">
        <f>E381/100*E382</f>
        <v>1034</v>
      </c>
      <c r="F383" s="737">
        <f>F381/100*F382</f>
        <v>1034</v>
      </c>
      <c r="G383" s="737">
        <f>G381/100*G382</f>
        <v>1034</v>
      </c>
      <c r="H383" s="737">
        <f>H381/100*H382</f>
        <v>1034</v>
      </c>
      <c r="I383" s="737">
        <f>I381/100*I382</f>
        <v>1034</v>
      </c>
      <c r="J383" s="83"/>
    </row>
    <row r="384" spans="2:10" x14ac:dyDescent="0.2">
      <c r="C384" s="56" t="s">
        <v>72</v>
      </c>
      <c r="D384" s="65" t="s">
        <v>400</v>
      </c>
      <c r="E384" s="1040">
        <v>0.02</v>
      </c>
      <c r="F384" s="1040">
        <f>E384</f>
        <v>0.02</v>
      </c>
      <c r="G384" s="1040">
        <f>F384</f>
        <v>0.02</v>
      </c>
      <c r="H384" s="1040">
        <f>G384</f>
        <v>0.02</v>
      </c>
      <c r="I384" s="1040">
        <f>H384</f>
        <v>0.02</v>
      </c>
      <c r="J384" s="595"/>
    </row>
    <row r="385" spans="2:10" ht="6" customHeight="1" x14ac:dyDescent="0.2">
      <c r="C385" s="56"/>
      <c r="D385" s="65"/>
      <c r="E385" s="394"/>
      <c r="F385" s="394"/>
      <c r="G385" s="394"/>
      <c r="H385" s="394"/>
      <c r="I385" s="394"/>
    </row>
    <row r="386" spans="2:10" x14ac:dyDescent="0.2">
      <c r="B386" s="56" t="s">
        <v>365</v>
      </c>
      <c r="C386" s="56"/>
      <c r="D386" s="65"/>
      <c r="E386" s="394" t="s">
        <v>799</v>
      </c>
      <c r="F386" s="394"/>
      <c r="G386" s="394" t="s">
        <v>799</v>
      </c>
      <c r="H386" s="394"/>
      <c r="I386" s="394"/>
    </row>
    <row r="387" spans="2:10" x14ac:dyDescent="0.2">
      <c r="B387" t="s">
        <v>1</v>
      </c>
      <c r="C387" s="56" t="s">
        <v>366</v>
      </c>
      <c r="D387" s="65"/>
      <c r="E387" s="65" t="str">
        <f>$E$15</f>
        <v>Year #1</v>
      </c>
      <c r="F387" s="65" t="str">
        <f>$F$15</f>
        <v>Year #2</v>
      </c>
      <c r="G387" s="65" t="str">
        <f>$G$15</f>
        <v>Year #3</v>
      </c>
      <c r="H387" s="65" t="str">
        <f>$H$15</f>
        <v>Year #4</v>
      </c>
      <c r="I387" s="65" t="str">
        <f>$I$15</f>
        <v>Year #5</v>
      </c>
      <c r="J387" s="65"/>
    </row>
    <row r="388" spans="2:10" x14ac:dyDescent="0.2">
      <c r="C388" s="85" t="s">
        <v>367</v>
      </c>
      <c r="D388" s="41" t="s">
        <v>401</v>
      </c>
      <c r="E388" s="980">
        <v>0</v>
      </c>
      <c r="F388" s="980">
        <f>IF(Income_Expense!$D45&gt;0,Income_Expense!D45,0)</f>
        <v>34450.852899645426</v>
      </c>
      <c r="G388" s="980">
        <f>IF(Income_Expense!E45&gt;0,Income_Expense!E45,0)</f>
        <v>67445.115758284606</v>
      </c>
      <c r="H388" s="980">
        <f>IF(Income_Expense!F45&gt;0,Income_Expense!F45,0)</f>
        <v>98375.211779360165</v>
      </c>
      <c r="I388" s="980">
        <f>IF(Income_Expense!G45&gt;0,Income_Expense!G45,0)</f>
        <v>127634.99345883574</v>
      </c>
      <c r="J388" s="576"/>
    </row>
    <row r="389" spans="2:10" x14ac:dyDescent="0.2">
      <c r="C389" s="86" t="s">
        <v>368</v>
      </c>
      <c r="D389" s="65" t="s">
        <v>402</v>
      </c>
      <c r="E389" s="980">
        <v>0</v>
      </c>
      <c r="F389" s="980">
        <f>E389</f>
        <v>0</v>
      </c>
      <c r="G389" s="980">
        <f>F389</f>
        <v>0</v>
      </c>
      <c r="H389" s="980">
        <f>G389</f>
        <v>0</v>
      </c>
      <c r="I389" s="980">
        <f>H389</f>
        <v>0</v>
      </c>
      <c r="J389" s="576"/>
    </row>
    <row r="390" spans="2:10" x14ac:dyDescent="0.2">
      <c r="C390" s="86" t="s">
        <v>373</v>
      </c>
      <c r="D390" s="65" t="s">
        <v>403</v>
      </c>
      <c r="E390" s="980">
        <v>0</v>
      </c>
      <c r="F390" s="980">
        <f>IF(E176&gt;0,E176*E217,0)</f>
        <v>0</v>
      </c>
      <c r="G390" s="980">
        <f>IF(F176&gt;0,F176*F217,0)</f>
        <v>0</v>
      </c>
      <c r="H390" s="980">
        <f>IF(G176&gt;0,G176*G217,0)</f>
        <v>0</v>
      </c>
      <c r="I390" s="980">
        <f>IF(H176&gt;0,H176*H217,0)</f>
        <v>0</v>
      </c>
      <c r="J390" s="576"/>
    </row>
    <row r="391" spans="2:10" x14ac:dyDescent="0.2">
      <c r="C391" s="86" t="s">
        <v>374</v>
      </c>
      <c r="D391" s="65" t="s">
        <v>404</v>
      </c>
      <c r="E391" s="980">
        <f>IF(E16&gt;0,E16*E26,0)</f>
        <v>180000</v>
      </c>
      <c r="F391" s="980">
        <f>IF(E27&gt;0,E27*E26,0)</f>
        <v>180000</v>
      </c>
      <c r="G391" s="980">
        <f>IF(F27&gt;0,F27*F26,0)</f>
        <v>180000</v>
      </c>
      <c r="H391" s="980">
        <f>IF(G27&gt;0,G27*G26,0)</f>
        <v>180000</v>
      </c>
      <c r="I391" s="980">
        <f>IF(H27&gt;0,H27*H26,0)</f>
        <v>180000</v>
      </c>
      <c r="J391" s="576"/>
    </row>
    <row r="392" spans="2:10" x14ac:dyDescent="0.2">
      <c r="C392" s="86" t="s">
        <v>447</v>
      </c>
      <c r="D392" s="65" t="s">
        <v>405</v>
      </c>
      <c r="E392" s="980">
        <f>IF(E17&gt;0,E17*E33,0)</f>
        <v>8000</v>
      </c>
      <c r="F392" s="980">
        <f>IF(E17&gt;0,E17*E33,0)</f>
        <v>8000</v>
      </c>
      <c r="G392" s="980">
        <f>IF(F17&gt;0,F17*F33,0)</f>
        <v>8000</v>
      </c>
      <c r="H392" s="980">
        <f>IF(G17&gt;0,G17*G33,0)</f>
        <v>8000</v>
      </c>
      <c r="I392" s="980">
        <f>IF(H17&gt;0,H17*H33,0)</f>
        <v>8000</v>
      </c>
      <c r="J392" s="576"/>
    </row>
    <row r="393" spans="2:10" x14ac:dyDescent="0.2">
      <c r="C393" s="86" t="s">
        <v>369</v>
      </c>
      <c r="D393" s="65" t="s">
        <v>406</v>
      </c>
      <c r="E393" s="980">
        <v>0</v>
      </c>
      <c r="F393" s="980">
        <f t="shared" ref="F393:I394" si="44">E393</f>
        <v>0</v>
      </c>
      <c r="G393" s="980">
        <f t="shared" si="44"/>
        <v>0</v>
      </c>
      <c r="H393" s="980">
        <f t="shared" si="44"/>
        <v>0</v>
      </c>
      <c r="I393" s="980">
        <f t="shared" si="44"/>
        <v>0</v>
      </c>
      <c r="J393" s="576"/>
    </row>
    <row r="394" spans="2:10" x14ac:dyDescent="0.2">
      <c r="C394" s="86" t="s">
        <v>370</v>
      </c>
      <c r="D394" s="65" t="s">
        <v>407</v>
      </c>
      <c r="E394" s="980">
        <v>0</v>
      </c>
      <c r="F394" s="980">
        <f t="shared" si="44"/>
        <v>0</v>
      </c>
      <c r="G394" s="980">
        <f t="shared" si="44"/>
        <v>0</v>
      </c>
      <c r="H394" s="980">
        <f t="shared" si="44"/>
        <v>0</v>
      </c>
      <c r="I394" s="980">
        <f t="shared" si="44"/>
        <v>0</v>
      </c>
      <c r="J394" s="576"/>
    </row>
    <row r="395" spans="2:10" x14ac:dyDescent="0.2">
      <c r="C395" s="86" t="s">
        <v>371</v>
      </c>
      <c r="D395" s="65" t="s">
        <v>408</v>
      </c>
      <c r="E395" s="980">
        <v>100000</v>
      </c>
      <c r="F395" s="980">
        <f>Depreciation!F5</f>
        <v>100000</v>
      </c>
      <c r="G395" s="980">
        <f>Depreciation!H5</f>
        <v>100000</v>
      </c>
      <c r="H395" s="980">
        <f>Depreciation!J5</f>
        <v>100000</v>
      </c>
      <c r="I395" s="980">
        <f>Depreciation!L5</f>
        <v>100000</v>
      </c>
      <c r="J395" s="576"/>
    </row>
    <row r="396" spans="2:10" x14ac:dyDescent="0.2">
      <c r="C396" s="86" t="s">
        <v>474</v>
      </c>
      <c r="D396" s="65" t="s">
        <v>409</v>
      </c>
      <c r="E396" s="980">
        <v>75000</v>
      </c>
      <c r="F396" s="980">
        <f>Depreciation!F6</f>
        <v>71250</v>
      </c>
      <c r="G396" s="980">
        <f>Depreciation!H6</f>
        <v>67687.5</v>
      </c>
      <c r="H396" s="980">
        <f>Depreciation!J6</f>
        <v>64303.125</v>
      </c>
      <c r="I396" s="980">
        <f>Depreciation!L6</f>
        <v>61087.96875</v>
      </c>
      <c r="J396" s="576"/>
    </row>
    <row r="397" spans="2:10" x14ac:dyDescent="0.2">
      <c r="C397" s="86" t="s">
        <v>475</v>
      </c>
      <c r="D397" s="65" t="s">
        <v>410</v>
      </c>
      <c r="E397" s="980">
        <v>50000</v>
      </c>
      <c r="F397" s="980">
        <f>Depreciation!F7</f>
        <v>45000</v>
      </c>
      <c r="G397" s="980">
        <f>Depreciation!H7</f>
        <v>40500</v>
      </c>
      <c r="H397" s="980">
        <f>Depreciation!J7</f>
        <v>36450</v>
      </c>
      <c r="I397" s="980">
        <f>Depreciation!L7</f>
        <v>32805</v>
      </c>
      <c r="J397" s="576"/>
    </row>
    <row r="398" spans="2:10" x14ac:dyDescent="0.2">
      <c r="C398" s="87" t="s">
        <v>476</v>
      </c>
      <c r="D398" s="65" t="s">
        <v>411</v>
      </c>
      <c r="E398" s="980">
        <v>0</v>
      </c>
      <c r="F398" s="980">
        <f>Depreciation!F8</f>
        <v>0</v>
      </c>
      <c r="G398" s="980">
        <f>Depreciation!H8</f>
        <v>0</v>
      </c>
      <c r="H398" s="980">
        <f>Depreciation!J8</f>
        <v>0</v>
      </c>
      <c r="I398" s="980">
        <f>Depreciation!L8</f>
        <v>0</v>
      </c>
      <c r="J398" s="576"/>
    </row>
    <row r="399" spans="2:10" x14ac:dyDescent="0.2">
      <c r="D399" s="88" t="s">
        <v>372</v>
      </c>
      <c r="E399" s="83">
        <f>SUM(E388:E398)</f>
        <v>413000</v>
      </c>
      <c r="F399" s="83">
        <f>SUM(F388:F398)</f>
        <v>438700.85289964546</v>
      </c>
      <c r="G399" s="83">
        <f>SUM(G388:G398)</f>
        <v>463632.61575828458</v>
      </c>
      <c r="H399" s="83">
        <f>SUM(H388:H398)</f>
        <v>487128.33677936019</v>
      </c>
      <c r="I399" s="83">
        <f>SUM(I388:I398)</f>
        <v>509527.96220883576</v>
      </c>
      <c r="J399" s="83"/>
    </row>
    <row r="400" spans="2:10" x14ac:dyDescent="0.2">
      <c r="D400" s="65"/>
      <c r="E400" s="394" t="s">
        <v>811</v>
      </c>
      <c r="F400" s="394"/>
      <c r="G400" s="394" t="s">
        <v>886</v>
      </c>
      <c r="H400" s="394"/>
      <c r="I400" s="394"/>
    </row>
    <row r="401" spans="2:10" x14ac:dyDescent="0.2">
      <c r="B401" s="56"/>
      <c r="C401" s="56" t="s">
        <v>375</v>
      </c>
      <c r="E401" s="65" t="str">
        <f>$E$15</f>
        <v>Year #1</v>
      </c>
      <c r="F401" s="65" t="str">
        <f>$F$15</f>
        <v>Year #2</v>
      </c>
      <c r="G401" s="65" t="str">
        <f>$G$15</f>
        <v>Year #3</v>
      </c>
      <c r="H401" s="65" t="str">
        <f>$H$15</f>
        <v>Year #4</v>
      </c>
      <c r="I401" s="65" t="str">
        <f>$I$15</f>
        <v>Year #5</v>
      </c>
      <c r="J401" s="65"/>
    </row>
    <row r="402" spans="2:10" x14ac:dyDescent="0.2">
      <c r="C402" s="85" t="s">
        <v>376</v>
      </c>
      <c r="D402" s="41" t="s">
        <v>412</v>
      </c>
      <c r="E402" s="980">
        <v>0</v>
      </c>
      <c r="F402" s="980">
        <f>IF(Monthly!Q146&lt;0,Monthly!Q146*(-1),0)</f>
        <v>0</v>
      </c>
      <c r="G402" s="980">
        <f>IF(Monthly!AC146&lt;0,Monthly!AC146*(-1),0)</f>
        <v>0</v>
      </c>
      <c r="H402" s="980">
        <f>IF(Income_Expense!F45&lt;0,Income_Expense!F45*(-1),0)</f>
        <v>0</v>
      </c>
      <c r="I402" s="980">
        <f>IF(Income_Expense!G45&lt;0,Income_Expense!G45*(-1),0)</f>
        <v>0</v>
      </c>
      <c r="J402" s="576"/>
    </row>
    <row r="403" spans="2:10" x14ac:dyDescent="0.2">
      <c r="C403" s="89" t="s">
        <v>377</v>
      </c>
      <c r="D403" s="193" t="s">
        <v>413</v>
      </c>
      <c r="E403" s="980">
        <v>0</v>
      </c>
      <c r="F403" s="980">
        <f t="shared" ref="F403:I404" si="45">E403</f>
        <v>0</v>
      </c>
      <c r="G403" s="980">
        <f t="shared" si="45"/>
        <v>0</v>
      </c>
      <c r="H403" s="980">
        <f t="shared" si="45"/>
        <v>0</v>
      </c>
      <c r="I403" s="980">
        <f t="shared" si="45"/>
        <v>0</v>
      </c>
      <c r="J403" s="576"/>
    </row>
    <row r="404" spans="2:10" x14ac:dyDescent="0.2">
      <c r="C404" s="89" t="s">
        <v>378</v>
      </c>
      <c r="D404" s="193" t="s">
        <v>414</v>
      </c>
      <c r="E404" s="980">
        <v>0</v>
      </c>
      <c r="F404" s="980">
        <f t="shared" si="45"/>
        <v>0</v>
      </c>
      <c r="G404" s="980">
        <f t="shared" si="45"/>
        <v>0</v>
      </c>
      <c r="H404" s="980">
        <f t="shared" si="45"/>
        <v>0</v>
      </c>
      <c r="I404" s="980">
        <f t="shared" si="45"/>
        <v>0</v>
      </c>
      <c r="J404" s="576"/>
    </row>
    <row r="405" spans="2:10" x14ac:dyDescent="0.2">
      <c r="C405" s="87" t="s">
        <v>379</v>
      </c>
      <c r="D405" s="90" t="s">
        <v>415</v>
      </c>
      <c r="E405" s="980">
        <f>Financing!E40</f>
        <v>6110.4843232559124</v>
      </c>
      <c r="F405" s="980">
        <f>Financing!E41</f>
        <v>6454.7163281280427</v>
      </c>
      <c r="G405" s="980">
        <f>Financing!E42</f>
        <v>6818.3704152937235</v>
      </c>
      <c r="H405" s="980">
        <f>Financing!E43</f>
        <v>7202.5441586006355</v>
      </c>
      <c r="I405" s="980">
        <f>Financing!E44</f>
        <v>7608.3972600173729</v>
      </c>
      <c r="J405" s="576"/>
    </row>
    <row r="406" spans="2:10" x14ac:dyDescent="0.2">
      <c r="D406" s="91" t="s">
        <v>380</v>
      </c>
      <c r="E406" s="84">
        <f>SUM(E402:E405)</f>
        <v>6110.4843232559124</v>
      </c>
      <c r="F406" s="84">
        <f>SUM(F402:F405)</f>
        <v>6454.7163281280427</v>
      </c>
      <c r="G406" s="84">
        <f>SUM(G402:G405)</f>
        <v>6818.3704152937235</v>
      </c>
      <c r="H406" s="84">
        <f>SUM(H402:H405)</f>
        <v>7202.5441586006355</v>
      </c>
      <c r="I406" s="84">
        <f>SUM(I402:I405)</f>
        <v>7608.3972600173729</v>
      </c>
      <c r="J406" s="596"/>
    </row>
    <row r="407" spans="2:10" x14ac:dyDescent="0.2">
      <c r="C407" s="56" t="s">
        <v>381</v>
      </c>
      <c r="E407" s="65" t="str">
        <f>$E$15</f>
        <v>Year #1</v>
      </c>
      <c r="F407" s="65" t="str">
        <f>$F$15</f>
        <v>Year #2</v>
      </c>
      <c r="G407" s="65" t="str">
        <f>$G$15</f>
        <v>Year #3</v>
      </c>
      <c r="H407" s="65" t="str">
        <f>$H$15</f>
        <v>Year #4</v>
      </c>
      <c r="I407" s="65" t="str">
        <f>$I$15</f>
        <v>Year #5</v>
      </c>
    </row>
    <row r="408" spans="2:10" x14ac:dyDescent="0.2">
      <c r="C408" s="503" t="s">
        <v>900</v>
      </c>
      <c r="D408" s="72" t="s">
        <v>11</v>
      </c>
      <c r="E408" s="1090">
        <f>SUM(Income_Expense!D16:'Income_Expense'!D29)</f>
        <v>203506.86548477155</v>
      </c>
      <c r="F408" s="1090">
        <f>SUM(Income_Expense!E16:'Income_Expense'!E29)</f>
        <v>205139.2528181049</v>
      </c>
      <c r="G408" s="1090">
        <f>SUM(Income_Expense!F16:'Income_Expense'!F29)</f>
        <v>207125.41965566852</v>
      </c>
      <c r="H408" s="1090">
        <f>SUM(Income_Expense!G16:'Income_Expense'!G29)</f>
        <v>208795.73399726851</v>
      </c>
      <c r="I408" s="1090">
        <f>SUM(Income_Expense!H16:'Income_Expense'!H29)</f>
        <v>210499.4546257006</v>
      </c>
    </row>
    <row r="409" spans="2:10" x14ac:dyDescent="0.2">
      <c r="C409" t="s">
        <v>121</v>
      </c>
      <c r="D409" s="65" t="s">
        <v>416</v>
      </c>
      <c r="E409" s="1041">
        <f>IF(Monthly!$Q$147&lt;0,Monthly!$Q$147*(-1),0)</f>
        <v>0</v>
      </c>
      <c r="F409" s="1041">
        <f>IF(Monthly!$AC$147&lt;0,Monthly!$AC$147*(-1),0)</f>
        <v>0</v>
      </c>
      <c r="G409" s="1041">
        <f>IF(Income_Expense!F46&lt;0,Income_Expense!F46*-1,0)</f>
        <v>0</v>
      </c>
      <c r="H409" s="1041">
        <f>IF(Income_Expense!G46&lt;0,Income_Expense!G46*-1,0)</f>
        <v>0</v>
      </c>
      <c r="I409" s="1041">
        <f>IF(Income_Expense!H46&lt;0,Income_Expense!H46*-1,0)</f>
        <v>0</v>
      </c>
      <c r="J409" s="28"/>
    </row>
    <row r="410" spans="2:10" x14ac:dyDescent="0.2">
      <c r="C410" t="s">
        <v>106</v>
      </c>
      <c r="D410" s="65" t="s">
        <v>417</v>
      </c>
      <c r="E410" s="1040">
        <v>0.05</v>
      </c>
      <c r="F410" s="1040">
        <f>E410</f>
        <v>0.05</v>
      </c>
      <c r="G410" s="1040">
        <f>F410</f>
        <v>0.05</v>
      </c>
      <c r="H410" s="1040">
        <f>G410</f>
        <v>0.05</v>
      </c>
      <c r="I410" s="1040">
        <f>H410</f>
        <v>0.05</v>
      </c>
      <c r="J410" s="28"/>
    </row>
    <row r="411" spans="2:10" x14ac:dyDescent="0.2">
      <c r="C411" t="s">
        <v>169</v>
      </c>
      <c r="D411" s="72" t="s">
        <v>11</v>
      </c>
      <c r="E411" s="84">
        <f>Monthly!AD133</f>
        <v>97.797292327093842</v>
      </c>
      <c r="F411" s="84">
        <f>Monthly!AE133</f>
        <v>0</v>
      </c>
      <c r="G411" s="84">
        <f>IF(G409&gt;0,G409*G410,0)</f>
        <v>0</v>
      </c>
      <c r="H411" s="84">
        <f>IF(H409&gt;0,H409*H410,0)</f>
        <v>0</v>
      </c>
      <c r="I411" s="84">
        <f>IF(I409&gt;0,I409*I410,0)</f>
        <v>0</v>
      </c>
    </row>
    <row r="412" spans="2:10" ht="6" customHeight="1" x14ac:dyDescent="0.2"/>
    <row r="413" spans="2:10" x14ac:dyDescent="0.2">
      <c r="C413" s="56" t="s">
        <v>122</v>
      </c>
      <c r="E413" s="65"/>
    </row>
    <row r="414" spans="2:10" x14ac:dyDescent="0.2">
      <c r="C414" s="56" t="s">
        <v>173</v>
      </c>
      <c r="E414" s="65" t="s">
        <v>4</v>
      </c>
    </row>
    <row r="415" spans="2:10" x14ac:dyDescent="0.2">
      <c r="C415" t="s">
        <v>123</v>
      </c>
      <c r="D415" s="65" t="s">
        <v>418</v>
      </c>
      <c r="E415" s="980">
        <v>60000</v>
      </c>
    </row>
    <row r="416" spans="2:10" x14ac:dyDescent="0.2">
      <c r="C416" t="s">
        <v>124</v>
      </c>
      <c r="D416" s="65" t="s">
        <v>592</v>
      </c>
      <c r="E416" s="1040">
        <v>0.06</v>
      </c>
    </row>
    <row r="417" spans="3:5" x14ac:dyDescent="0.2">
      <c r="C417" t="s">
        <v>125</v>
      </c>
      <c r="D417" s="65" t="s">
        <v>593</v>
      </c>
      <c r="E417" s="1042">
        <v>20</v>
      </c>
    </row>
    <row r="418" spans="3:5" x14ac:dyDescent="0.2">
      <c r="C418" t="s">
        <v>440</v>
      </c>
      <c r="D418" s="72" t="s">
        <v>11</v>
      </c>
      <c r="E418" s="395">
        <f>IF(E415&gt;0,Financing!D9,0)</f>
        <v>5231.0734186110867</v>
      </c>
    </row>
    <row r="419" spans="3:5" ht="6" customHeight="1" x14ac:dyDescent="0.2">
      <c r="E419" s="56"/>
    </row>
    <row r="420" spans="3:5" x14ac:dyDescent="0.2">
      <c r="C420" s="56" t="s">
        <v>185</v>
      </c>
      <c r="E420" s="65" t="s">
        <v>4</v>
      </c>
    </row>
    <row r="421" spans="3:5" x14ac:dyDescent="0.2">
      <c r="C421" t="s">
        <v>123</v>
      </c>
      <c r="D421" s="65" t="s">
        <v>594</v>
      </c>
      <c r="E421" s="980">
        <v>25000</v>
      </c>
    </row>
    <row r="422" spans="3:5" x14ac:dyDescent="0.2">
      <c r="C422" t="s">
        <v>124</v>
      </c>
      <c r="D422" s="65" t="s">
        <v>595</v>
      </c>
      <c r="E422" s="1040">
        <v>5.5E-2</v>
      </c>
    </row>
    <row r="423" spans="3:5" x14ac:dyDescent="0.2">
      <c r="C423" t="s">
        <v>125</v>
      </c>
      <c r="D423" s="65" t="s">
        <v>596</v>
      </c>
      <c r="E423" s="1037">
        <v>5</v>
      </c>
    </row>
    <row r="424" spans="3:5" x14ac:dyDescent="0.2">
      <c r="C424" t="s">
        <v>440</v>
      </c>
      <c r="D424" s="72" t="s">
        <v>11</v>
      </c>
      <c r="E424" s="395">
        <f>IF(E421&gt;0,Financing!J9,0)</f>
        <v>5854.4109046448257</v>
      </c>
    </row>
    <row r="425" spans="3:5" ht="6" customHeight="1" x14ac:dyDescent="0.2"/>
    <row r="426" spans="3:5" x14ac:dyDescent="0.2">
      <c r="C426" s="56" t="s">
        <v>234</v>
      </c>
      <c r="E426" s="65" t="s">
        <v>4</v>
      </c>
    </row>
    <row r="427" spans="3:5" x14ac:dyDescent="0.2">
      <c r="C427" t="s">
        <v>123</v>
      </c>
      <c r="D427" s="65" t="s">
        <v>705</v>
      </c>
      <c r="E427" s="980">
        <v>0</v>
      </c>
    </row>
    <row r="428" spans="3:5" x14ac:dyDescent="0.2">
      <c r="C428" t="s">
        <v>124</v>
      </c>
      <c r="D428" s="65" t="s">
        <v>706</v>
      </c>
      <c r="E428" s="1040">
        <v>0</v>
      </c>
    </row>
    <row r="429" spans="3:5" x14ac:dyDescent="0.2">
      <c r="C429" t="s">
        <v>125</v>
      </c>
      <c r="D429" s="65" t="s">
        <v>707</v>
      </c>
      <c r="E429" s="1037">
        <v>0</v>
      </c>
    </row>
    <row r="430" spans="3:5" x14ac:dyDescent="0.2">
      <c r="C430" t="s">
        <v>440</v>
      </c>
      <c r="D430" s="72" t="s">
        <v>11</v>
      </c>
      <c r="E430" s="395">
        <f>IF(E427&gt;0,Financing!P9,0)</f>
        <v>0</v>
      </c>
    </row>
    <row r="431" spans="3:5" ht="6" customHeight="1" x14ac:dyDescent="0.2"/>
    <row r="432" spans="3:5" x14ac:dyDescent="0.2">
      <c r="C432" s="56" t="s">
        <v>235</v>
      </c>
      <c r="E432" s="65" t="s">
        <v>5</v>
      </c>
    </row>
    <row r="433" spans="3:5" x14ac:dyDescent="0.2">
      <c r="C433" t="s">
        <v>123</v>
      </c>
      <c r="D433" s="65" t="s">
        <v>708</v>
      </c>
      <c r="E433" s="980">
        <v>0</v>
      </c>
    </row>
    <row r="434" spans="3:5" x14ac:dyDescent="0.2">
      <c r="C434" t="s">
        <v>124</v>
      </c>
      <c r="D434" s="65" t="s">
        <v>709</v>
      </c>
      <c r="E434" s="1040">
        <v>0</v>
      </c>
    </row>
    <row r="435" spans="3:5" x14ac:dyDescent="0.2">
      <c r="C435" t="s">
        <v>125</v>
      </c>
      <c r="D435" s="65" t="s">
        <v>710</v>
      </c>
      <c r="E435" s="1037">
        <v>0</v>
      </c>
    </row>
    <row r="436" spans="3:5" x14ac:dyDescent="0.2">
      <c r="C436" t="s">
        <v>440</v>
      </c>
      <c r="D436" s="72" t="s">
        <v>11</v>
      </c>
      <c r="E436" s="395">
        <f>IF(E433&gt;0,Financing!V9,0)</f>
        <v>0</v>
      </c>
    </row>
    <row r="437" spans="3:5" ht="6" customHeight="1" x14ac:dyDescent="0.2"/>
    <row r="438" spans="3:5" x14ac:dyDescent="0.2">
      <c r="C438" s="56" t="s">
        <v>236</v>
      </c>
      <c r="E438" s="65" t="s">
        <v>6</v>
      </c>
    </row>
    <row r="439" spans="3:5" x14ac:dyDescent="0.2">
      <c r="C439" t="s">
        <v>123</v>
      </c>
      <c r="D439" s="65" t="s">
        <v>876</v>
      </c>
      <c r="E439" s="980">
        <v>0</v>
      </c>
    </row>
    <row r="440" spans="3:5" x14ac:dyDescent="0.2">
      <c r="C440" t="s">
        <v>124</v>
      </c>
      <c r="D440" s="65" t="s">
        <v>877</v>
      </c>
      <c r="E440" s="1040">
        <v>0</v>
      </c>
    </row>
    <row r="441" spans="3:5" x14ac:dyDescent="0.2">
      <c r="C441" t="s">
        <v>125</v>
      </c>
      <c r="D441" s="65" t="s">
        <v>878</v>
      </c>
      <c r="E441" s="1037">
        <v>0</v>
      </c>
    </row>
    <row r="442" spans="3:5" x14ac:dyDescent="0.2">
      <c r="C442" t="s">
        <v>440</v>
      </c>
      <c r="D442" s="72" t="s">
        <v>11</v>
      </c>
      <c r="E442" s="395">
        <f>IF(E439&gt;0,Financing!AB9,0)</f>
        <v>0</v>
      </c>
    </row>
    <row r="443" spans="3:5" ht="6" customHeight="1" x14ac:dyDescent="0.2"/>
    <row r="444" spans="3:5" x14ac:dyDescent="0.2">
      <c r="C444" s="56" t="s">
        <v>237</v>
      </c>
      <c r="E444" s="65" t="s">
        <v>7</v>
      </c>
    </row>
    <row r="445" spans="3:5" x14ac:dyDescent="0.2">
      <c r="C445" t="s">
        <v>123</v>
      </c>
      <c r="D445" s="65" t="s">
        <v>879</v>
      </c>
      <c r="E445" s="980">
        <v>0</v>
      </c>
    </row>
    <row r="446" spans="3:5" x14ac:dyDescent="0.2">
      <c r="C446" t="s">
        <v>124</v>
      </c>
      <c r="D446" s="65" t="s">
        <v>880</v>
      </c>
      <c r="E446" s="1040">
        <v>0</v>
      </c>
    </row>
    <row r="447" spans="3:5" x14ac:dyDescent="0.2">
      <c r="C447" t="s">
        <v>125</v>
      </c>
      <c r="D447" s="65" t="s">
        <v>881</v>
      </c>
      <c r="E447" s="1037">
        <v>0</v>
      </c>
    </row>
    <row r="448" spans="3:5" x14ac:dyDescent="0.2">
      <c r="C448" t="s">
        <v>440</v>
      </c>
      <c r="D448" s="72" t="s">
        <v>11</v>
      </c>
      <c r="E448" s="395">
        <f>IF(E445&gt;0,Financing!AH9,0)</f>
        <v>0</v>
      </c>
    </row>
    <row r="449" spans="2:9" ht="6" customHeight="1" x14ac:dyDescent="0.2"/>
    <row r="450" spans="2:9" x14ac:dyDescent="0.2">
      <c r="C450" s="56" t="s">
        <v>238</v>
      </c>
      <c r="E450" s="65" t="s">
        <v>8</v>
      </c>
    </row>
    <row r="451" spans="2:9" x14ac:dyDescent="0.2">
      <c r="C451" t="s">
        <v>123</v>
      </c>
      <c r="D451" s="65" t="s">
        <v>882</v>
      </c>
      <c r="E451" s="980">
        <v>0</v>
      </c>
    </row>
    <row r="452" spans="2:9" x14ac:dyDescent="0.2">
      <c r="C452" t="s">
        <v>124</v>
      </c>
      <c r="D452" s="65" t="s">
        <v>883</v>
      </c>
      <c r="E452" s="1040">
        <v>0</v>
      </c>
    </row>
    <row r="453" spans="2:9" x14ac:dyDescent="0.2">
      <c r="C453" t="s">
        <v>125</v>
      </c>
      <c r="D453" s="65" t="s">
        <v>884</v>
      </c>
      <c r="E453" s="1037">
        <v>0</v>
      </c>
    </row>
    <row r="454" spans="2:9" x14ac:dyDescent="0.2">
      <c r="C454" t="s">
        <v>440</v>
      </c>
      <c r="D454" s="72" t="s">
        <v>11</v>
      </c>
      <c r="E454" s="395">
        <f>IF(E451&gt;0,Financing!AN9,0)</f>
        <v>0</v>
      </c>
    </row>
    <row r="456" spans="2:9" x14ac:dyDescent="0.2">
      <c r="B456" s="28"/>
    </row>
    <row r="457" spans="2:9" x14ac:dyDescent="0.2">
      <c r="B457" s="28"/>
    </row>
    <row r="458" spans="2:9" x14ac:dyDescent="0.2">
      <c r="B458" s="28"/>
    </row>
    <row r="459" spans="2:9" x14ac:dyDescent="0.2">
      <c r="B459" s="28"/>
    </row>
    <row r="460" spans="2:9" x14ac:dyDescent="0.2">
      <c r="B460" s="28"/>
    </row>
    <row r="461" spans="2:9" x14ac:dyDescent="0.2">
      <c r="B461" s="28"/>
      <c r="C461" s="28"/>
      <c r="D461" s="28"/>
      <c r="E461" s="28"/>
      <c r="F461" s="28"/>
      <c r="G461" s="28"/>
      <c r="H461" s="28"/>
      <c r="I461" s="28"/>
    </row>
    <row r="462" spans="2:9" x14ac:dyDescent="0.2">
      <c r="B462" s="28"/>
      <c r="C462" s="28"/>
      <c r="D462" s="28"/>
      <c r="E462" s="28"/>
      <c r="F462" s="28"/>
      <c r="G462" s="28"/>
      <c r="H462" s="28"/>
      <c r="I462" s="28"/>
    </row>
    <row r="463" spans="2:9" x14ac:dyDescent="0.2">
      <c r="B463" s="28"/>
      <c r="C463" s="28"/>
      <c r="D463" s="28"/>
      <c r="E463" s="28"/>
      <c r="F463" s="28"/>
      <c r="G463" s="28"/>
      <c r="H463" s="28"/>
      <c r="I463" s="28"/>
    </row>
    <row r="464" spans="2:9" x14ac:dyDescent="0.2">
      <c r="B464" s="28"/>
      <c r="C464" s="28"/>
      <c r="D464" s="28"/>
      <c r="E464" s="28"/>
      <c r="F464" s="28"/>
      <c r="G464" s="28"/>
      <c r="H464" s="28"/>
      <c r="I464" s="28"/>
    </row>
    <row r="465" spans="2:9" x14ac:dyDescent="0.2">
      <c r="B465" s="28"/>
      <c r="C465" s="28"/>
      <c r="D465" s="28"/>
      <c r="E465" s="28"/>
      <c r="F465" s="28"/>
      <c r="G465" s="28"/>
      <c r="H465" s="28"/>
      <c r="I465" s="28"/>
    </row>
  </sheetData>
  <sheetProtection sheet="1" objects="1" scenarios="1"/>
  <mergeCells count="1">
    <mergeCell ref="B13:I13"/>
  </mergeCells>
  <phoneticPr fontId="0" type="noConversion"/>
  <pageMargins left="0.75" right="0.75" top="1" bottom="1" header="0.5" footer="0.5"/>
  <pageSetup scale="61" fitToHeight="0" orientation="portrait" r:id="rId1"/>
  <headerFooter alignWithMargins="0">
    <oddFooter>&amp;CEwePLAN Copyright Government of Saskatchewan, Developed by Brad Marceniuk&amp;RPage 8</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AcceleratedInputSheet">
                <anchor moveWithCells="1">
                  <from>
                    <xdr:col>1</xdr:col>
                    <xdr:colOff>0</xdr:colOff>
                    <xdr:row>0</xdr:row>
                    <xdr:rowOff>161925</xdr:rowOff>
                  </from>
                  <to>
                    <xdr:col>3</xdr:col>
                    <xdr:colOff>619125</xdr:colOff>
                    <xdr:row>2</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
  <dimension ref="B4:H104"/>
  <sheetViews>
    <sheetView showGridLines="0" showRowColHeaders="0" zoomScale="110" zoomScaleNormal="110" workbookViewId="0">
      <selection activeCell="B56" sqref="B56:H90"/>
    </sheetView>
  </sheetViews>
  <sheetFormatPr defaultRowHeight="12.75" x14ac:dyDescent="0.2"/>
  <cols>
    <col min="2" max="2" width="5.7109375" customWidth="1"/>
    <col min="3" max="3" width="14.7109375" customWidth="1"/>
    <col min="4" max="8" width="11.7109375" customWidth="1"/>
  </cols>
  <sheetData>
    <row r="4" spans="2:8" ht="13.5" thickBot="1" x14ac:dyDescent="0.25">
      <c r="C4" s="366" t="s">
        <v>696</v>
      </c>
    </row>
    <row r="5" spans="2:8" x14ac:dyDescent="0.2">
      <c r="C5" s="1413"/>
      <c r="D5" s="1414" t="s">
        <v>4</v>
      </c>
      <c r="E5" s="1414" t="s">
        <v>5</v>
      </c>
      <c r="F5" s="1414" t="s">
        <v>6</v>
      </c>
      <c r="G5" s="1414" t="s">
        <v>7</v>
      </c>
      <c r="H5" s="1415" t="s">
        <v>8</v>
      </c>
    </row>
    <row r="6" spans="2:8" x14ac:dyDescent="0.2">
      <c r="C6" s="1416" t="s">
        <v>688</v>
      </c>
      <c r="D6" s="1417">
        <f t="shared" ref="D6:H7" si="0">D40+D53+D87</f>
        <v>9862.5584289565704</v>
      </c>
      <c r="E6" s="1417">
        <f t="shared" si="0"/>
        <v>9862.5584289565704</v>
      </c>
      <c r="F6" s="1417">
        <f t="shared" si="0"/>
        <v>9862.5584289565704</v>
      </c>
      <c r="G6" s="1417">
        <f t="shared" si="0"/>
        <v>9862.5584289565704</v>
      </c>
      <c r="H6" s="1418">
        <f t="shared" si="0"/>
        <v>9862.5584289565704</v>
      </c>
    </row>
    <row r="7" spans="2:8" x14ac:dyDescent="0.2">
      <c r="C7" s="1419" t="s">
        <v>689</v>
      </c>
      <c r="D7" s="1420">
        <f t="shared" si="0"/>
        <v>232.00761802334699</v>
      </c>
      <c r="E7" s="1420">
        <f t="shared" si="0"/>
        <v>232.00761802334699</v>
      </c>
      <c r="F7" s="1420">
        <f t="shared" si="0"/>
        <v>232.00761802334699</v>
      </c>
      <c r="G7" s="1420">
        <f t="shared" si="0"/>
        <v>232.00761802334699</v>
      </c>
      <c r="H7" s="1421">
        <f t="shared" si="0"/>
        <v>232.00761802334699</v>
      </c>
    </row>
    <row r="8" spans="2:8" x14ac:dyDescent="0.2">
      <c r="C8" s="1422" t="s">
        <v>976</v>
      </c>
      <c r="D8" s="1423">
        <f>D89</f>
        <v>24.500907441016334</v>
      </c>
      <c r="E8" s="1423">
        <f t="shared" ref="E8:H8" si="1">E89</f>
        <v>24.500907441016334</v>
      </c>
      <c r="F8" s="1423">
        <f t="shared" si="1"/>
        <v>24.500907441016334</v>
      </c>
      <c r="G8" s="1423">
        <f t="shared" si="1"/>
        <v>24.500907441016334</v>
      </c>
      <c r="H8" s="1418">
        <f t="shared" si="1"/>
        <v>24.500907441016334</v>
      </c>
    </row>
    <row r="9" spans="2:8" ht="13.5" thickBot="1" x14ac:dyDescent="0.25">
      <c r="C9" s="1424" t="s">
        <v>815</v>
      </c>
      <c r="D9" s="1425">
        <f>D90</f>
        <v>0</v>
      </c>
      <c r="E9" s="1425">
        <f t="shared" ref="E9:H9" si="2">E90</f>
        <v>0</v>
      </c>
      <c r="F9" s="1425">
        <f t="shared" si="2"/>
        <v>0</v>
      </c>
      <c r="G9" s="1425">
        <f t="shared" si="2"/>
        <v>0</v>
      </c>
      <c r="H9" s="1426">
        <f t="shared" si="2"/>
        <v>0</v>
      </c>
    </row>
    <row r="11" spans="2:8" ht="13.5" thickBot="1" x14ac:dyDescent="0.25">
      <c r="B11" s="56" t="s">
        <v>680</v>
      </c>
    </row>
    <row r="12" spans="2:8" x14ac:dyDescent="0.2">
      <c r="B12" s="343" t="str">
        <f>Input!C123</f>
        <v>Ewes - Breeding/Early Gestation (#1)</v>
      </c>
      <c r="C12" s="344"/>
      <c r="D12" s="38"/>
      <c r="E12" s="38"/>
      <c r="F12" s="38"/>
      <c r="G12" s="38"/>
      <c r="H12" s="1224"/>
    </row>
    <row r="13" spans="2:8" x14ac:dyDescent="0.2">
      <c r="B13" s="3"/>
      <c r="C13" s="366" t="s">
        <v>721</v>
      </c>
      <c r="D13" s="42" t="s">
        <v>681</v>
      </c>
      <c r="E13" s="42" t="s">
        <v>682</v>
      </c>
      <c r="F13" s="42" t="s">
        <v>683</v>
      </c>
      <c r="G13" s="42" t="s">
        <v>684</v>
      </c>
      <c r="H13" s="1436" t="s">
        <v>685</v>
      </c>
    </row>
    <row r="14" spans="2:8" x14ac:dyDescent="0.2">
      <c r="B14" s="44"/>
      <c r="C14" s="419" t="s">
        <v>686</v>
      </c>
      <c r="D14" s="1375">
        <f>Input!E122*Input!E124*Input!E195</f>
        <v>165.22633744855966</v>
      </c>
      <c r="E14" s="1375">
        <f>Input!F122*Input!F124*Input!F195</f>
        <v>165.22633744855966</v>
      </c>
      <c r="F14" s="1375">
        <f>Input!G122*Input!G124*Input!G195</f>
        <v>165.22633744855966</v>
      </c>
      <c r="G14" s="1375">
        <f>Input!H122*Input!H124*Input!H195</f>
        <v>165.22633744855966</v>
      </c>
      <c r="H14" s="1437">
        <f>Input!I122*Input!I124*Input!I195</f>
        <v>165.22633744855966</v>
      </c>
    </row>
    <row r="15" spans="2:8" x14ac:dyDescent="0.2">
      <c r="B15" s="44"/>
      <c r="C15" s="419" t="s">
        <v>687</v>
      </c>
      <c r="D15" s="1376">
        <f>Input!E122*Input!E125*Input!E195</f>
        <v>495.67901234567898</v>
      </c>
      <c r="E15" s="1376">
        <f>Input!F122*Input!F125*Input!F195</f>
        <v>495.67901234567898</v>
      </c>
      <c r="F15" s="1376">
        <f>Input!G122*Input!G125*Input!G195</f>
        <v>495.67901234567898</v>
      </c>
      <c r="G15" s="1376">
        <f>Input!H122*Input!H125*Input!H195</f>
        <v>495.67901234567898</v>
      </c>
      <c r="H15" s="1438">
        <f>Input!I122*Input!I125*Input!I195</f>
        <v>495.67901234567898</v>
      </c>
    </row>
    <row r="16" spans="2:8" x14ac:dyDescent="0.2">
      <c r="B16" s="29"/>
      <c r="H16" s="66"/>
    </row>
    <row r="17" spans="2:8" x14ac:dyDescent="0.2">
      <c r="B17" s="48" t="str">
        <f>Input!C141</f>
        <v>Ewes - Late Gestation Ration (#2)</v>
      </c>
      <c r="C17" s="49"/>
      <c r="H17" s="66"/>
    </row>
    <row r="18" spans="2:8" x14ac:dyDescent="0.2">
      <c r="B18" s="3"/>
      <c r="C18" s="366" t="s">
        <v>721</v>
      </c>
      <c r="D18" s="42" t="s">
        <v>681</v>
      </c>
      <c r="E18" s="42" t="s">
        <v>682</v>
      </c>
      <c r="F18" s="42" t="s">
        <v>683</v>
      </c>
      <c r="G18" s="42" t="s">
        <v>684</v>
      </c>
      <c r="H18" s="1436" t="s">
        <v>685</v>
      </c>
    </row>
    <row r="19" spans="2:8" x14ac:dyDescent="0.2">
      <c r="B19" s="44"/>
      <c r="C19" s="419" t="s">
        <v>686</v>
      </c>
      <c r="D19" s="1376">
        <f>Input!E140*Input!E142*Input!E195</f>
        <v>141.94444444444443</v>
      </c>
      <c r="E19" s="1376">
        <f>Input!F140*Input!F142*Input!F195</f>
        <v>141.94444444444443</v>
      </c>
      <c r="F19" s="1376">
        <f>Input!G140*Input!G142*Input!G195</f>
        <v>141.94444444444443</v>
      </c>
      <c r="G19" s="1376">
        <f>Input!H140*Input!H142*Input!H195</f>
        <v>141.94444444444443</v>
      </c>
      <c r="H19" s="1438">
        <f>Input!I140*Input!I142*Input!I195</f>
        <v>141.94444444444443</v>
      </c>
    </row>
    <row r="20" spans="2:8" x14ac:dyDescent="0.2">
      <c r="B20" s="44"/>
      <c r="C20" s="419" t="s">
        <v>687</v>
      </c>
      <c r="D20" s="1376">
        <f>Input!E140*Input!E143*Input!E195</f>
        <v>157.71604938271605</v>
      </c>
      <c r="E20" s="1376">
        <f>Input!F140*Input!F143*Input!F195</f>
        <v>157.71604938271605</v>
      </c>
      <c r="F20" s="1376">
        <f>Input!G140*Input!G143*Input!G195</f>
        <v>157.71604938271605</v>
      </c>
      <c r="G20" s="1376">
        <f>Input!H140*Input!H143*Input!H195</f>
        <v>157.71604938271605</v>
      </c>
      <c r="H20" s="1438">
        <f>Input!I140*Input!I143*Input!I195</f>
        <v>157.71604938271605</v>
      </c>
    </row>
    <row r="21" spans="2:8" x14ac:dyDescent="0.2">
      <c r="B21" s="29"/>
      <c r="H21" s="66"/>
    </row>
    <row r="22" spans="2:8" x14ac:dyDescent="0.2">
      <c r="B22" s="48" t="str">
        <f>Input!C159</f>
        <v>Ewes - Lacation Ration (#3)</v>
      </c>
      <c r="C22" s="49"/>
      <c r="H22" s="66"/>
    </row>
    <row r="23" spans="2:8" x14ac:dyDescent="0.2">
      <c r="B23" s="3"/>
      <c r="C23" s="366" t="s">
        <v>721</v>
      </c>
      <c r="D23" s="42" t="s">
        <v>681</v>
      </c>
      <c r="E23" s="42" t="s">
        <v>682</v>
      </c>
      <c r="F23" s="42" t="s">
        <v>683</v>
      </c>
      <c r="G23" s="42" t="s">
        <v>684</v>
      </c>
      <c r="H23" s="1436" t="s">
        <v>685</v>
      </c>
    </row>
    <row r="24" spans="2:8" x14ac:dyDescent="0.2">
      <c r="B24" s="44"/>
      <c r="C24" s="419" t="s">
        <v>686</v>
      </c>
      <c r="D24" s="1376">
        <f>Input!E158*Input!E160*Input!E195</f>
        <v>223.43106995884773</v>
      </c>
      <c r="E24" s="1376">
        <f>Input!F158*Input!F160*Input!F195</f>
        <v>223.43106995884773</v>
      </c>
      <c r="F24" s="1376">
        <f>Input!G158*Input!G160*Input!G195</f>
        <v>223.43106995884773</v>
      </c>
      <c r="G24" s="1376">
        <f>Input!H158*Input!H160*Input!H195</f>
        <v>223.43106995884773</v>
      </c>
      <c r="H24" s="1438">
        <f>Input!I158*Input!I160*Input!I195</f>
        <v>223.43106995884773</v>
      </c>
    </row>
    <row r="25" spans="2:8" x14ac:dyDescent="0.2">
      <c r="B25" s="44"/>
      <c r="C25" s="419" t="s">
        <v>687</v>
      </c>
      <c r="D25" s="1376">
        <f>Input!E158*Input!E161*Input!E195</f>
        <v>315.4320987654321</v>
      </c>
      <c r="E25" s="1376">
        <f>Input!F158*Input!F161*Input!F195</f>
        <v>315.4320987654321</v>
      </c>
      <c r="F25" s="1376">
        <f>Input!G158*Input!G161*Input!G195</f>
        <v>315.4320987654321</v>
      </c>
      <c r="G25" s="1376">
        <f>Input!H158*Input!H161*Input!H195</f>
        <v>315.4320987654321</v>
      </c>
      <c r="H25" s="1438">
        <f>Input!I158*Input!I161*Input!I195</f>
        <v>315.4320987654321</v>
      </c>
    </row>
    <row r="26" spans="2:8" x14ac:dyDescent="0.2">
      <c r="B26" s="29"/>
      <c r="C26" s="56"/>
      <c r="D26" s="1427"/>
      <c r="E26" s="1427"/>
      <c r="F26" s="1427"/>
      <c r="G26" s="1427"/>
      <c r="H26" s="1428"/>
    </row>
    <row r="27" spans="2:8" x14ac:dyDescent="0.2">
      <c r="B27" s="48" t="str">
        <f>Input!C177</f>
        <v>Ewes - Pre-breed/Flush Ration (#4)</v>
      </c>
      <c r="C27" s="49"/>
      <c r="H27" s="66"/>
    </row>
    <row r="28" spans="2:8" x14ac:dyDescent="0.2">
      <c r="B28" s="3"/>
      <c r="C28" s="366" t="s">
        <v>721</v>
      </c>
      <c r="D28" s="42" t="s">
        <v>681</v>
      </c>
      <c r="E28" s="42" t="s">
        <v>682</v>
      </c>
      <c r="F28" s="42" t="s">
        <v>683</v>
      </c>
      <c r="G28" s="42" t="s">
        <v>684</v>
      </c>
      <c r="H28" s="1439" t="s">
        <v>685</v>
      </c>
    </row>
    <row r="29" spans="2:8" x14ac:dyDescent="0.2">
      <c r="B29" s="199"/>
      <c r="C29" s="420" t="s">
        <v>686</v>
      </c>
      <c r="D29" s="1377">
        <f>Input!E176*Input!E178*Input!E195</f>
        <v>63.086419753086417</v>
      </c>
      <c r="E29" s="1377">
        <f>Input!F176*Input!F178*Input!F195</f>
        <v>63.086419753086417</v>
      </c>
      <c r="F29" s="1377">
        <f>Input!G176*Input!G178*Input!G195</f>
        <v>63.086419753086417</v>
      </c>
      <c r="G29" s="1377">
        <f>Input!H176*Input!H178*Input!H195</f>
        <v>63.086419753086417</v>
      </c>
      <c r="H29" s="1440">
        <f>Input!I176*Input!I178*Input!I195</f>
        <v>63.086419753086417</v>
      </c>
    </row>
    <row r="30" spans="2:8" x14ac:dyDescent="0.2">
      <c r="B30" s="44"/>
      <c r="C30" s="422" t="s">
        <v>687</v>
      </c>
      <c r="D30" s="1376">
        <f>Input!E176*Input!E179*Input!E195</f>
        <v>47.31481481481481</v>
      </c>
      <c r="E30" s="1376">
        <f>Input!F176*Input!F179*Input!F195</f>
        <v>47.31481481481481</v>
      </c>
      <c r="F30" s="1376">
        <f>Input!G176*Input!G179*Input!G195</f>
        <v>47.31481481481481</v>
      </c>
      <c r="G30" s="1376">
        <f>Input!H176*Input!H179*Input!H195</f>
        <v>47.31481481481481</v>
      </c>
      <c r="H30" s="1438">
        <f>Input!I176*Input!I179*Input!I195</f>
        <v>47.31481481481481</v>
      </c>
    </row>
    <row r="31" spans="2:8" x14ac:dyDescent="0.2">
      <c r="B31" s="29"/>
      <c r="H31" s="66"/>
    </row>
    <row r="32" spans="2:8" x14ac:dyDescent="0.2">
      <c r="B32" s="44"/>
      <c r="C32" s="423" t="s">
        <v>699</v>
      </c>
      <c r="D32" s="424" t="s">
        <v>4</v>
      </c>
      <c r="E32" s="424" t="s">
        <v>5</v>
      </c>
      <c r="F32" s="424" t="s">
        <v>6</v>
      </c>
      <c r="G32" s="424" t="s">
        <v>7</v>
      </c>
      <c r="H32" s="1441" t="s">
        <v>8</v>
      </c>
    </row>
    <row r="33" spans="2:8" x14ac:dyDescent="0.2">
      <c r="B33" s="44"/>
      <c r="C33" s="419" t="s">
        <v>686</v>
      </c>
      <c r="D33" s="1376">
        <f>D14+D19+D24+D29</f>
        <v>593.68827160493822</v>
      </c>
      <c r="E33" s="1376">
        <f t="shared" ref="E33:H33" si="3">E14+E19+E24+E29</f>
        <v>593.68827160493822</v>
      </c>
      <c r="F33" s="1376">
        <f t="shared" si="3"/>
        <v>593.68827160493822</v>
      </c>
      <c r="G33" s="1376">
        <f t="shared" si="3"/>
        <v>593.68827160493822</v>
      </c>
      <c r="H33" s="1438">
        <f t="shared" si="3"/>
        <v>593.68827160493822</v>
      </c>
    </row>
    <row r="34" spans="2:8" x14ac:dyDescent="0.2">
      <c r="B34" s="44"/>
      <c r="C34" s="419" t="s">
        <v>687</v>
      </c>
      <c r="D34" s="1376">
        <f>D15+D20+D25+D30</f>
        <v>1016.1419753086419</v>
      </c>
      <c r="E34" s="1376">
        <f t="shared" ref="E34:H34" si="4">E15+E20+E25+E30</f>
        <v>1016.1419753086419</v>
      </c>
      <c r="F34" s="1376">
        <f t="shared" si="4"/>
        <v>1016.1419753086419</v>
      </c>
      <c r="G34" s="1376">
        <f t="shared" si="4"/>
        <v>1016.1419753086419</v>
      </c>
      <c r="H34" s="1438">
        <f t="shared" si="4"/>
        <v>1016.1419753086419</v>
      </c>
    </row>
    <row r="35" spans="2:8" ht="13.5" thickBot="1" x14ac:dyDescent="0.25">
      <c r="B35" s="29"/>
      <c r="H35" s="66"/>
    </row>
    <row r="36" spans="2:8" x14ac:dyDescent="0.2">
      <c r="B36" s="368"/>
      <c r="C36" s="425" t="s">
        <v>692</v>
      </c>
      <c r="D36" s="21" t="s">
        <v>4</v>
      </c>
      <c r="E36" s="21" t="s">
        <v>5</v>
      </c>
      <c r="F36" s="21" t="s">
        <v>6</v>
      </c>
      <c r="G36" s="21" t="s">
        <v>7</v>
      </c>
      <c r="H36" s="1380" t="s">
        <v>8</v>
      </c>
    </row>
    <row r="37" spans="2:8" x14ac:dyDescent="0.2">
      <c r="B37" s="29"/>
      <c r="C37" s="56" t="s">
        <v>686</v>
      </c>
      <c r="D37" s="426">
        <f>Input!E16*D33</f>
        <v>237475.30864197528</v>
      </c>
      <c r="E37" s="426">
        <f>Input!F16*E33</f>
        <v>237475.30864197528</v>
      </c>
      <c r="F37" s="426">
        <f>Input!G16*F33</f>
        <v>237475.30864197528</v>
      </c>
      <c r="G37" s="426">
        <f>Input!H16*G33</f>
        <v>237475.30864197528</v>
      </c>
      <c r="H37" s="486">
        <f>Input!I16*H33</f>
        <v>237475.30864197528</v>
      </c>
    </row>
    <row r="38" spans="2:8" ht="13.5" thickBot="1" x14ac:dyDescent="0.25">
      <c r="B38" s="57"/>
      <c r="C38" s="428" t="s">
        <v>687</v>
      </c>
      <c r="D38" s="418">
        <f>Input!E16*D34</f>
        <v>406456.79012345674</v>
      </c>
      <c r="E38" s="418">
        <f>Input!F16*E34</f>
        <v>406456.79012345674</v>
      </c>
      <c r="F38" s="418">
        <f>Input!G16*F34</f>
        <v>406456.79012345674</v>
      </c>
      <c r="G38" s="418">
        <f>Input!H16*G34</f>
        <v>406456.79012345674</v>
      </c>
      <c r="H38" s="1385">
        <f>Input!I16*H34</f>
        <v>406456.79012345674</v>
      </c>
    </row>
    <row r="39" spans="2:8" ht="13.5" thickBot="1" x14ac:dyDescent="0.25">
      <c r="B39" s="471"/>
      <c r="C39" s="472" t="s">
        <v>722</v>
      </c>
      <c r="D39" s="473" t="s">
        <v>4</v>
      </c>
      <c r="E39" s="473" t="s">
        <v>5</v>
      </c>
      <c r="F39" s="473" t="s">
        <v>6</v>
      </c>
      <c r="G39" s="473" t="s">
        <v>7</v>
      </c>
      <c r="H39" s="1403" t="s">
        <v>8</v>
      </c>
    </row>
    <row r="40" spans="2:8" x14ac:dyDescent="0.2">
      <c r="B40" s="475"/>
      <c r="C40" s="476" t="s">
        <v>688</v>
      </c>
      <c r="D40" s="477">
        <f>D37/45.93</f>
        <v>5170.3746710641253</v>
      </c>
      <c r="E40" s="477">
        <f>E37/45.93</f>
        <v>5170.3746710641253</v>
      </c>
      <c r="F40" s="477">
        <f>F37/45.93</f>
        <v>5170.3746710641253</v>
      </c>
      <c r="G40" s="477">
        <f>G37/45.93</f>
        <v>5170.3746710641253</v>
      </c>
      <c r="H40" s="1404">
        <f>H37/45.93</f>
        <v>5170.3746710641253</v>
      </c>
    </row>
    <row r="41" spans="2:8" ht="13.5" thickBot="1" x14ac:dyDescent="0.25">
      <c r="B41" s="478"/>
      <c r="C41" s="479" t="s">
        <v>689</v>
      </c>
      <c r="D41" s="1429">
        <f>D38/2204</f>
        <v>184.41778136272993</v>
      </c>
      <c r="E41" s="1429">
        <f>E38/2204</f>
        <v>184.41778136272993</v>
      </c>
      <c r="F41" s="1429">
        <f>F38/2204</f>
        <v>184.41778136272993</v>
      </c>
      <c r="G41" s="1429">
        <f>G38/2204</f>
        <v>184.41778136272993</v>
      </c>
      <c r="H41" s="1430">
        <f>H38/2204</f>
        <v>184.41778136272993</v>
      </c>
    </row>
    <row r="43" spans="2:8" ht="13.5" thickBot="1" x14ac:dyDescent="0.25">
      <c r="B43" s="56" t="s">
        <v>690</v>
      </c>
    </row>
    <row r="44" spans="2:8" x14ac:dyDescent="0.2">
      <c r="B44" s="343" t="str">
        <f>Input!C214</f>
        <v>Ram - General Feed Ration (#5)</v>
      </c>
      <c r="C44" s="344"/>
      <c r="D44" s="38"/>
      <c r="E44" s="38"/>
      <c r="F44" s="38"/>
      <c r="G44" s="38"/>
      <c r="H44" s="104"/>
    </row>
    <row r="45" spans="2:8" x14ac:dyDescent="0.2">
      <c r="B45" s="3"/>
      <c r="C45" s="366" t="s">
        <v>723</v>
      </c>
      <c r="D45" s="42" t="s">
        <v>681</v>
      </c>
      <c r="E45" s="42" t="s">
        <v>682</v>
      </c>
      <c r="F45" s="42" t="s">
        <v>683</v>
      </c>
      <c r="G45" s="42" t="s">
        <v>684</v>
      </c>
      <c r="H45" s="43" t="s">
        <v>685</v>
      </c>
    </row>
    <row r="46" spans="2:8" x14ac:dyDescent="0.2">
      <c r="B46" s="44"/>
      <c r="C46" s="419" t="s">
        <v>686</v>
      </c>
      <c r="D46" s="416">
        <f>Input!E213*Input!E215</f>
        <v>232</v>
      </c>
      <c r="E46" s="416">
        <f>Input!F213*Input!F215</f>
        <v>232</v>
      </c>
      <c r="F46" s="416">
        <f>Input!G213*Input!G215</f>
        <v>232</v>
      </c>
      <c r="G46" s="416">
        <f>Input!H213*Input!H215</f>
        <v>232</v>
      </c>
      <c r="H46" s="417">
        <f>Input!I213*Input!I215</f>
        <v>232</v>
      </c>
    </row>
    <row r="47" spans="2:8" x14ac:dyDescent="0.2">
      <c r="B47" s="44"/>
      <c r="C47" s="419" t="s">
        <v>687</v>
      </c>
      <c r="D47" s="416">
        <f>Input!E213*Input!E216</f>
        <v>812</v>
      </c>
      <c r="E47" s="416">
        <f>Input!F213*Input!F216</f>
        <v>812</v>
      </c>
      <c r="F47" s="416">
        <f>Input!G213*Input!G216</f>
        <v>812</v>
      </c>
      <c r="G47" s="416">
        <f>Input!H213*Input!H216</f>
        <v>812</v>
      </c>
      <c r="H47" s="417">
        <f>Input!I213*Input!I216</f>
        <v>812</v>
      </c>
    </row>
    <row r="48" spans="2:8" ht="13.5" thickBot="1" x14ac:dyDescent="0.25">
      <c r="B48" s="29"/>
      <c r="C48" s="56"/>
      <c r="D48" s="431"/>
      <c r="E48" s="431"/>
      <c r="F48" s="431"/>
      <c r="G48" s="431"/>
      <c r="H48" s="432"/>
    </row>
    <row r="49" spans="2:8" x14ac:dyDescent="0.2">
      <c r="B49" s="368"/>
      <c r="C49" s="425" t="s">
        <v>694</v>
      </c>
      <c r="D49" s="21" t="s">
        <v>4</v>
      </c>
      <c r="E49" s="21" t="s">
        <v>5</v>
      </c>
      <c r="F49" s="21" t="s">
        <v>6</v>
      </c>
      <c r="G49" s="21" t="s">
        <v>7</v>
      </c>
      <c r="H49" s="345" t="s">
        <v>8</v>
      </c>
    </row>
    <row r="50" spans="2:8" x14ac:dyDescent="0.2">
      <c r="B50" s="44"/>
      <c r="C50" s="419" t="s">
        <v>686</v>
      </c>
      <c r="D50" s="416">
        <f>Input!E17*D46</f>
        <v>2320</v>
      </c>
      <c r="E50" s="416">
        <f>Input!F17*E46</f>
        <v>2320</v>
      </c>
      <c r="F50" s="416">
        <f>Input!G17*F46</f>
        <v>2320</v>
      </c>
      <c r="G50" s="416">
        <f>Input!H17*G46</f>
        <v>2320</v>
      </c>
      <c r="H50" s="433">
        <f>Input!I17*H46</f>
        <v>2320</v>
      </c>
    </row>
    <row r="51" spans="2:8" ht="13.5" thickBot="1" x14ac:dyDescent="0.25">
      <c r="B51" s="199"/>
      <c r="C51" s="434" t="s">
        <v>687</v>
      </c>
      <c r="D51" s="435">
        <f>Input!E17*D47</f>
        <v>8120</v>
      </c>
      <c r="E51" s="435">
        <f>Input!F17*E47</f>
        <v>8120</v>
      </c>
      <c r="F51" s="435">
        <f>Input!G17*F47</f>
        <v>8120</v>
      </c>
      <c r="G51" s="435">
        <f>Input!H17*G47</f>
        <v>8120</v>
      </c>
      <c r="H51" s="436">
        <f>Input!I17*H47</f>
        <v>8120</v>
      </c>
    </row>
    <row r="52" spans="2:8" ht="13.5" thickBot="1" x14ac:dyDescent="0.25">
      <c r="B52" s="471"/>
      <c r="C52" s="480" t="s">
        <v>0</v>
      </c>
      <c r="D52" s="473" t="s">
        <v>4</v>
      </c>
      <c r="E52" s="473" t="s">
        <v>5</v>
      </c>
      <c r="F52" s="473" t="s">
        <v>6</v>
      </c>
      <c r="G52" s="473" t="s">
        <v>7</v>
      </c>
      <c r="H52" s="474" t="s">
        <v>8</v>
      </c>
    </row>
    <row r="53" spans="2:8" x14ac:dyDescent="0.2">
      <c r="B53" s="475"/>
      <c r="C53" s="476" t="s">
        <v>688</v>
      </c>
      <c r="D53" s="1431">
        <f>D50/45.93</f>
        <v>50.511648160243851</v>
      </c>
      <c r="E53" s="1431">
        <f>E50/45.93</f>
        <v>50.511648160243851</v>
      </c>
      <c r="F53" s="1431">
        <f>F50/45.93</f>
        <v>50.511648160243851</v>
      </c>
      <c r="G53" s="1431">
        <f>G50/45.93</f>
        <v>50.511648160243851</v>
      </c>
      <c r="H53" s="1432">
        <f>H50/45.93</f>
        <v>50.511648160243851</v>
      </c>
    </row>
    <row r="54" spans="2:8" ht="13.5" thickBot="1" x14ac:dyDescent="0.25">
      <c r="B54" s="478"/>
      <c r="C54" s="479" t="s">
        <v>689</v>
      </c>
      <c r="D54" s="554">
        <f>D51/2204</f>
        <v>3.6842105263157894</v>
      </c>
      <c r="E54" s="554">
        <f>E51/2204</f>
        <v>3.6842105263157894</v>
      </c>
      <c r="F54" s="554">
        <f>F51/2204</f>
        <v>3.6842105263157894</v>
      </c>
      <c r="G54" s="554">
        <f>G51/2204</f>
        <v>3.6842105263157894</v>
      </c>
      <c r="H54" s="1433">
        <f>H51/2204</f>
        <v>3.6842105263157894</v>
      </c>
    </row>
    <row r="56" spans="2:8" ht="13.5" thickBot="1" x14ac:dyDescent="0.25">
      <c r="B56" s="56" t="s">
        <v>691</v>
      </c>
    </row>
    <row r="57" spans="2:8" x14ac:dyDescent="0.2">
      <c r="B57" s="343" t="str">
        <f>Input!C240</f>
        <v>Lambs - Creep Ration (#6)</v>
      </c>
      <c r="C57" s="344"/>
      <c r="D57" s="38"/>
      <c r="E57" s="38"/>
      <c r="F57" s="38"/>
      <c r="G57" s="38"/>
      <c r="H57" s="1224"/>
    </row>
    <row r="58" spans="2:8" x14ac:dyDescent="0.2">
      <c r="B58" s="3"/>
      <c r="C58" s="366" t="s">
        <v>634</v>
      </c>
      <c r="D58" s="42" t="s">
        <v>681</v>
      </c>
      <c r="E58" s="42" t="s">
        <v>682</v>
      </c>
      <c r="F58" s="42" t="s">
        <v>683</v>
      </c>
      <c r="G58" s="42" t="s">
        <v>684</v>
      </c>
      <c r="H58" s="1378" t="s">
        <v>685</v>
      </c>
    </row>
    <row r="59" spans="2:8" x14ac:dyDescent="0.2">
      <c r="B59" s="536"/>
      <c r="C59" s="434" t="s">
        <v>686</v>
      </c>
      <c r="D59" s="421">
        <f>Input!E238*Input!E241</f>
        <v>0</v>
      </c>
      <c r="E59" s="421">
        <f>Input!F238*Input!F241</f>
        <v>0</v>
      </c>
      <c r="F59" s="421">
        <f>Input!G238*Input!G241</f>
        <v>0</v>
      </c>
      <c r="G59" s="421">
        <f>Input!H238*Input!H241</f>
        <v>0</v>
      </c>
      <c r="H59" s="1381">
        <f>Input!I238*Input!I241</f>
        <v>0</v>
      </c>
    </row>
    <row r="60" spans="2:8" x14ac:dyDescent="0.2">
      <c r="B60" s="44"/>
      <c r="C60" s="422" t="s">
        <v>687</v>
      </c>
      <c r="D60" s="185">
        <f>Input!E238*Input!E242</f>
        <v>0</v>
      </c>
      <c r="E60" s="185">
        <f>Input!F238*Input!F242</f>
        <v>0</v>
      </c>
      <c r="F60" s="185">
        <f>Input!G238*Input!G242</f>
        <v>0</v>
      </c>
      <c r="G60" s="185">
        <f>Input!H238*Input!H242</f>
        <v>0</v>
      </c>
      <c r="H60" s="1386">
        <f>Input!I238*Input!I242</f>
        <v>0</v>
      </c>
    </row>
    <row r="61" spans="2:8" x14ac:dyDescent="0.2">
      <c r="B61" s="44"/>
      <c r="C61" s="422" t="s">
        <v>974</v>
      </c>
      <c r="D61" s="545">
        <f>IF(Input!E$243&gt;0,Input!E$238*Input!E$243,0)</f>
        <v>50</v>
      </c>
      <c r="E61" s="1382">
        <f>IF(Input!F$243&gt;0,Input!F$238*Input!F$243,0)</f>
        <v>50</v>
      </c>
      <c r="F61" s="1382">
        <f>IF(Input!G$243&gt;0,Input!G$238*Input!G$243,0)</f>
        <v>50</v>
      </c>
      <c r="G61" s="1382">
        <f>IF(Input!H$243&gt;0,Input!H$238*Input!H$243,0)</f>
        <v>50</v>
      </c>
      <c r="H61" s="1387">
        <f>IF(Input!I$243&gt;0,Input!I$238*Input!I$243,0)</f>
        <v>50</v>
      </c>
    </row>
    <row r="62" spans="2:8" x14ac:dyDescent="0.2">
      <c r="B62" s="29"/>
      <c r="H62" s="66"/>
    </row>
    <row r="63" spans="2:8" x14ac:dyDescent="0.2">
      <c r="B63" s="3" t="str">
        <f>Input!C260</f>
        <v>Lambs - Weaning Ration (#7)</v>
      </c>
      <c r="H63" s="66"/>
    </row>
    <row r="64" spans="2:8" x14ac:dyDescent="0.2">
      <c r="B64" s="204"/>
      <c r="C64" s="437" t="s">
        <v>634</v>
      </c>
      <c r="D64" s="546" t="s">
        <v>681</v>
      </c>
      <c r="E64" s="424" t="s">
        <v>682</v>
      </c>
      <c r="F64" s="424" t="s">
        <v>683</v>
      </c>
      <c r="G64" s="424" t="s">
        <v>684</v>
      </c>
      <c r="H64" s="1221" t="s">
        <v>685</v>
      </c>
    </row>
    <row r="65" spans="2:8" x14ac:dyDescent="0.2">
      <c r="B65" s="44"/>
      <c r="C65" s="419" t="s">
        <v>686</v>
      </c>
      <c r="D65" s="547">
        <f>Input!E258*Input!E261</f>
        <v>42</v>
      </c>
      <c r="E65" s="185">
        <f>Input!F258*Input!F261</f>
        <v>42</v>
      </c>
      <c r="F65" s="185">
        <f>Input!G258*Input!G261</f>
        <v>42</v>
      </c>
      <c r="G65" s="185">
        <f>Input!H258*Input!H261</f>
        <v>42</v>
      </c>
      <c r="H65" s="1386">
        <f>Input!I258*Input!I261</f>
        <v>42</v>
      </c>
    </row>
    <row r="66" spans="2:8" x14ac:dyDescent="0.2">
      <c r="B66" s="44"/>
      <c r="C66" s="419" t="s">
        <v>687</v>
      </c>
      <c r="D66" s="547">
        <f>Input!E258*Input!E262</f>
        <v>28</v>
      </c>
      <c r="E66" s="1390">
        <f>Input!F258*Input!F262</f>
        <v>28</v>
      </c>
      <c r="F66" s="1390">
        <f>Input!G258*Input!G262</f>
        <v>28</v>
      </c>
      <c r="G66" s="1390">
        <f>Input!H258*Input!H262</f>
        <v>28</v>
      </c>
      <c r="H66" s="1389">
        <f>Input!I258*Input!I262</f>
        <v>28</v>
      </c>
    </row>
    <row r="67" spans="2:8" x14ac:dyDescent="0.2">
      <c r="B67" s="44"/>
      <c r="C67" s="422" t="s">
        <v>814</v>
      </c>
      <c r="D67" s="545">
        <f>IF(Input!$E$264&gt;0,Input!E$263*Input!E$258,0)</f>
        <v>0</v>
      </c>
      <c r="E67" s="1382">
        <f>IF(Input!$E$264&gt;0,Input!F$263*Input!F$258,0)</f>
        <v>0</v>
      </c>
      <c r="F67" s="1382">
        <f>IF(Input!$E$264&gt;0,Input!G$263*Input!G$258,0)</f>
        <v>0</v>
      </c>
      <c r="G67" s="1382">
        <f>IF(Input!$E$264&gt;0,Input!H$263*Input!H$258,0)</f>
        <v>0</v>
      </c>
      <c r="H67" s="1387">
        <f>IF(Input!$E$264&gt;0,Input!I$263*Input!I$258,0)</f>
        <v>0</v>
      </c>
    </row>
    <row r="68" spans="2:8" x14ac:dyDescent="0.2">
      <c r="B68" s="29"/>
      <c r="H68" s="1388"/>
    </row>
    <row r="69" spans="2:8" x14ac:dyDescent="0.2">
      <c r="B69" s="48" t="str">
        <f>Input!C280</f>
        <v>Lambs - Feeder Ration (#8)</v>
      </c>
      <c r="C69" s="49"/>
      <c r="H69" s="66"/>
    </row>
    <row r="70" spans="2:8" x14ac:dyDescent="0.2">
      <c r="B70" s="204"/>
      <c r="C70" s="437" t="s">
        <v>634</v>
      </c>
      <c r="D70" s="546" t="s">
        <v>681</v>
      </c>
      <c r="E70" s="424" t="s">
        <v>682</v>
      </c>
      <c r="F70" s="424" t="s">
        <v>683</v>
      </c>
      <c r="G70" s="424" t="s">
        <v>684</v>
      </c>
      <c r="H70" s="1379" t="s">
        <v>685</v>
      </c>
    </row>
    <row r="71" spans="2:8" x14ac:dyDescent="0.2">
      <c r="B71" s="44"/>
      <c r="C71" s="419" t="s">
        <v>686</v>
      </c>
      <c r="D71" s="547">
        <f>Input!E278*Input!E281</f>
        <v>175</v>
      </c>
      <c r="E71" s="185">
        <f>Input!F278*Input!F281</f>
        <v>175</v>
      </c>
      <c r="F71" s="185">
        <f>Input!G278*Input!G281</f>
        <v>175</v>
      </c>
      <c r="G71" s="185">
        <f>Input!H278*Input!H281</f>
        <v>175</v>
      </c>
      <c r="H71" s="1389">
        <f>Input!I278*Input!I281</f>
        <v>175</v>
      </c>
    </row>
    <row r="72" spans="2:8" x14ac:dyDescent="0.2">
      <c r="B72" s="44"/>
      <c r="C72" s="419" t="s">
        <v>687</v>
      </c>
      <c r="D72" s="547">
        <f>Input!E278*Input!E282</f>
        <v>70</v>
      </c>
      <c r="E72" s="185">
        <f>Input!F278*Input!F282</f>
        <v>70</v>
      </c>
      <c r="F72" s="185">
        <f>Input!G278*Input!G282</f>
        <v>70</v>
      </c>
      <c r="G72" s="185">
        <f>Input!H278*Input!H282</f>
        <v>70</v>
      </c>
      <c r="H72" s="1389">
        <f>Input!I278*Input!I282</f>
        <v>70</v>
      </c>
    </row>
    <row r="73" spans="2:8" x14ac:dyDescent="0.2">
      <c r="B73" s="44"/>
      <c r="C73" s="422" t="s">
        <v>814</v>
      </c>
      <c r="D73" s="545">
        <f>IF(Input!$E$284&gt;0,Input!E$284*Input!E$278,0)</f>
        <v>0</v>
      </c>
      <c r="E73" s="416">
        <f>IF(Input!$E$284&gt;0,Input!F$284*Input!F$278,0)</f>
        <v>0</v>
      </c>
      <c r="F73" s="416">
        <f>IF(Input!$E$284&gt;0,Input!G$284*Input!G$278,0)</f>
        <v>0</v>
      </c>
      <c r="G73" s="416">
        <f>IF(Input!$E$284&gt;0,Input!H$284*Input!H$278,0)</f>
        <v>0</v>
      </c>
      <c r="H73" s="1387">
        <f>IF(Input!$E$284&gt;0,Input!I$284*Input!I$278,0)</f>
        <v>0</v>
      </c>
    </row>
    <row r="74" spans="2:8" ht="13.5" thickBot="1" x14ac:dyDescent="0.25">
      <c r="B74" s="29"/>
      <c r="C74" s="56"/>
      <c r="D74" s="27"/>
      <c r="E74" s="27"/>
      <c r="F74" s="27"/>
      <c r="G74" s="27"/>
      <c r="H74" s="364"/>
    </row>
    <row r="75" spans="2:8" ht="13.5" thickBot="1" x14ac:dyDescent="0.25">
      <c r="B75" s="51"/>
      <c r="C75" s="438" t="s">
        <v>693</v>
      </c>
      <c r="D75" s="429" t="s">
        <v>4</v>
      </c>
      <c r="E75" s="429" t="s">
        <v>5</v>
      </c>
      <c r="F75" s="429" t="s">
        <v>6</v>
      </c>
      <c r="G75" s="429" t="s">
        <v>7</v>
      </c>
      <c r="H75" s="1092" t="s">
        <v>8</v>
      </c>
    </row>
    <row r="76" spans="2:8" x14ac:dyDescent="0.2">
      <c r="B76" s="29"/>
      <c r="C76" s="1392" t="s">
        <v>686</v>
      </c>
      <c r="D76" s="439">
        <f t="shared" ref="D76:H77" si="5">D59+D65+D71</f>
        <v>217</v>
      </c>
      <c r="E76" s="439">
        <f t="shared" si="5"/>
        <v>217</v>
      </c>
      <c r="F76" s="439">
        <f t="shared" si="5"/>
        <v>217</v>
      </c>
      <c r="G76" s="439">
        <f t="shared" si="5"/>
        <v>217</v>
      </c>
      <c r="H76" s="364">
        <f t="shared" si="5"/>
        <v>217</v>
      </c>
    </row>
    <row r="77" spans="2:8" x14ac:dyDescent="0.2">
      <c r="B77" s="1279"/>
      <c r="C77" s="1393" t="s">
        <v>687</v>
      </c>
      <c r="D77" s="548">
        <f t="shared" si="5"/>
        <v>98</v>
      </c>
      <c r="E77" s="548">
        <f t="shared" si="5"/>
        <v>98</v>
      </c>
      <c r="F77" s="548">
        <f t="shared" si="5"/>
        <v>98</v>
      </c>
      <c r="G77" s="548">
        <f t="shared" si="5"/>
        <v>98</v>
      </c>
      <c r="H77" s="1381">
        <f t="shared" si="5"/>
        <v>98</v>
      </c>
    </row>
    <row r="78" spans="2:8" x14ac:dyDescent="0.2">
      <c r="B78" s="1279"/>
      <c r="C78" s="1394" t="s">
        <v>974</v>
      </c>
      <c r="D78" s="1382">
        <f>D61</f>
        <v>50</v>
      </c>
      <c r="E78" s="1382">
        <f t="shared" ref="E78:H78" si="6">E61</f>
        <v>50</v>
      </c>
      <c r="F78" s="1382">
        <f t="shared" si="6"/>
        <v>50</v>
      </c>
      <c r="G78" s="1382">
        <f t="shared" si="6"/>
        <v>50</v>
      </c>
      <c r="H78" s="1383">
        <f t="shared" si="6"/>
        <v>50</v>
      </c>
    </row>
    <row r="79" spans="2:8" ht="13.5" thickBot="1" x14ac:dyDescent="0.25">
      <c r="B79" s="1391"/>
      <c r="C79" s="1395" t="s">
        <v>814</v>
      </c>
      <c r="D79" s="1384">
        <f>D67+D73</f>
        <v>0</v>
      </c>
      <c r="E79" s="1384">
        <f t="shared" ref="E79:H79" si="7">E67+E73</f>
        <v>0</v>
      </c>
      <c r="F79" s="1384">
        <f t="shared" si="7"/>
        <v>0</v>
      </c>
      <c r="G79" s="1384">
        <f t="shared" si="7"/>
        <v>0</v>
      </c>
      <c r="H79" s="1385">
        <f t="shared" si="7"/>
        <v>0</v>
      </c>
    </row>
    <row r="80" spans="2:8" ht="13.5" thickBot="1" x14ac:dyDescent="0.25">
      <c r="B80" s="183"/>
      <c r="C80" s="183"/>
      <c r="D80" s="183"/>
      <c r="E80" s="183"/>
      <c r="F80" s="183"/>
      <c r="G80" s="183"/>
      <c r="H80" s="183"/>
    </row>
    <row r="81" spans="2:8" x14ac:dyDescent="0.2">
      <c r="B81" s="368"/>
      <c r="C81" s="425" t="s">
        <v>695</v>
      </c>
      <c r="D81" s="21" t="s">
        <v>4</v>
      </c>
      <c r="E81" s="21" t="s">
        <v>5</v>
      </c>
      <c r="F81" s="21" t="s">
        <v>6</v>
      </c>
      <c r="G81" s="21" t="s">
        <v>7</v>
      </c>
      <c r="H81" s="1409" t="s">
        <v>8</v>
      </c>
    </row>
    <row r="82" spans="2:8" x14ac:dyDescent="0.2">
      <c r="B82" s="29"/>
      <c r="C82" s="91" t="s">
        <v>686</v>
      </c>
      <c r="D82" s="426">
        <f>(Input!E239*D59)+(Input!E259*D65)+(Input!E279*D71)</f>
        <v>213192</v>
      </c>
      <c r="E82" s="426">
        <f>(Input!F239*E59)+(Input!F259*E65)+(Input!F279*E71)</f>
        <v>213192</v>
      </c>
      <c r="F82" s="426">
        <f>(Input!G239*F59)+(Input!G259*F65)+(Input!G279*F71)</f>
        <v>213192</v>
      </c>
      <c r="G82" s="426">
        <f>(Input!H239*G59)+(Input!H259*G65)+(Input!H279*G71)</f>
        <v>213192</v>
      </c>
      <c r="H82" s="486">
        <f>(Input!I239*H59)+(Input!I259*H65)+(Input!I279*H71)</f>
        <v>213192</v>
      </c>
    </row>
    <row r="83" spans="2:8" x14ac:dyDescent="0.2">
      <c r="B83" s="536"/>
      <c r="C83" s="551" t="s">
        <v>687</v>
      </c>
      <c r="D83" s="552">
        <f>(Input!E239*D60)+(Input!E259*D66)+(Input!E279*D72)</f>
        <v>96768</v>
      </c>
      <c r="E83" s="552">
        <f>(Input!F239*E60)+(Input!F259*E66)+(Input!F279*E72)</f>
        <v>96768</v>
      </c>
      <c r="F83" s="552">
        <f>(Input!G239*F60)+(Input!G259*F66)+(Input!G279*F72)</f>
        <v>96768</v>
      </c>
      <c r="G83" s="552">
        <f>(Input!H239*G60)+(Input!H259*G66)+(Input!H279*G72)</f>
        <v>96768</v>
      </c>
      <c r="H83" s="1402">
        <f>(Input!I239*H60)+(Input!I259*H66)+(Input!I279*H72)</f>
        <v>96768</v>
      </c>
    </row>
    <row r="84" spans="2:8" x14ac:dyDescent="0.2">
      <c r="B84" s="1405"/>
      <c r="C84" s="1406" t="s">
        <v>974</v>
      </c>
      <c r="D84" s="552">
        <f>(Input!E239*D61)</f>
        <v>54000</v>
      </c>
      <c r="E84" s="552">
        <f>(Input!F239*E61)</f>
        <v>54000</v>
      </c>
      <c r="F84" s="552">
        <f>(Input!G239*F61)</f>
        <v>54000</v>
      </c>
      <c r="G84" s="552">
        <f>(Input!H239*G61)</f>
        <v>54000</v>
      </c>
      <c r="H84" s="1402">
        <f>(Input!I239*H61)</f>
        <v>54000</v>
      </c>
    </row>
    <row r="85" spans="2:8" ht="13.5" thickBot="1" x14ac:dyDescent="0.25">
      <c r="B85" s="57"/>
      <c r="C85" s="553" t="s">
        <v>814</v>
      </c>
      <c r="D85" s="418">
        <f>(D67*Input!E$259)+(D73*Input!E$279)</f>
        <v>0</v>
      </c>
      <c r="E85" s="418">
        <f>(E67*Input!F$259)+(E73*Input!F$279)</f>
        <v>0</v>
      </c>
      <c r="F85" s="418">
        <f>(F67*Input!G$259)+(F73*Input!G$279)</f>
        <v>0</v>
      </c>
      <c r="G85" s="418">
        <f>(G67*Input!H$259)+(G73*Input!H$279)</f>
        <v>0</v>
      </c>
      <c r="H85" s="1385">
        <f>(H67*Input!I$259)+(H73*Input!I$279)</f>
        <v>0</v>
      </c>
    </row>
    <row r="86" spans="2:8" x14ac:dyDescent="0.2">
      <c r="B86" s="481"/>
      <c r="C86" s="482" t="s">
        <v>695</v>
      </c>
      <c r="D86" s="483" t="s">
        <v>4</v>
      </c>
      <c r="E86" s="483" t="s">
        <v>5</v>
      </c>
      <c r="F86" s="483" t="s">
        <v>6</v>
      </c>
      <c r="G86" s="483" t="s">
        <v>7</v>
      </c>
      <c r="H86" s="1410" t="s">
        <v>8</v>
      </c>
    </row>
    <row r="87" spans="2:8" x14ac:dyDescent="0.2">
      <c r="B87" s="484"/>
      <c r="C87" s="555" t="s">
        <v>688</v>
      </c>
      <c r="D87" s="485">
        <f>D82/45.93</f>
        <v>4641.6721097322015</v>
      </c>
      <c r="E87" s="485">
        <f>E82/45.93</f>
        <v>4641.6721097322015</v>
      </c>
      <c r="F87" s="485">
        <f>F82/45.93</f>
        <v>4641.6721097322015</v>
      </c>
      <c r="G87" s="485">
        <f>G82/45.93</f>
        <v>4641.6721097322015</v>
      </c>
      <c r="H87" s="1411">
        <f>H82/45.93</f>
        <v>4641.6721097322015</v>
      </c>
    </row>
    <row r="88" spans="2:8" x14ac:dyDescent="0.2">
      <c r="B88" s="475"/>
      <c r="C88" s="549" t="s">
        <v>689</v>
      </c>
      <c r="D88" s="1431">
        <f>D83/2204</f>
        <v>43.905626134301272</v>
      </c>
      <c r="E88" s="1431">
        <f>E83/2204</f>
        <v>43.905626134301272</v>
      </c>
      <c r="F88" s="1431">
        <f>F83/2204</f>
        <v>43.905626134301272</v>
      </c>
      <c r="G88" s="1431">
        <f>G83/2204</f>
        <v>43.905626134301272</v>
      </c>
      <c r="H88" s="1432">
        <f>H83/2204</f>
        <v>43.905626134301272</v>
      </c>
    </row>
    <row r="89" spans="2:8" x14ac:dyDescent="0.2">
      <c r="B89" s="1407"/>
      <c r="C89" s="1408" t="s">
        <v>975</v>
      </c>
      <c r="D89" s="1434">
        <f>D84/2204</f>
        <v>24.500907441016334</v>
      </c>
      <c r="E89" s="1434">
        <f t="shared" ref="E89:H89" si="8">E84/2204</f>
        <v>24.500907441016334</v>
      </c>
      <c r="F89" s="1434">
        <f t="shared" si="8"/>
        <v>24.500907441016334</v>
      </c>
      <c r="G89" s="1434">
        <f t="shared" si="8"/>
        <v>24.500907441016334</v>
      </c>
      <c r="H89" s="1435">
        <f t="shared" si="8"/>
        <v>24.500907441016334</v>
      </c>
    </row>
    <row r="90" spans="2:8" ht="13.5" thickBot="1" x14ac:dyDescent="0.25">
      <c r="B90" s="478"/>
      <c r="C90" s="550" t="s">
        <v>815</v>
      </c>
      <c r="D90" s="554">
        <f t="shared" ref="D90:H90" si="9">D85/2204</f>
        <v>0</v>
      </c>
      <c r="E90" s="554">
        <f t="shared" si="9"/>
        <v>0</v>
      </c>
      <c r="F90" s="554">
        <f t="shared" si="9"/>
        <v>0</v>
      </c>
      <c r="G90" s="554">
        <f t="shared" si="9"/>
        <v>0</v>
      </c>
      <c r="H90" s="1412">
        <f t="shared" si="9"/>
        <v>0</v>
      </c>
    </row>
    <row r="93" spans="2:8" x14ac:dyDescent="0.2">
      <c r="C93" s="366"/>
    </row>
    <row r="94" spans="2:8" x14ac:dyDescent="0.2">
      <c r="C94" s="1337"/>
      <c r="D94" s="65"/>
      <c r="E94" s="65"/>
      <c r="F94" s="65"/>
      <c r="G94" s="65"/>
      <c r="H94" s="65"/>
    </row>
    <row r="95" spans="2:8" x14ac:dyDescent="0.2">
      <c r="C95" s="208"/>
      <c r="D95" s="379"/>
      <c r="E95" s="379"/>
      <c r="F95" s="379"/>
      <c r="G95" s="379"/>
      <c r="H95" s="379"/>
    </row>
    <row r="96" spans="2:8" x14ac:dyDescent="0.2">
      <c r="C96" s="56"/>
      <c r="D96" s="379"/>
      <c r="E96" s="379"/>
      <c r="F96" s="379"/>
      <c r="G96" s="379"/>
      <c r="H96" s="379"/>
    </row>
    <row r="97" spans="3:8" x14ac:dyDescent="0.2">
      <c r="C97" s="56"/>
      <c r="D97" s="379"/>
      <c r="E97" s="379"/>
      <c r="F97" s="379"/>
      <c r="G97" s="379"/>
      <c r="H97" s="379"/>
    </row>
    <row r="98" spans="3:8" x14ac:dyDescent="0.2">
      <c r="C98" s="367"/>
      <c r="D98" s="1338"/>
      <c r="E98" s="1338"/>
      <c r="F98" s="1338"/>
      <c r="G98" s="1338"/>
      <c r="H98" s="1338"/>
    </row>
    <row r="99" spans="3:8" x14ac:dyDescent="0.2">
      <c r="C99" s="1337"/>
      <c r="D99" s="65"/>
      <c r="E99" s="65"/>
      <c r="F99" s="65"/>
      <c r="G99" s="65"/>
      <c r="H99" s="65"/>
    </row>
    <row r="100" spans="3:8" x14ac:dyDescent="0.2">
      <c r="C100" s="208"/>
      <c r="D100" s="1339"/>
      <c r="E100" s="1339"/>
      <c r="F100" s="1339"/>
      <c r="G100" s="1339"/>
      <c r="H100" s="1339"/>
    </row>
    <row r="101" spans="3:8" x14ac:dyDescent="0.2">
      <c r="C101" s="56"/>
      <c r="D101" s="1339"/>
      <c r="E101" s="1339"/>
      <c r="F101" s="1339"/>
      <c r="G101" s="1339"/>
      <c r="H101" s="1339"/>
    </row>
    <row r="102" spans="3:8" x14ac:dyDescent="0.2">
      <c r="C102" s="56"/>
      <c r="D102" s="1339"/>
      <c r="E102" s="1339"/>
      <c r="F102" s="1339"/>
      <c r="G102" s="1339"/>
      <c r="H102" s="1339"/>
    </row>
    <row r="103" spans="3:8" x14ac:dyDescent="0.2">
      <c r="C103" s="367"/>
      <c r="D103" s="1340"/>
      <c r="E103" s="1340"/>
      <c r="F103" s="1340"/>
      <c r="G103" s="1340"/>
      <c r="H103" s="1340"/>
    </row>
    <row r="104" spans="3:8" x14ac:dyDescent="0.2">
      <c r="C104" s="367"/>
      <c r="D104" s="1340"/>
      <c r="E104" s="1340"/>
      <c r="F104" s="1340"/>
      <c r="G104" s="1340"/>
      <c r="H104" s="1340"/>
    </row>
  </sheetData>
  <sheetProtection sheet="1" objects="1" scenarios="1"/>
  <pageMargins left="0.75" right="0.75" top="1" bottom="1" header="0.5" footer="0.5"/>
  <pageSetup orientation="portrait" r:id="rId1"/>
  <headerFooter>
    <oddFooter>&amp;CEwePLAN Copyright Government of Saskatchewan, Developed by Brad Marceniuk&amp;RPage 2</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3473" r:id="rId4" name="Button 1">
              <controlPr defaultSize="0" print="0" autoFill="0" autoPict="0" macro="[0]!AcceleratedFeedSummary">
                <anchor moveWithCells="1">
                  <from>
                    <xdr:col>1</xdr:col>
                    <xdr:colOff>0</xdr:colOff>
                    <xdr:row>0</xdr:row>
                    <xdr:rowOff>95250</xdr:rowOff>
                  </from>
                  <to>
                    <xdr:col>5</xdr:col>
                    <xdr:colOff>209550</xdr:colOff>
                    <xdr:row>2</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autoPageBreaks="0" fitToPage="1"/>
  </sheetPr>
  <dimension ref="A2:BB184"/>
  <sheetViews>
    <sheetView showGridLines="0" showRowColHeaders="0" topLeftCell="A105" zoomScale="91" zoomScaleNormal="91" workbookViewId="0">
      <selection activeCell="AE133" sqref="AE133"/>
    </sheetView>
  </sheetViews>
  <sheetFormatPr defaultRowHeight="12.75" x14ac:dyDescent="0.2"/>
  <cols>
    <col min="1" max="1" width="6.7109375" customWidth="1"/>
    <col min="2" max="3" width="12.7109375" customWidth="1"/>
    <col min="4" max="4" width="20.7109375" customWidth="1"/>
    <col min="5" max="5" width="16.7109375" customWidth="1"/>
    <col min="6" max="29" width="9.7109375" customWidth="1"/>
    <col min="30" max="34" width="10.7109375" customWidth="1"/>
    <col min="35" max="35" width="15.7109375" customWidth="1"/>
    <col min="36" max="54" width="10.7109375" customWidth="1"/>
  </cols>
  <sheetData>
    <row r="2" spans="1:35" ht="15.75" thickBot="1" x14ac:dyDescent="0.3">
      <c r="D2" s="28"/>
      <c r="E2" s="511" t="s">
        <v>846</v>
      </c>
      <c r="F2" s="509">
        <v>45658</v>
      </c>
      <c r="G2" s="509">
        <v>45689</v>
      </c>
      <c r="H2" s="509">
        <v>45717</v>
      </c>
      <c r="I2" s="509">
        <v>45748</v>
      </c>
      <c r="J2" s="509">
        <v>45778</v>
      </c>
      <c r="K2" s="509">
        <v>45809</v>
      </c>
      <c r="L2" s="509">
        <v>45839</v>
      </c>
      <c r="M2" s="509">
        <v>45870</v>
      </c>
      <c r="N2" s="509">
        <v>45901</v>
      </c>
      <c r="O2" s="509">
        <v>45931</v>
      </c>
      <c r="P2" s="509">
        <v>45962</v>
      </c>
      <c r="Q2" s="509">
        <v>45992</v>
      </c>
      <c r="R2" s="509">
        <v>46023</v>
      </c>
      <c r="S2" s="509">
        <v>46054</v>
      </c>
      <c r="T2" s="509">
        <v>46082</v>
      </c>
      <c r="U2" s="509">
        <v>46113</v>
      </c>
      <c r="V2" s="509">
        <v>46143</v>
      </c>
      <c r="W2" s="509">
        <v>46174</v>
      </c>
      <c r="X2" s="509">
        <v>46204</v>
      </c>
      <c r="Y2" s="509">
        <v>46235</v>
      </c>
      <c r="Z2" s="509">
        <v>46266</v>
      </c>
      <c r="AA2" s="509">
        <v>46296</v>
      </c>
      <c r="AB2" s="509">
        <v>46327</v>
      </c>
      <c r="AC2" s="524">
        <v>46357</v>
      </c>
      <c r="AD2" s="1447" t="s">
        <v>834</v>
      </c>
      <c r="AE2" s="1448"/>
    </row>
    <row r="3" spans="1:35" ht="13.5" thickBot="1" x14ac:dyDescent="0.25">
      <c r="D3" s="215" t="s">
        <v>780</v>
      </c>
      <c r="E3" s="63"/>
      <c r="F3" s="508" t="s">
        <v>744</v>
      </c>
      <c r="G3" s="508" t="s">
        <v>745</v>
      </c>
      <c r="H3" s="508" t="s">
        <v>746</v>
      </c>
      <c r="I3" s="508" t="s">
        <v>747</v>
      </c>
      <c r="J3" s="508" t="s">
        <v>748</v>
      </c>
      <c r="K3" s="508" t="s">
        <v>749</v>
      </c>
      <c r="L3" s="508" t="s">
        <v>750</v>
      </c>
      <c r="M3" s="508" t="s">
        <v>751</v>
      </c>
      <c r="N3" s="508" t="s">
        <v>752</v>
      </c>
      <c r="O3" s="508" t="s">
        <v>753</v>
      </c>
      <c r="P3" s="508" t="s">
        <v>754</v>
      </c>
      <c r="Q3" s="508" t="s">
        <v>755</v>
      </c>
      <c r="R3" s="508" t="s">
        <v>756</v>
      </c>
      <c r="S3" s="508" t="s">
        <v>757</v>
      </c>
      <c r="T3" s="508" t="s">
        <v>758</v>
      </c>
      <c r="U3" s="508" t="s">
        <v>759</v>
      </c>
      <c r="V3" s="508" t="s">
        <v>760</v>
      </c>
      <c r="W3" s="508" t="s">
        <v>761</v>
      </c>
      <c r="X3" s="508" t="s">
        <v>762</v>
      </c>
      <c r="Y3" s="508" t="s">
        <v>763</v>
      </c>
      <c r="Z3" s="508" t="s">
        <v>764</v>
      </c>
      <c r="AA3" s="508" t="s">
        <v>765</v>
      </c>
      <c r="AB3" s="508" t="s">
        <v>766</v>
      </c>
      <c r="AC3" s="584" t="s">
        <v>767</v>
      </c>
      <c r="AD3" s="585" t="s">
        <v>790</v>
      </c>
      <c r="AE3" s="585" t="s">
        <v>791</v>
      </c>
      <c r="AF3" s="36"/>
      <c r="AG3" s="36"/>
      <c r="AH3" s="36"/>
    </row>
    <row r="4" spans="1:35" ht="13.15" customHeight="1" x14ac:dyDescent="0.2">
      <c r="B4" s="65" t="s">
        <v>852</v>
      </c>
      <c r="C4" s="65" t="s">
        <v>854</v>
      </c>
      <c r="D4" s="516" t="s">
        <v>777</v>
      </c>
      <c r="E4" s="63"/>
      <c r="F4" s="1051">
        <f>IF(Input!$E$25&gt;0,Input!$E$25/12,0)</f>
        <v>0</v>
      </c>
      <c r="G4" s="1051">
        <f>IF(Input!$E$25&gt;0,Input!$E$25/12,0)</f>
        <v>0</v>
      </c>
      <c r="H4" s="1051">
        <f>IF(Input!$E$25&gt;0,Input!$E$25/12,0)</f>
        <v>0</v>
      </c>
      <c r="I4" s="1051">
        <f>IF(Input!$E$25&gt;0,Input!$E$25/12,0)</f>
        <v>0</v>
      </c>
      <c r="J4" s="1051">
        <f>IF(Input!$E$25&gt;0,Input!$E$25/12,0)</f>
        <v>0</v>
      </c>
      <c r="K4" s="1051">
        <f>IF(Input!$E$25&gt;0,Input!$E$25/12,0)</f>
        <v>0</v>
      </c>
      <c r="L4" s="1051">
        <f>IF(Input!$E$25&gt;0,Input!$E$25/12,0)</f>
        <v>0</v>
      </c>
      <c r="M4" s="1051">
        <f>IF(Input!$E$25&gt;0,Input!$E$25/12,0)</f>
        <v>0</v>
      </c>
      <c r="N4" s="1051">
        <f>IF(Input!$E$25&gt;0,Input!$E$25/12,0)</f>
        <v>0</v>
      </c>
      <c r="O4" s="1051">
        <f>IF(Input!$E$25&gt;0,Input!$E$25/12,0)</f>
        <v>0</v>
      </c>
      <c r="P4" s="1051">
        <f>IF(Input!$E$25&gt;0,Input!$E$25/12,0)</f>
        <v>0</v>
      </c>
      <c r="Q4" s="1051">
        <f>IF(Input!$E$25&gt;0,Input!$E$25/12,0)</f>
        <v>0</v>
      </c>
      <c r="R4" s="1051">
        <f>IF(Input!$F$25&gt;0,Input!$E$25/12,0)</f>
        <v>0</v>
      </c>
      <c r="S4" s="1051">
        <f>IF(Input!$F$25&gt;0,Input!$E$25/12,0)</f>
        <v>0</v>
      </c>
      <c r="T4" s="1051">
        <f>IF(Input!$F$25&gt;0,Input!$E$25/12,0)</f>
        <v>0</v>
      </c>
      <c r="U4" s="1051">
        <f>IF(Input!$F$25&gt;0,Input!$E$25/12,0)</f>
        <v>0</v>
      </c>
      <c r="V4" s="1051">
        <f>IF(Input!$F$25&gt;0,Input!$E$25/12,0)</f>
        <v>0</v>
      </c>
      <c r="W4" s="1051">
        <f>IF(Input!$F$25&gt;0,Input!$E$25/12,0)</f>
        <v>0</v>
      </c>
      <c r="X4" s="1051">
        <f>IF(Input!$F$25&gt;0,Input!$E$25/12,0)</f>
        <v>0</v>
      </c>
      <c r="Y4" s="1051">
        <f>IF(Input!$F$25&gt;0,Input!$E$25/12,0)</f>
        <v>0</v>
      </c>
      <c r="Z4" s="1051">
        <f>IF(Input!$F$25&gt;0,Input!$E$25/12,0)</f>
        <v>0</v>
      </c>
      <c r="AA4" s="1051">
        <f>IF(Input!$F$25&gt;0,Input!$E$25/12,0)</f>
        <v>0</v>
      </c>
      <c r="AB4" s="1051">
        <f>IF(Input!$F$25&gt;0,Input!$E$25/12,0)</f>
        <v>0</v>
      </c>
      <c r="AC4" s="1052">
        <f>IF(Input!$F$25&gt;0,Input!$E$25/12,0)</f>
        <v>0</v>
      </c>
      <c r="AD4" s="752">
        <f>SUM(F4:Q4)</f>
        <v>0</v>
      </c>
      <c r="AE4" s="752">
        <f>SUM(R4:AC4)</f>
        <v>0</v>
      </c>
      <c r="AF4" s="522" t="s">
        <v>777</v>
      </c>
      <c r="AI4" s="522"/>
    </row>
    <row r="5" spans="1:35" x14ac:dyDescent="0.2">
      <c r="A5" s="91" t="s">
        <v>704</v>
      </c>
      <c r="B5" s="65" t="s">
        <v>851</v>
      </c>
      <c r="C5" s="65" t="s">
        <v>852</v>
      </c>
      <c r="D5" s="531" t="s">
        <v>779</v>
      </c>
      <c r="E5" s="1053"/>
      <c r="F5" s="254">
        <f>Input!$E$16</f>
        <v>400</v>
      </c>
      <c r="G5" s="254">
        <f t="shared" ref="G5:AC5" si="0">F5+G4-G16-G17+G30</f>
        <v>400</v>
      </c>
      <c r="H5" s="254">
        <f t="shared" si="0"/>
        <v>400</v>
      </c>
      <c r="I5" s="254">
        <f t="shared" si="0"/>
        <v>400</v>
      </c>
      <c r="J5" s="254">
        <f t="shared" si="0"/>
        <v>400</v>
      </c>
      <c r="K5" s="254">
        <f t="shared" si="0"/>
        <v>400</v>
      </c>
      <c r="L5" s="254">
        <f t="shared" si="0"/>
        <v>400</v>
      </c>
      <c r="M5" s="254">
        <f t="shared" si="0"/>
        <v>400</v>
      </c>
      <c r="N5" s="254">
        <f t="shared" si="0"/>
        <v>400</v>
      </c>
      <c r="O5" s="254">
        <f t="shared" si="0"/>
        <v>400</v>
      </c>
      <c r="P5" s="254">
        <f t="shared" si="0"/>
        <v>400</v>
      </c>
      <c r="Q5" s="254">
        <f t="shared" si="0"/>
        <v>400</v>
      </c>
      <c r="R5" s="254">
        <f t="shared" si="0"/>
        <v>400</v>
      </c>
      <c r="S5" s="254">
        <f t="shared" si="0"/>
        <v>400</v>
      </c>
      <c r="T5" s="254">
        <f t="shared" si="0"/>
        <v>400</v>
      </c>
      <c r="U5" s="254">
        <f t="shared" si="0"/>
        <v>400</v>
      </c>
      <c r="V5" s="254">
        <f t="shared" si="0"/>
        <v>400</v>
      </c>
      <c r="W5" s="254">
        <f t="shared" si="0"/>
        <v>400</v>
      </c>
      <c r="X5" s="254">
        <f t="shared" si="0"/>
        <v>400</v>
      </c>
      <c r="Y5" s="254">
        <f t="shared" si="0"/>
        <v>400</v>
      </c>
      <c r="Z5" s="254">
        <f t="shared" si="0"/>
        <v>400</v>
      </c>
      <c r="AA5" s="254">
        <f t="shared" si="0"/>
        <v>400</v>
      </c>
      <c r="AB5" s="254">
        <f t="shared" si="0"/>
        <v>400</v>
      </c>
      <c r="AC5" s="1054">
        <f t="shared" si="0"/>
        <v>400</v>
      </c>
      <c r="AD5" s="753"/>
      <c r="AE5" s="753"/>
      <c r="AF5" s="522" t="s">
        <v>779</v>
      </c>
      <c r="AI5" s="522"/>
    </row>
    <row r="6" spans="1:35" ht="4.9000000000000004" customHeight="1" x14ac:dyDescent="0.2">
      <c r="C6" s="503"/>
      <c r="D6" s="531"/>
      <c r="E6" s="894"/>
      <c r="F6" s="254"/>
      <c r="G6" s="254"/>
      <c r="H6" s="254"/>
      <c r="I6" s="254"/>
      <c r="J6" s="254"/>
      <c r="K6" s="254"/>
      <c r="L6" s="254"/>
      <c r="M6" s="254"/>
      <c r="N6" s="254"/>
      <c r="O6" s="254"/>
      <c r="P6" s="254"/>
      <c r="Q6" s="254"/>
      <c r="R6" s="254"/>
      <c r="S6" s="254"/>
      <c r="T6" s="254"/>
      <c r="U6" s="254"/>
      <c r="V6" s="254"/>
      <c r="W6" s="254"/>
      <c r="X6" s="254"/>
      <c r="Y6" s="254"/>
      <c r="Z6" s="254"/>
      <c r="AA6" s="254"/>
      <c r="AB6" s="254"/>
      <c r="AC6" s="1054"/>
      <c r="AD6" s="101"/>
      <c r="AE6" s="101"/>
      <c r="AF6" s="522"/>
      <c r="AI6" s="522"/>
    </row>
    <row r="7" spans="1:35" ht="13.15" customHeight="1" x14ac:dyDescent="0.2">
      <c r="A7" s="825">
        <f>$F$5*B7</f>
        <v>181.06995884773661</v>
      </c>
      <c r="B7" s="300">
        <f>(C7/$C$13)</f>
        <v>0.45267489711934156</v>
      </c>
      <c r="C7" s="664">
        <f>Input!$E$122</f>
        <v>110</v>
      </c>
      <c r="D7" s="1373" t="str">
        <f>Input!$C$123</f>
        <v>Ewes - Breeding/Early Gestation (#1)</v>
      </c>
      <c r="E7" s="1055"/>
      <c r="F7" s="1056">
        <f>F5*(Input!$E$122/Input!$E$210)</f>
        <v>181.06995884773661</v>
      </c>
      <c r="G7" s="1056">
        <f>G5*(Input!$E$122/Input!$E$210)</f>
        <v>181.06995884773661</v>
      </c>
      <c r="H7" s="1056">
        <f>H5*(Input!$E$122/Input!$E$210)</f>
        <v>181.06995884773661</v>
      </c>
      <c r="I7" s="1056">
        <f>I5*(Input!$E$122/Input!$E$210)</f>
        <v>181.06995884773661</v>
      </c>
      <c r="J7" s="1056">
        <f>J5*(Input!$E$122/Input!$E$210)</f>
        <v>181.06995884773661</v>
      </c>
      <c r="K7" s="1056">
        <f>K5*(Input!$E$122/Input!$E$210)</f>
        <v>181.06995884773661</v>
      </c>
      <c r="L7" s="1056">
        <f>L5*(Input!$E$122/Input!$E$210)</f>
        <v>181.06995884773661</v>
      </c>
      <c r="M7" s="1056">
        <f>M5*(Input!$E$122/Input!$E$210)</f>
        <v>181.06995884773661</v>
      </c>
      <c r="N7" s="1056">
        <f>N5*(Input!$E$122/Input!$E$210)</f>
        <v>181.06995884773661</v>
      </c>
      <c r="O7" s="1056">
        <f>O5*(Input!$E$122/Input!$E$210)</f>
        <v>181.06995884773661</v>
      </c>
      <c r="P7" s="1056">
        <f>P5*(Input!$E$122/Input!$E$210)</f>
        <v>181.06995884773661</v>
      </c>
      <c r="Q7" s="1056">
        <f>Q5*(Input!$E$122/Input!$E$210)</f>
        <v>181.06995884773661</v>
      </c>
      <c r="R7" s="1056">
        <f>R5*(Input!$F$122/Input!$F$210)</f>
        <v>181.06995884773661</v>
      </c>
      <c r="S7" s="1056">
        <f>S5*(Input!$F$122/Input!$F$210)</f>
        <v>181.06995884773661</v>
      </c>
      <c r="T7" s="1056">
        <f>T5*(Input!$F$122/Input!$F$210)</f>
        <v>181.06995884773661</v>
      </c>
      <c r="U7" s="1056">
        <f>U5*(Input!$F$122/Input!$F$210)</f>
        <v>181.06995884773661</v>
      </c>
      <c r="V7" s="1056">
        <f>V5*(Input!$F$122/Input!$F$210)</f>
        <v>181.06995884773661</v>
      </c>
      <c r="W7" s="1056">
        <f>W5*(Input!$F$122/Input!$F$210)</f>
        <v>181.06995884773661</v>
      </c>
      <c r="X7" s="1056">
        <f>X5*(Input!$F$122/Input!$F$210)</f>
        <v>181.06995884773661</v>
      </c>
      <c r="Y7" s="1056">
        <f>Y5*(Input!$F$122/Input!$F$210)</f>
        <v>181.06995884773661</v>
      </c>
      <c r="Z7" s="1056">
        <f>Z5*(Input!$F$122/Input!$F$210)</f>
        <v>181.06995884773661</v>
      </c>
      <c r="AA7" s="1056">
        <f>AA5*(Input!$F$122/Input!$F$210)</f>
        <v>181.06995884773661</v>
      </c>
      <c r="AB7" s="1056">
        <f>AB5*(Input!$F$122/Input!$F$210)</f>
        <v>181.06995884773661</v>
      </c>
      <c r="AC7" s="1056">
        <f>AC5*(Input!$F$122/Input!$F$210)</f>
        <v>181.06995884773661</v>
      </c>
      <c r="AD7" s="101"/>
      <c r="AE7" s="101"/>
      <c r="AF7" s="522"/>
      <c r="AI7" s="522"/>
    </row>
    <row r="8" spans="1:35" ht="13.15" customHeight="1" x14ac:dyDescent="0.2">
      <c r="A8" s="825">
        <f>$F$5*B8</f>
        <v>69.135802469135797</v>
      </c>
      <c r="B8" s="300">
        <f>(C8/$C$13)</f>
        <v>0.1728395061728395</v>
      </c>
      <c r="C8" s="664">
        <f>Input!$E$140</f>
        <v>42</v>
      </c>
      <c r="D8" s="1374" t="str">
        <f>Input!$C$141</f>
        <v>Ewes - Late Gestation Ration (#2)</v>
      </c>
      <c r="E8" s="1055"/>
      <c r="F8" s="1056">
        <f>F5*(Input!$E$140/Input!$E$210)</f>
        <v>69.135802469135797</v>
      </c>
      <c r="G8" s="1056">
        <f>G5*(Input!$E$140/Input!$E$210)</f>
        <v>69.135802469135797</v>
      </c>
      <c r="H8" s="1056">
        <f>H5*(Input!$E$140/Input!$E$210)</f>
        <v>69.135802469135797</v>
      </c>
      <c r="I8" s="1056">
        <f>I5*(Input!$E$140/Input!$E$210)</f>
        <v>69.135802469135797</v>
      </c>
      <c r="J8" s="1056">
        <f>J5*(Input!$E$140/Input!$E$210)</f>
        <v>69.135802469135797</v>
      </c>
      <c r="K8" s="1056">
        <f>K5*(Input!$E$140/Input!$E$210)</f>
        <v>69.135802469135797</v>
      </c>
      <c r="L8" s="1056">
        <f>L5*(Input!$E$140/Input!$E$210)</f>
        <v>69.135802469135797</v>
      </c>
      <c r="M8" s="1056">
        <f>M5*(Input!$E$140/Input!$E$210)</f>
        <v>69.135802469135797</v>
      </c>
      <c r="N8" s="1056">
        <f>N5*(Input!$E$140/Input!$E$210)</f>
        <v>69.135802469135797</v>
      </c>
      <c r="O8" s="1056">
        <f>O5*(Input!$E$140/Input!$E$210)</f>
        <v>69.135802469135797</v>
      </c>
      <c r="P8" s="1056">
        <f>P5*(Input!$E$140/Input!$E$210)</f>
        <v>69.135802469135797</v>
      </c>
      <c r="Q8" s="1056">
        <f>Q5*(Input!$E$140/Input!$E$210)</f>
        <v>69.135802469135797</v>
      </c>
      <c r="R8" s="1056">
        <f>R5*(Input!$F$140/Input!$F$210)</f>
        <v>69.135802469135797</v>
      </c>
      <c r="S8" s="1056">
        <f>S5*(Input!$F$140/Input!$F$210)</f>
        <v>69.135802469135797</v>
      </c>
      <c r="T8" s="1056">
        <f>T5*(Input!$F$140/Input!$F$210)</f>
        <v>69.135802469135797</v>
      </c>
      <c r="U8" s="1056">
        <f>U5*(Input!$F$140/Input!$F$210)</f>
        <v>69.135802469135797</v>
      </c>
      <c r="V8" s="1056">
        <f>V5*(Input!$F$140/Input!$F$210)</f>
        <v>69.135802469135797</v>
      </c>
      <c r="W8" s="1056">
        <f>W5*(Input!$F$140/Input!$F$210)</f>
        <v>69.135802469135797</v>
      </c>
      <c r="X8" s="1056">
        <f>X5*(Input!$F$140/Input!$F$210)</f>
        <v>69.135802469135797</v>
      </c>
      <c r="Y8" s="1056">
        <f>Y5*(Input!$F$140/Input!$F$210)</f>
        <v>69.135802469135797</v>
      </c>
      <c r="Z8" s="1056">
        <f>Z5*(Input!$F$140/Input!$F$210)</f>
        <v>69.135802469135797</v>
      </c>
      <c r="AA8" s="1056">
        <f>AA5*(Input!$F$140/Input!$F$210)</f>
        <v>69.135802469135797</v>
      </c>
      <c r="AB8" s="1056">
        <f>AB5*(Input!$F$140/Input!$F$210)</f>
        <v>69.135802469135797</v>
      </c>
      <c r="AC8" s="1056">
        <f>AC5*(Input!$F$140/Input!$F$210)</f>
        <v>69.135802469135797</v>
      </c>
      <c r="AD8" s="101"/>
      <c r="AE8" s="101"/>
      <c r="AF8" s="522"/>
      <c r="AI8" s="522"/>
    </row>
    <row r="9" spans="1:35" ht="13.15" customHeight="1" x14ac:dyDescent="0.2">
      <c r="A9" s="825">
        <f>$F$5*B9</f>
        <v>115.22633744855968</v>
      </c>
      <c r="B9" s="300">
        <f>(C9/$C$13)</f>
        <v>0.2880658436213992</v>
      </c>
      <c r="C9" s="664">
        <f>Input!$E$158</f>
        <v>70</v>
      </c>
      <c r="D9" s="1374" t="str">
        <f>Input!$C$159</f>
        <v>Ewes - Lacation Ration (#3)</v>
      </c>
      <c r="E9" s="1055"/>
      <c r="F9" s="1056">
        <f>F5*(Input!$E$158/Input!$E$210)</f>
        <v>115.22633744855968</v>
      </c>
      <c r="G9" s="1056">
        <f>G5*(Input!$E$158/Input!$E$210)</f>
        <v>115.22633744855968</v>
      </c>
      <c r="H9" s="1056">
        <f>H5*(Input!$E$158/Input!$E$210)</f>
        <v>115.22633744855968</v>
      </c>
      <c r="I9" s="1056">
        <f>I5*(Input!$E$158/Input!$E$210)</f>
        <v>115.22633744855968</v>
      </c>
      <c r="J9" s="1056">
        <f>J5*(Input!$E$158/Input!$E$210)</f>
        <v>115.22633744855968</v>
      </c>
      <c r="K9" s="1056">
        <f>K5*(Input!$E$158/Input!$E$210)</f>
        <v>115.22633744855968</v>
      </c>
      <c r="L9" s="1056">
        <f>L5*(Input!$E$158/Input!$E$210)</f>
        <v>115.22633744855968</v>
      </c>
      <c r="M9" s="1056">
        <f>M5*(Input!$E$158/Input!$E$210)</f>
        <v>115.22633744855968</v>
      </c>
      <c r="N9" s="1056">
        <f>N5*(Input!$E$158/Input!$E$210)</f>
        <v>115.22633744855968</v>
      </c>
      <c r="O9" s="1056">
        <f>O5*(Input!$E$158/Input!$E$210)</f>
        <v>115.22633744855968</v>
      </c>
      <c r="P9" s="1056">
        <f>P5*(Input!$E$158/Input!$E$210)</f>
        <v>115.22633744855968</v>
      </c>
      <c r="Q9" s="1056">
        <f>Q5*(Input!$E$158/Input!$E$210)</f>
        <v>115.22633744855968</v>
      </c>
      <c r="R9" s="1056">
        <f>R5*(Input!$F$158/Input!$F$210)</f>
        <v>115.22633744855968</v>
      </c>
      <c r="S9" s="1056">
        <f>S5*(Input!$F$158/Input!$F$210)</f>
        <v>115.22633744855968</v>
      </c>
      <c r="T9" s="1056">
        <f>T5*(Input!$F$158/Input!$F$210)</f>
        <v>115.22633744855968</v>
      </c>
      <c r="U9" s="1056">
        <f>U5*(Input!$F$158/Input!$F$210)</f>
        <v>115.22633744855968</v>
      </c>
      <c r="V9" s="1056">
        <f>V5*(Input!$F$158/Input!$F$210)</f>
        <v>115.22633744855968</v>
      </c>
      <c r="W9" s="1056">
        <f>W5*(Input!$F$158/Input!$F$210)</f>
        <v>115.22633744855968</v>
      </c>
      <c r="X9" s="1056">
        <f>X5*(Input!$F$158/Input!$F$210)</f>
        <v>115.22633744855968</v>
      </c>
      <c r="Y9" s="1056">
        <f>Y5*(Input!$F$158/Input!$F$210)</f>
        <v>115.22633744855968</v>
      </c>
      <c r="Z9" s="1056">
        <f>Z5*(Input!$F$158/Input!$F$210)</f>
        <v>115.22633744855968</v>
      </c>
      <c r="AA9" s="1056">
        <f>AA5*(Input!$F$158/Input!$F$210)</f>
        <v>115.22633744855968</v>
      </c>
      <c r="AB9" s="1056">
        <f>AB5*(Input!$F$158/Input!$F$210)</f>
        <v>115.22633744855968</v>
      </c>
      <c r="AC9" s="1056">
        <f>AC5*(Input!$F$158/Input!$F$210)</f>
        <v>115.22633744855968</v>
      </c>
      <c r="AD9" s="101"/>
      <c r="AE9" s="101"/>
      <c r="AF9" s="522"/>
      <c r="AI9" s="522"/>
    </row>
    <row r="10" spans="1:35" ht="13.15" customHeight="1" x14ac:dyDescent="0.2">
      <c r="A10" s="825">
        <f>$F$5*B10</f>
        <v>34.567901234567898</v>
      </c>
      <c r="B10" s="300">
        <f>(C10/$C$13)</f>
        <v>8.6419753086419748E-2</v>
      </c>
      <c r="C10" s="664">
        <f>Input!$E$176</f>
        <v>21</v>
      </c>
      <c r="D10" s="127" t="str">
        <f>Input!$C$177</f>
        <v>Ewes - Pre-breed/Flush Ration (#4)</v>
      </c>
      <c r="E10" s="607"/>
      <c r="F10" s="1056">
        <f>F5*(Input!$E$176/Input!$E$210)</f>
        <v>34.567901234567898</v>
      </c>
      <c r="G10" s="1056">
        <f>G5*(Input!$E$176/Input!$E$210)</f>
        <v>34.567901234567898</v>
      </c>
      <c r="H10" s="1056">
        <f>H5*(Input!$E$176/Input!$E$210)</f>
        <v>34.567901234567898</v>
      </c>
      <c r="I10" s="1056">
        <f>I5*(Input!$E$176/Input!$E$210)</f>
        <v>34.567901234567898</v>
      </c>
      <c r="J10" s="1056">
        <f>J5*(Input!$E$176/Input!$E$210)</f>
        <v>34.567901234567898</v>
      </c>
      <c r="K10" s="1056">
        <f>K5*(Input!$E$176/Input!$E$210)</f>
        <v>34.567901234567898</v>
      </c>
      <c r="L10" s="1056">
        <f>L5*(Input!$E$176/Input!$E$210)</f>
        <v>34.567901234567898</v>
      </c>
      <c r="M10" s="1056">
        <f>M5*(Input!$E$176/Input!$E$210)</f>
        <v>34.567901234567898</v>
      </c>
      <c r="N10" s="1056">
        <f>N5*(Input!$E$176/Input!$E$210)</f>
        <v>34.567901234567898</v>
      </c>
      <c r="O10" s="1056">
        <f>O5*(Input!$E$176/Input!$E$210)</f>
        <v>34.567901234567898</v>
      </c>
      <c r="P10" s="1056">
        <f>P5*(Input!$E$176/Input!$E$210)</f>
        <v>34.567901234567898</v>
      </c>
      <c r="Q10" s="1056">
        <f>Q5*(Input!$E$176/Input!$E$210)</f>
        <v>34.567901234567898</v>
      </c>
      <c r="R10" s="1056">
        <f>R5*(Input!$F$176/Input!$F$210)</f>
        <v>34.567901234567898</v>
      </c>
      <c r="S10" s="1056">
        <f>S5*(Input!$F$176/Input!$F$210)</f>
        <v>34.567901234567898</v>
      </c>
      <c r="T10" s="1056">
        <f>T5*(Input!$F$176/Input!$F$210)</f>
        <v>34.567901234567898</v>
      </c>
      <c r="U10" s="1056">
        <f>U5*(Input!$F$176/Input!$F$210)</f>
        <v>34.567901234567898</v>
      </c>
      <c r="V10" s="1056">
        <f>V5*(Input!$F$176/Input!$F$210)</f>
        <v>34.567901234567898</v>
      </c>
      <c r="W10" s="1056">
        <f>W5*(Input!$F$176/Input!$F$210)</f>
        <v>34.567901234567898</v>
      </c>
      <c r="X10" s="1056">
        <f>X5*(Input!$F$176/Input!$F$210)</f>
        <v>34.567901234567898</v>
      </c>
      <c r="Y10" s="1056">
        <f>Y5*(Input!$F$176/Input!$F$210)</f>
        <v>34.567901234567898</v>
      </c>
      <c r="Z10" s="1056">
        <f>Z5*(Input!$F$176/Input!$F$210)</f>
        <v>34.567901234567898</v>
      </c>
      <c r="AA10" s="1056">
        <f>AA5*(Input!$F$176/Input!$F$210)</f>
        <v>34.567901234567898</v>
      </c>
      <c r="AB10" s="1056">
        <f>AB5*(Input!$F$176/Input!$F$210)</f>
        <v>34.567901234567898</v>
      </c>
      <c r="AC10" s="1056">
        <f>AC5*(Input!$F$176/Input!$F$210)</f>
        <v>34.567901234567898</v>
      </c>
      <c r="AD10" s="101"/>
      <c r="AE10" s="101"/>
      <c r="AF10" s="522"/>
      <c r="AI10" s="522"/>
    </row>
    <row r="11" spans="1:35" ht="13.15" customHeight="1" x14ac:dyDescent="0.2">
      <c r="A11" s="825">
        <f>$F$5*B11</f>
        <v>0</v>
      </c>
      <c r="B11" s="300">
        <f>(C11/$C$13)</f>
        <v>0</v>
      </c>
      <c r="C11" s="664">
        <f>Input!$E$199</f>
        <v>0</v>
      </c>
      <c r="D11" s="598" t="s">
        <v>845</v>
      </c>
      <c r="E11" s="1055"/>
      <c r="F11" s="1056">
        <f>F5*(Input!$E$199/Input!$E$210)</f>
        <v>0</v>
      </c>
      <c r="G11" s="1056">
        <f>G5*(Input!$E$199/Input!$E$210)</f>
        <v>0</v>
      </c>
      <c r="H11" s="1056">
        <f>H5*(Input!$E$199/Input!$E$210)</f>
        <v>0</v>
      </c>
      <c r="I11" s="1056">
        <f>I5*(Input!$E$199/Input!$E$210)</f>
        <v>0</v>
      </c>
      <c r="J11" s="1056">
        <f>J5*(Input!$E$199/Input!$E$210)</f>
        <v>0</v>
      </c>
      <c r="K11" s="1056">
        <f>K5*(Input!$E$199/Input!$E$210)</f>
        <v>0</v>
      </c>
      <c r="L11" s="1056">
        <f>L5*(Input!$E$199/Input!$E$210)</f>
        <v>0</v>
      </c>
      <c r="M11" s="1056">
        <f>M5*(Input!$E$199/Input!$E$210)</f>
        <v>0</v>
      </c>
      <c r="N11" s="1056">
        <f>N5*(Input!$E$199/Input!$E$210)</f>
        <v>0</v>
      </c>
      <c r="O11" s="1056">
        <f>O5*(Input!$E$199/Input!$E$210)</f>
        <v>0</v>
      </c>
      <c r="P11" s="1056">
        <f>P5*(Input!$E$199/Input!$E$210)</f>
        <v>0</v>
      </c>
      <c r="Q11" s="1056">
        <f>Q5*(Input!$E$199/Input!$E$210)</f>
        <v>0</v>
      </c>
      <c r="R11" s="1056">
        <f>R5*(Input!$F$199/Input!$F$210)</f>
        <v>0</v>
      </c>
      <c r="S11" s="1056">
        <f>S5*(Input!$F$199/Input!$F$210)</f>
        <v>0</v>
      </c>
      <c r="T11" s="1056">
        <f>T5*(Input!$F$199/Input!$F$210)</f>
        <v>0</v>
      </c>
      <c r="U11" s="1056">
        <f>U5*(Input!$F$199/Input!$F$210)</f>
        <v>0</v>
      </c>
      <c r="V11" s="1056">
        <f>V5*(Input!$F$199/Input!$F$210)</f>
        <v>0</v>
      </c>
      <c r="W11" s="1056">
        <f>W5*(Input!$F$199/Input!$F$210)</f>
        <v>0</v>
      </c>
      <c r="X11" s="1056">
        <f>X5*(Input!$F$199/Input!$F$210)</f>
        <v>0</v>
      </c>
      <c r="Y11" s="1056">
        <f>Y5*(Input!$F$199/Input!$F$210)</f>
        <v>0</v>
      </c>
      <c r="Z11" s="1056">
        <f>Z5*(Input!$F$199/Input!$F$210)</f>
        <v>0</v>
      </c>
      <c r="AA11" s="1056">
        <f>AA5*(Input!$F$199/Input!$F$210)</f>
        <v>0</v>
      </c>
      <c r="AB11" s="1056">
        <f>AB5*(Input!$F$199/Input!$F$210)</f>
        <v>0</v>
      </c>
      <c r="AC11" s="1056">
        <f>AC5*(Input!$F$199/Input!$F$210)</f>
        <v>0</v>
      </c>
      <c r="AD11" s="101"/>
      <c r="AE11" s="101"/>
      <c r="AF11" s="522"/>
      <c r="AI11" s="522"/>
    </row>
    <row r="12" spans="1:35" ht="4.9000000000000004" customHeight="1" x14ac:dyDescent="0.2">
      <c r="C12" s="754"/>
      <c r="D12" s="598"/>
      <c r="E12" s="607"/>
      <c r="F12" s="1056"/>
      <c r="G12" s="1056"/>
      <c r="H12" s="1056"/>
      <c r="I12" s="1056"/>
      <c r="J12" s="1056"/>
      <c r="K12" s="1056"/>
      <c r="L12" s="1056"/>
      <c r="M12" s="1056"/>
      <c r="N12" s="1056"/>
      <c r="O12" s="1056"/>
      <c r="P12" s="1056"/>
      <c r="Q12" s="1056"/>
      <c r="R12" s="1056"/>
      <c r="S12" s="1056"/>
      <c r="T12" s="1056"/>
      <c r="U12" s="1056"/>
      <c r="V12" s="1056"/>
      <c r="W12" s="1056"/>
      <c r="X12" s="1056"/>
      <c r="Y12" s="1056"/>
      <c r="Z12" s="1056"/>
      <c r="AA12" s="1056"/>
      <c r="AB12" s="1056"/>
      <c r="AC12" s="1054"/>
      <c r="AD12" s="101"/>
      <c r="AE12" s="101"/>
      <c r="AF12" s="522"/>
      <c r="AI12" s="522"/>
    </row>
    <row r="13" spans="1:35" x14ac:dyDescent="0.2">
      <c r="C13" s="283">
        <f>SUM(C7:C11)</f>
        <v>243</v>
      </c>
      <c r="D13" s="531" t="s">
        <v>782</v>
      </c>
      <c r="E13" s="894"/>
      <c r="F13" s="1057">
        <v>0</v>
      </c>
      <c r="G13" s="1057">
        <v>0</v>
      </c>
      <c r="H13" s="1057">
        <v>0</v>
      </c>
      <c r="I13" s="1057">
        <v>0</v>
      </c>
      <c r="J13" s="1057">
        <v>0</v>
      </c>
      <c r="K13" s="1057">
        <f>Input!$E$32/2</f>
        <v>1.1499999999999999</v>
      </c>
      <c r="L13" s="1057">
        <f t="shared" ref="L13:AB13" si="1">L18+L19</f>
        <v>0</v>
      </c>
      <c r="M13" s="1057">
        <f t="shared" si="1"/>
        <v>0</v>
      </c>
      <c r="N13" s="1057">
        <f t="shared" si="1"/>
        <v>0</v>
      </c>
      <c r="O13" s="1057">
        <f t="shared" si="1"/>
        <v>0</v>
      </c>
      <c r="P13" s="1057">
        <f t="shared" si="1"/>
        <v>0</v>
      </c>
      <c r="Q13" s="1057">
        <f>Input!$E$32/2</f>
        <v>1.1499999999999999</v>
      </c>
      <c r="R13" s="1057">
        <f t="shared" si="1"/>
        <v>0</v>
      </c>
      <c r="S13" s="1057">
        <f t="shared" si="1"/>
        <v>0</v>
      </c>
      <c r="T13" s="1057">
        <f t="shared" si="1"/>
        <v>0</v>
      </c>
      <c r="U13" s="1057">
        <f t="shared" si="1"/>
        <v>0</v>
      </c>
      <c r="V13" s="1057">
        <f t="shared" si="1"/>
        <v>0</v>
      </c>
      <c r="W13" s="1057">
        <f>Input!$F$32/2</f>
        <v>1.1499999999999999</v>
      </c>
      <c r="X13" s="1057">
        <f t="shared" si="1"/>
        <v>0</v>
      </c>
      <c r="Y13" s="1057">
        <f t="shared" si="1"/>
        <v>0</v>
      </c>
      <c r="Z13" s="1057">
        <f t="shared" si="1"/>
        <v>0</v>
      </c>
      <c r="AA13" s="1057">
        <f t="shared" si="1"/>
        <v>0</v>
      </c>
      <c r="AB13" s="1057">
        <f t="shared" si="1"/>
        <v>0</v>
      </c>
      <c r="AC13" s="1058">
        <f>Input!$F$32/2</f>
        <v>1.1499999999999999</v>
      </c>
      <c r="AD13" s="426">
        <f>SUM(F13:Q13)</f>
        <v>2.2999999999999998</v>
      </c>
      <c r="AE13" s="426">
        <f>SUM(R13:AC13)</f>
        <v>2.2999999999999998</v>
      </c>
      <c r="AF13" s="522" t="s">
        <v>782</v>
      </c>
      <c r="AI13" s="522"/>
    </row>
    <row r="14" spans="1:35" x14ac:dyDescent="0.2">
      <c r="C14" s="754"/>
      <c r="D14" s="531" t="s">
        <v>783</v>
      </c>
      <c r="E14" s="894"/>
      <c r="F14" s="254">
        <f>Input!$E$17</f>
        <v>10</v>
      </c>
      <c r="G14" s="254">
        <f>F14+G13-G18-G19</f>
        <v>10</v>
      </c>
      <c r="H14" s="254">
        <f t="shared" ref="H14:N14" si="2">G14+H13-H18-H19</f>
        <v>10</v>
      </c>
      <c r="I14" s="254">
        <f t="shared" si="2"/>
        <v>10</v>
      </c>
      <c r="J14" s="254">
        <f t="shared" si="2"/>
        <v>10</v>
      </c>
      <c r="K14" s="254">
        <f t="shared" si="2"/>
        <v>10</v>
      </c>
      <c r="L14" s="254">
        <f t="shared" si="2"/>
        <v>10</v>
      </c>
      <c r="M14" s="254">
        <f t="shared" si="2"/>
        <v>10</v>
      </c>
      <c r="N14" s="254">
        <f t="shared" si="2"/>
        <v>10</v>
      </c>
      <c r="O14" s="254">
        <f t="shared" ref="O14:AC14" si="3">N14+O13-O18-O19</f>
        <v>10</v>
      </c>
      <c r="P14" s="254">
        <f t="shared" si="3"/>
        <v>10</v>
      </c>
      <c r="Q14" s="254">
        <f t="shared" si="3"/>
        <v>10</v>
      </c>
      <c r="R14" s="254">
        <f t="shared" si="3"/>
        <v>10</v>
      </c>
      <c r="S14" s="254">
        <f t="shared" si="3"/>
        <v>10</v>
      </c>
      <c r="T14" s="254">
        <f t="shared" si="3"/>
        <v>10</v>
      </c>
      <c r="U14" s="254">
        <f t="shared" si="3"/>
        <v>10</v>
      </c>
      <c r="V14" s="254">
        <f t="shared" si="3"/>
        <v>10</v>
      </c>
      <c r="W14" s="254">
        <f t="shared" si="3"/>
        <v>10</v>
      </c>
      <c r="X14" s="254">
        <f t="shared" si="3"/>
        <v>10</v>
      </c>
      <c r="Y14" s="254">
        <f t="shared" si="3"/>
        <v>10</v>
      </c>
      <c r="Z14" s="254">
        <f t="shared" si="3"/>
        <v>10</v>
      </c>
      <c r="AA14" s="254">
        <f t="shared" si="3"/>
        <v>10</v>
      </c>
      <c r="AB14" s="254">
        <f t="shared" si="3"/>
        <v>10</v>
      </c>
      <c r="AC14" s="1054">
        <f t="shared" si="3"/>
        <v>10</v>
      </c>
      <c r="AD14" s="101"/>
      <c r="AE14" s="101"/>
      <c r="AF14" s="522" t="s">
        <v>783</v>
      </c>
      <c r="AI14" s="522"/>
    </row>
    <row r="15" spans="1:35" ht="4.9000000000000004" customHeight="1" x14ac:dyDescent="0.2">
      <c r="C15" s="503"/>
      <c r="D15" s="531"/>
      <c r="E15" s="894"/>
      <c r="F15" s="254"/>
      <c r="G15" s="254"/>
      <c r="H15" s="254"/>
      <c r="I15" s="254"/>
      <c r="J15" s="254"/>
      <c r="K15" s="254"/>
      <c r="L15" s="254"/>
      <c r="M15" s="254"/>
      <c r="N15" s="254"/>
      <c r="O15" s="254"/>
      <c r="P15" s="254"/>
      <c r="Q15" s="254"/>
      <c r="R15" s="254"/>
      <c r="S15" s="254"/>
      <c r="T15" s="254"/>
      <c r="U15" s="254"/>
      <c r="V15" s="254"/>
      <c r="W15" s="254"/>
      <c r="X15" s="254"/>
      <c r="Y15" s="254"/>
      <c r="Z15" s="254"/>
      <c r="AA15" s="254"/>
      <c r="AB15" s="254"/>
      <c r="AC15" s="1054"/>
      <c r="AD15" s="101"/>
      <c r="AE15" s="101"/>
      <c r="AF15" s="522"/>
      <c r="AI15" s="522"/>
    </row>
    <row r="16" spans="1:35" x14ac:dyDescent="0.2">
      <c r="C16" s="503"/>
      <c r="D16" s="531" t="s">
        <v>781</v>
      </c>
      <c r="E16" s="1053"/>
      <c r="F16" s="1059">
        <f>(Input!$E$20)/12</f>
        <v>1</v>
      </c>
      <c r="G16" s="1059">
        <f>(Input!$E$20)/12</f>
        <v>1</v>
      </c>
      <c r="H16" s="1059">
        <f>(Input!$E$20)/12</f>
        <v>1</v>
      </c>
      <c r="I16" s="1059">
        <f>(Input!$E$20)/12</f>
        <v>1</v>
      </c>
      <c r="J16" s="1059">
        <f>(Input!$E$20)/12</f>
        <v>1</v>
      </c>
      <c r="K16" s="1059">
        <f>(Input!$E$20)/12</f>
        <v>1</v>
      </c>
      <c r="L16" s="1059">
        <f>(Input!$E$20)/12</f>
        <v>1</v>
      </c>
      <c r="M16" s="1059">
        <f>(Input!$E$20)/12</f>
        <v>1</v>
      </c>
      <c r="N16" s="1059">
        <f>(Input!$E$20)/12</f>
        <v>1</v>
      </c>
      <c r="O16" s="1059">
        <f>(Input!$E$20)/12</f>
        <v>1</v>
      </c>
      <c r="P16" s="1059">
        <f>(Input!$E$20)/12</f>
        <v>1</v>
      </c>
      <c r="Q16" s="1059">
        <f>(Input!$E$20)/12</f>
        <v>1</v>
      </c>
      <c r="R16" s="1059">
        <f>(Input!$F$20)/12</f>
        <v>1</v>
      </c>
      <c r="S16" s="1059">
        <f>(Input!$F$20)/12</f>
        <v>1</v>
      </c>
      <c r="T16" s="1059">
        <f>(Input!$F$20)/12</f>
        <v>1</v>
      </c>
      <c r="U16" s="1059">
        <f>(Input!$F$20)/12</f>
        <v>1</v>
      </c>
      <c r="V16" s="1059">
        <f>(Input!$F$20)/12</f>
        <v>1</v>
      </c>
      <c r="W16" s="1059">
        <f>(Input!$F$20)/12</f>
        <v>1</v>
      </c>
      <c r="X16" s="1059">
        <f>(Input!$F$20)/12</f>
        <v>1</v>
      </c>
      <c r="Y16" s="1059">
        <f>(Input!$F$20)/12</f>
        <v>1</v>
      </c>
      <c r="Z16" s="1059">
        <f>(Input!$F$20)/12</f>
        <v>1</v>
      </c>
      <c r="AA16" s="1059">
        <f>(Input!$F$20)/12</f>
        <v>1</v>
      </c>
      <c r="AB16" s="1059">
        <f>(Input!$F$20)/12</f>
        <v>1</v>
      </c>
      <c r="AC16" s="1058">
        <f>(Input!$F$20)/12</f>
        <v>1</v>
      </c>
      <c r="AD16" s="426">
        <f>SUM(F16:Q16)</f>
        <v>12</v>
      </c>
      <c r="AE16" s="426">
        <f>SUM(R16:AC16)</f>
        <v>12</v>
      </c>
      <c r="AF16" s="522" t="s">
        <v>781</v>
      </c>
      <c r="AI16" s="522"/>
    </row>
    <row r="17" spans="4:35" x14ac:dyDescent="0.2">
      <c r="D17" s="893" t="s">
        <v>769</v>
      </c>
      <c r="E17" s="1053"/>
      <c r="F17" s="1059">
        <f>(Input!$E$22)/12</f>
        <v>5</v>
      </c>
      <c r="G17" s="1059">
        <f>(Input!$E$22)/12</f>
        <v>5</v>
      </c>
      <c r="H17" s="1059">
        <f>(Input!$E$22)/12</f>
        <v>5</v>
      </c>
      <c r="I17" s="1059">
        <f>(Input!$E$22)/12</f>
        <v>5</v>
      </c>
      <c r="J17" s="1059">
        <f>(Input!$E$22)/12</f>
        <v>5</v>
      </c>
      <c r="K17" s="1059">
        <f>(Input!$E$22)/12</f>
        <v>5</v>
      </c>
      <c r="L17" s="1059">
        <f>(Input!$E$22)/12</f>
        <v>5</v>
      </c>
      <c r="M17" s="1059">
        <f>(Input!$E$22)/12</f>
        <v>5</v>
      </c>
      <c r="N17" s="1059">
        <f>(Input!$E$22)/12</f>
        <v>5</v>
      </c>
      <c r="O17" s="1059">
        <f>(Input!$E$22)/12</f>
        <v>5</v>
      </c>
      <c r="P17" s="1059">
        <f>(Input!$E$22)/12</f>
        <v>5</v>
      </c>
      <c r="Q17" s="1059">
        <f>(Input!$E$22)/12</f>
        <v>5</v>
      </c>
      <c r="R17" s="1059">
        <f>(Input!$F$22)/12</f>
        <v>5</v>
      </c>
      <c r="S17" s="1059">
        <f>(Input!$F$22)/12</f>
        <v>5</v>
      </c>
      <c r="T17" s="1059">
        <f>(Input!$F$22)/12</f>
        <v>5</v>
      </c>
      <c r="U17" s="1059">
        <f>(Input!$F$22)/12</f>
        <v>5</v>
      </c>
      <c r="V17" s="1059">
        <f>(Input!$F$22)/12</f>
        <v>5</v>
      </c>
      <c r="W17" s="1059">
        <f>(Input!$F$22)/12</f>
        <v>5</v>
      </c>
      <c r="X17" s="1059">
        <f>(Input!$F$22)/12</f>
        <v>5</v>
      </c>
      <c r="Y17" s="1059">
        <f>(Input!$F$22)/12</f>
        <v>5</v>
      </c>
      <c r="Z17" s="1059">
        <f>(Input!$F$22)/12</f>
        <v>5</v>
      </c>
      <c r="AA17" s="1059">
        <f>(Input!$F$22)/12</f>
        <v>5</v>
      </c>
      <c r="AB17" s="1059">
        <f>(Input!$F$22)/12</f>
        <v>5</v>
      </c>
      <c r="AC17" s="1058">
        <f>(Input!$F$22)/12</f>
        <v>5</v>
      </c>
      <c r="AD17" s="426">
        <f>SUM(F17:Q17)</f>
        <v>60</v>
      </c>
      <c r="AE17" s="426">
        <f>SUM(R17:AC17)</f>
        <v>60</v>
      </c>
      <c r="AF17" s="213" t="s">
        <v>769</v>
      </c>
      <c r="AI17" s="213"/>
    </row>
    <row r="18" spans="4:35" x14ac:dyDescent="0.2">
      <c r="D18" s="531" t="s">
        <v>785</v>
      </c>
      <c r="E18" s="1053"/>
      <c r="F18" s="1060"/>
      <c r="G18" s="1061"/>
      <c r="H18" s="254"/>
      <c r="I18" s="254"/>
      <c r="J18" s="1060"/>
      <c r="K18" s="1059">
        <f>(Input!$E$29)/2</f>
        <v>0.15</v>
      </c>
      <c r="L18" s="254"/>
      <c r="M18" s="1060"/>
      <c r="N18" s="1060"/>
      <c r="O18" s="254"/>
      <c r="P18" s="1060"/>
      <c r="Q18" s="1059">
        <f>(Input!$E$29)/2</f>
        <v>0.15</v>
      </c>
      <c r="R18" s="254"/>
      <c r="S18" s="1060"/>
      <c r="T18" s="1060"/>
      <c r="U18" s="254"/>
      <c r="V18" s="1060"/>
      <c r="W18" s="1059">
        <f>(Input!$F$29)/2</f>
        <v>0.15</v>
      </c>
      <c r="X18" s="254"/>
      <c r="Y18" s="1060"/>
      <c r="Z18" s="1060"/>
      <c r="AA18" s="254"/>
      <c r="AB18" s="1060"/>
      <c r="AC18" s="1058">
        <f>(Input!$F$29)/2</f>
        <v>0.15</v>
      </c>
      <c r="AD18" s="755">
        <f>SUM(F18:Q18)</f>
        <v>0.3</v>
      </c>
      <c r="AE18" s="755">
        <f>SUM(R18:AC18)</f>
        <v>0.3</v>
      </c>
      <c r="AF18" s="522" t="s">
        <v>785</v>
      </c>
      <c r="AI18" s="522"/>
    </row>
    <row r="19" spans="4:35" ht="13.5" thickBot="1" x14ac:dyDescent="0.25">
      <c r="D19" s="1062" t="s">
        <v>770</v>
      </c>
      <c r="E19" s="1063"/>
      <c r="F19" s="1064"/>
      <c r="G19" s="1064"/>
      <c r="H19" s="1064"/>
      <c r="I19" s="1065"/>
      <c r="J19" s="1064"/>
      <c r="K19" s="1066">
        <f>(Input!$E$31)/2</f>
        <v>1</v>
      </c>
      <c r="L19" s="1065"/>
      <c r="M19" s="1064"/>
      <c r="N19" s="1064"/>
      <c r="O19" s="1065"/>
      <c r="P19" s="1064"/>
      <c r="Q19" s="1066">
        <f>(Input!$E$31)/2</f>
        <v>1</v>
      </c>
      <c r="R19" s="1065"/>
      <c r="S19" s="1064"/>
      <c r="T19" s="1064"/>
      <c r="U19" s="1065"/>
      <c r="V19" s="1064"/>
      <c r="W19" s="1066">
        <f>(Input!$F$31)/2</f>
        <v>1</v>
      </c>
      <c r="X19" s="1065"/>
      <c r="Y19" s="1064"/>
      <c r="Z19" s="1064"/>
      <c r="AA19" s="1065"/>
      <c r="AB19" s="1064"/>
      <c r="AC19" s="1067">
        <f>(Input!$F$31)/2</f>
        <v>1</v>
      </c>
      <c r="AD19" s="752">
        <f>SUM(F19:Q19)</f>
        <v>2</v>
      </c>
      <c r="AE19" s="752">
        <f>SUM(R19:AC19)</f>
        <v>2</v>
      </c>
      <c r="AF19" s="213" t="s">
        <v>770</v>
      </c>
      <c r="AI19" s="213"/>
    </row>
    <row r="20" spans="4:35" x14ac:dyDescent="0.2">
      <c r="D20" s="529"/>
      <c r="E20" s="63"/>
      <c r="F20" s="603"/>
      <c r="G20" s="603"/>
      <c r="H20" s="603"/>
      <c r="I20" s="603"/>
      <c r="J20" s="603"/>
      <c r="K20" s="603"/>
      <c r="L20" s="603"/>
      <c r="M20" s="603"/>
      <c r="N20" s="603"/>
      <c r="O20" s="603"/>
      <c r="P20" s="603"/>
      <c r="Q20" s="603"/>
      <c r="R20" s="603"/>
      <c r="S20" s="603"/>
      <c r="T20" s="603"/>
      <c r="U20" s="603"/>
      <c r="V20" s="603"/>
      <c r="W20" s="603"/>
      <c r="X20" s="603"/>
      <c r="Y20" s="603"/>
      <c r="Z20" s="603"/>
      <c r="AA20" s="603"/>
      <c r="AB20" s="603"/>
      <c r="AC20" s="604"/>
    </row>
    <row r="21" spans="4:35" ht="13.5" thickBot="1" x14ac:dyDescent="0.25">
      <c r="D21" s="605"/>
      <c r="E21" s="228"/>
      <c r="F21" s="756">
        <f t="shared" ref="F21:AC21" si="4">F2</f>
        <v>45658</v>
      </c>
      <c r="G21" s="756">
        <f t="shared" si="4"/>
        <v>45689</v>
      </c>
      <c r="H21" s="756">
        <f t="shared" si="4"/>
        <v>45717</v>
      </c>
      <c r="I21" s="756">
        <f t="shared" si="4"/>
        <v>45748</v>
      </c>
      <c r="J21" s="756">
        <f t="shared" si="4"/>
        <v>45778</v>
      </c>
      <c r="K21" s="756">
        <f t="shared" si="4"/>
        <v>45809</v>
      </c>
      <c r="L21" s="756">
        <f t="shared" si="4"/>
        <v>45839</v>
      </c>
      <c r="M21" s="756">
        <f t="shared" si="4"/>
        <v>45870</v>
      </c>
      <c r="N21" s="756">
        <f t="shared" si="4"/>
        <v>45901</v>
      </c>
      <c r="O21" s="756">
        <f t="shared" si="4"/>
        <v>45931</v>
      </c>
      <c r="P21" s="756">
        <f t="shared" si="4"/>
        <v>45962</v>
      </c>
      <c r="Q21" s="756">
        <f t="shared" si="4"/>
        <v>45992</v>
      </c>
      <c r="R21" s="756">
        <f t="shared" si="4"/>
        <v>46023</v>
      </c>
      <c r="S21" s="756">
        <f t="shared" si="4"/>
        <v>46054</v>
      </c>
      <c r="T21" s="756">
        <f t="shared" si="4"/>
        <v>46082</v>
      </c>
      <c r="U21" s="756">
        <f t="shared" si="4"/>
        <v>46113</v>
      </c>
      <c r="V21" s="756">
        <f t="shared" si="4"/>
        <v>46143</v>
      </c>
      <c r="W21" s="756">
        <f t="shared" si="4"/>
        <v>46174</v>
      </c>
      <c r="X21" s="756">
        <f t="shared" si="4"/>
        <v>46204</v>
      </c>
      <c r="Y21" s="756">
        <f t="shared" si="4"/>
        <v>46235</v>
      </c>
      <c r="Z21" s="756">
        <f t="shared" si="4"/>
        <v>46266</v>
      </c>
      <c r="AA21" s="756">
        <f t="shared" si="4"/>
        <v>46296</v>
      </c>
      <c r="AB21" s="756">
        <f t="shared" si="4"/>
        <v>46327</v>
      </c>
      <c r="AC21" s="756">
        <f t="shared" si="4"/>
        <v>46357</v>
      </c>
    </row>
    <row r="22" spans="4:35" ht="13.5" thickBot="1" x14ac:dyDescent="0.25">
      <c r="D22" s="215" t="s">
        <v>784</v>
      </c>
      <c r="E22" s="63"/>
      <c r="F22" s="60" t="s">
        <v>744</v>
      </c>
      <c r="G22" s="60" t="s">
        <v>745</v>
      </c>
      <c r="H22" s="60" t="s">
        <v>746</v>
      </c>
      <c r="I22" s="60" t="s">
        <v>747</v>
      </c>
      <c r="J22" s="60" t="s">
        <v>748</v>
      </c>
      <c r="K22" s="60" t="s">
        <v>749</v>
      </c>
      <c r="L22" s="60" t="s">
        <v>750</v>
      </c>
      <c r="M22" s="60" t="s">
        <v>751</v>
      </c>
      <c r="N22" s="60" t="s">
        <v>752</v>
      </c>
      <c r="O22" s="60" t="s">
        <v>753</v>
      </c>
      <c r="P22" s="60" t="s">
        <v>754</v>
      </c>
      <c r="Q22" s="60" t="s">
        <v>755</v>
      </c>
      <c r="R22" s="60" t="s">
        <v>756</v>
      </c>
      <c r="S22" s="60" t="s">
        <v>757</v>
      </c>
      <c r="T22" s="60" t="s">
        <v>758</v>
      </c>
      <c r="U22" s="60" t="s">
        <v>759</v>
      </c>
      <c r="V22" s="60" t="s">
        <v>760</v>
      </c>
      <c r="W22" s="60" t="s">
        <v>761</v>
      </c>
      <c r="X22" s="60" t="s">
        <v>762</v>
      </c>
      <c r="Y22" s="60" t="s">
        <v>763</v>
      </c>
      <c r="Z22" s="60" t="s">
        <v>764</v>
      </c>
      <c r="AA22" s="60" t="s">
        <v>765</v>
      </c>
      <c r="AB22" s="60" t="s">
        <v>766</v>
      </c>
      <c r="AC22" s="505" t="s">
        <v>767</v>
      </c>
      <c r="AD22" s="526" t="s">
        <v>790</v>
      </c>
      <c r="AE22" s="526" t="s">
        <v>791</v>
      </c>
    </row>
    <row r="23" spans="4:35" x14ac:dyDescent="0.2">
      <c r="D23" s="516" t="s">
        <v>778</v>
      </c>
      <c r="E23" s="488"/>
      <c r="F23" s="510">
        <f>Input!$E$36</f>
        <v>45</v>
      </c>
      <c r="G23" s="510">
        <f>Input!$E$36</f>
        <v>45</v>
      </c>
      <c r="H23" s="510">
        <f>Input!$E$36</f>
        <v>45</v>
      </c>
      <c r="I23" s="510">
        <f>Input!$E$36</f>
        <v>45</v>
      </c>
      <c r="J23" s="510">
        <f>Input!$E$36</f>
        <v>45</v>
      </c>
      <c r="K23" s="510">
        <f>Input!$E$36</f>
        <v>45</v>
      </c>
      <c r="L23" s="510">
        <f>Input!$E$36</f>
        <v>45</v>
      </c>
      <c r="M23" s="510">
        <f>Input!$E$36</f>
        <v>45</v>
      </c>
      <c r="N23" s="510">
        <f>Input!$E$36</f>
        <v>45</v>
      </c>
      <c r="O23" s="510">
        <f>Input!$E$36</f>
        <v>45</v>
      </c>
      <c r="P23" s="510">
        <f>Input!$E$36</f>
        <v>45</v>
      </c>
      <c r="Q23" s="519">
        <f>Input!$E$36</f>
        <v>45</v>
      </c>
      <c r="R23" s="519">
        <f>Input!$F$36</f>
        <v>45</v>
      </c>
      <c r="S23" s="519">
        <f>Input!$F$36</f>
        <v>45</v>
      </c>
      <c r="T23" s="519">
        <f>Input!$F$36</f>
        <v>45</v>
      </c>
      <c r="U23" s="519">
        <f>Input!$F$36</f>
        <v>45</v>
      </c>
      <c r="V23" s="519">
        <f>Input!$F$36</f>
        <v>45</v>
      </c>
      <c r="W23" s="519">
        <f>Input!$F$36</f>
        <v>45</v>
      </c>
      <c r="X23" s="519">
        <f>Input!$F$36</f>
        <v>45</v>
      </c>
      <c r="Y23" s="519">
        <f>Input!$F$36</f>
        <v>45</v>
      </c>
      <c r="Z23" s="519">
        <f>Input!$F$36</f>
        <v>45</v>
      </c>
      <c r="AA23" s="519">
        <f>Input!$F$36</f>
        <v>45</v>
      </c>
      <c r="AB23" s="519">
        <f>Input!$F$36</f>
        <v>45</v>
      </c>
      <c r="AC23" s="519">
        <f>Input!$F$36</f>
        <v>45</v>
      </c>
      <c r="AD23" s="379">
        <f>SUM(F23:Q23)</f>
        <v>540</v>
      </c>
      <c r="AE23" s="379">
        <f>SUM(R23:AC23)</f>
        <v>540</v>
      </c>
      <c r="AF23" s="503" t="s">
        <v>804</v>
      </c>
    </row>
    <row r="24" spans="4:35" ht="13.5" thickBot="1" x14ac:dyDescent="0.25">
      <c r="D24" s="517" t="s">
        <v>787</v>
      </c>
      <c r="E24" s="228"/>
      <c r="F24" s="520">
        <f>F23</f>
        <v>45</v>
      </c>
      <c r="G24" s="520">
        <f>G23</f>
        <v>45</v>
      </c>
      <c r="H24" s="520">
        <f>H23</f>
        <v>45</v>
      </c>
      <c r="I24" s="520">
        <f>I23</f>
        <v>45</v>
      </c>
      <c r="J24" s="520">
        <f>J23</f>
        <v>45</v>
      </c>
      <c r="K24" s="520">
        <f>F23</f>
        <v>45</v>
      </c>
      <c r="L24" s="520">
        <f t="shared" ref="L24:Q24" si="5">G23</f>
        <v>45</v>
      </c>
      <c r="M24" s="520">
        <f t="shared" si="5"/>
        <v>45</v>
      </c>
      <c r="N24" s="520">
        <f t="shared" si="5"/>
        <v>45</v>
      </c>
      <c r="O24" s="520">
        <f t="shared" si="5"/>
        <v>45</v>
      </c>
      <c r="P24" s="520">
        <f t="shared" si="5"/>
        <v>45</v>
      </c>
      <c r="Q24" s="521">
        <f t="shared" si="5"/>
        <v>45</v>
      </c>
      <c r="R24" s="521">
        <f t="shared" ref="R24:AC24" si="6">M23</f>
        <v>45</v>
      </c>
      <c r="S24" s="521">
        <f t="shared" si="6"/>
        <v>45</v>
      </c>
      <c r="T24" s="521">
        <f t="shared" si="6"/>
        <v>45</v>
      </c>
      <c r="U24" s="521">
        <f t="shared" si="6"/>
        <v>45</v>
      </c>
      <c r="V24" s="521">
        <f t="shared" si="6"/>
        <v>45</v>
      </c>
      <c r="W24" s="521">
        <f t="shared" si="6"/>
        <v>45</v>
      </c>
      <c r="X24" s="521">
        <f t="shared" si="6"/>
        <v>45</v>
      </c>
      <c r="Y24" s="521">
        <f t="shared" si="6"/>
        <v>45</v>
      </c>
      <c r="Z24" s="521">
        <f t="shared" si="6"/>
        <v>45</v>
      </c>
      <c r="AA24" s="521">
        <f t="shared" si="6"/>
        <v>45</v>
      </c>
      <c r="AB24" s="521">
        <f t="shared" si="6"/>
        <v>45</v>
      </c>
      <c r="AC24" s="521">
        <f t="shared" si="6"/>
        <v>45</v>
      </c>
      <c r="AD24" s="379">
        <f>SUM(F24:Q24)</f>
        <v>540</v>
      </c>
      <c r="AE24" s="379">
        <f>SUM(R24:AC24)</f>
        <v>540</v>
      </c>
      <c r="AF24" s="503" t="s">
        <v>787</v>
      </c>
    </row>
    <row r="25" spans="4:35" x14ac:dyDescent="0.2">
      <c r="D25" s="514"/>
      <c r="E25" s="28"/>
      <c r="F25" s="518"/>
      <c r="G25" s="518"/>
      <c r="H25" s="518"/>
      <c r="I25" s="518"/>
      <c r="J25" s="518"/>
      <c r="K25" s="518"/>
      <c r="L25" s="515"/>
      <c r="M25" s="515"/>
      <c r="N25" s="515"/>
      <c r="O25" s="515"/>
      <c r="P25" s="515"/>
      <c r="Q25" s="515"/>
      <c r="R25" s="515"/>
      <c r="S25" s="515"/>
      <c r="T25" s="515"/>
      <c r="U25" s="515"/>
      <c r="V25" s="515"/>
      <c r="W25" s="515"/>
      <c r="X25" s="515"/>
      <c r="Y25" s="515"/>
      <c r="Z25" s="515"/>
      <c r="AA25" s="515"/>
      <c r="AB25" s="515"/>
      <c r="AC25" s="525"/>
    </row>
    <row r="26" spans="4:35" x14ac:dyDescent="0.2">
      <c r="D26" s="512" t="s">
        <v>788</v>
      </c>
      <c r="E26" s="513"/>
      <c r="F26" s="533">
        <f>ROUND(F24*Input!$E$37,0)</f>
        <v>90</v>
      </c>
      <c r="G26" s="533">
        <f>ROUND(G24*Input!$E$37,0)</f>
        <v>90</v>
      </c>
      <c r="H26" s="533">
        <f>ROUND(H24*Input!$E$37,0)</f>
        <v>90</v>
      </c>
      <c r="I26" s="533">
        <f>ROUND(I24*Input!$E$37,0)</f>
        <v>90</v>
      </c>
      <c r="J26" s="533">
        <f>ROUND(J24*Input!$E$37,0)</f>
        <v>90</v>
      </c>
      <c r="K26" s="533">
        <f>ROUND(K24*Input!$E$37,0)</f>
        <v>90</v>
      </c>
      <c r="L26" s="533">
        <f>ROUND(L24*Input!$E$37,0)</f>
        <v>90</v>
      </c>
      <c r="M26" s="533">
        <f>ROUND(M24*Input!$E$37,0)</f>
        <v>90</v>
      </c>
      <c r="N26" s="533">
        <f>ROUND(N24*Input!$E$37,0)</f>
        <v>90</v>
      </c>
      <c r="O26" s="533">
        <f>ROUND(O24*Input!$E$37,0)</f>
        <v>90</v>
      </c>
      <c r="P26" s="533">
        <f>ROUND(P24*Input!$E$37,0)</f>
        <v>90</v>
      </c>
      <c r="Q26" s="533">
        <f>ROUND(Q24*Input!$E$37,0)</f>
        <v>90</v>
      </c>
      <c r="R26" s="533">
        <f>ROUND(R24*Input!$F$37,0)</f>
        <v>90</v>
      </c>
      <c r="S26" s="533">
        <f>ROUND(S24*Input!$F$37,0)</f>
        <v>90</v>
      </c>
      <c r="T26" s="533">
        <f>ROUND(T24*Input!$F$37,0)</f>
        <v>90</v>
      </c>
      <c r="U26" s="533">
        <f>ROUND(U24*Input!$F$37,0)</f>
        <v>90</v>
      </c>
      <c r="V26" s="533">
        <f>ROUND(V24*Input!$F$37,0)</f>
        <v>90</v>
      </c>
      <c r="W26" s="533">
        <f>ROUND(W24*Input!$F$37,0)</f>
        <v>90</v>
      </c>
      <c r="X26" s="533">
        <f>ROUND(X24*Input!$F$37,0)</f>
        <v>90</v>
      </c>
      <c r="Y26" s="533">
        <f>ROUND(Y24*Input!$F$37,0)</f>
        <v>90</v>
      </c>
      <c r="Z26" s="533">
        <f>ROUND(Z24*Input!$F$37,0)</f>
        <v>90</v>
      </c>
      <c r="AA26" s="533">
        <f>ROUND(AA24*Input!$F$37,0)</f>
        <v>90</v>
      </c>
      <c r="AB26" s="533">
        <f>ROUND(AB24*Input!$F$37,0)</f>
        <v>90</v>
      </c>
      <c r="AC26" s="533">
        <f>ROUND(AC24*Input!$F$37,0)</f>
        <v>90</v>
      </c>
      <c r="AD26" s="379">
        <f>SUM(F26:Q26)</f>
        <v>1080</v>
      </c>
      <c r="AE26" s="379">
        <f>SUM(R26:AC26)</f>
        <v>1080</v>
      </c>
      <c r="AF26" s="512" t="s">
        <v>788</v>
      </c>
    </row>
    <row r="27" spans="4:35" ht="13.5" thickBot="1" x14ac:dyDescent="0.25">
      <c r="D27" s="517" t="s">
        <v>789</v>
      </c>
      <c r="E27" s="124"/>
      <c r="F27" s="534">
        <f>(1-Input!$E$40)*F26</f>
        <v>81</v>
      </c>
      <c r="G27" s="534">
        <f>(1-Input!$E$40)*G26</f>
        <v>81</v>
      </c>
      <c r="H27" s="534">
        <f>(1-Input!$E$40)*F26</f>
        <v>81</v>
      </c>
      <c r="I27" s="534">
        <f>(1-Input!$E$40)*G26</f>
        <v>81</v>
      </c>
      <c r="J27" s="534">
        <f>(1-Input!$E$40)*H26</f>
        <v>81</v>
      </c>
      <c r="K27" s="534">
        <f>(1-Input!$E$40)*I26</f>
        <v>81</v>
      </c>
      <c r="L27" s="534">
        <f>(1-Input!$E$40)*J26</f>
        <v>81</v>
      </c>
      <c r="M27" s="534">
        <f>(1-Input!$E$40)*K26</f>
        <v>81</v>
      </c>
      <c r="N27" s="534">
        <f>(1-Input!$E$40)*L26</f>
        <v>81</v>
      </c>
      <c r="O27" s="534">
        <f>(1-Input!$E$40)*M26</f>
        <v>81</v>
      </c>
      <c r="P27" s="534">
        <f>(1-Input!$E$40)*N26</f>
        <v>81</v>
      </c>
      <c r="Q27" s="534">
        <f>(1-Input!$E$40)*O26</f>
        <v>81</v>
      </c>
      <c r="R27" s="534">
        <f>(1-Input!$F$40)*P26</f>
        <v>81</v>
      </c>
      <c r="S27" s="534">
        <f>(1-Input!$F$40)*Q26</f>
        <v>81</v>
      </c>
      <c r="T27" s="534">
        <f>(1-Input!$F$40)*R26</f>
        <v>81</v>
      </c>
      <c r="U27" s="534">
        <f>(1-Input!$F$40)*S26</f>
        <v>81</v>
      </c>
      <c r="V27" s="534">
        <f>(1-Input!$F$40)*T26</f>
        <v>81</v>
      </c>
      <c r="W27" s="534">
        <f>(1-Input!$F$40)*U26</f>
        <v>81</v>
      </c>
      <c r="X27" s="534">
        <f>(1-Input!$F$40)*V26</f>
        <v>81</v>
      </c>
      <c r="Y27" s="534">
        <f>(1-Input!$F$40)*W26</f>
        <v>81</v>
      </c>
      <c r="Z27" s="534">
        <f>(1-Input!$F$40)*X26</f>
        <v>81</v>
      </c>
      <c r="AA27" s="534">
        <f>(1-Input!$F$40)*Y26</f>
        <v>81</v>
      </c>
      <c r="AB27" s="534">
        <f>(1-Input!$F$40)*Z26</f>
        <v>81</v>
      </c>
      <c r="AC27" s="601">
        <f>(1-Input!$F$40)*AA26</f>
        <v>81</v>
      </c>
      <c r="AD27" s="379">
        <f>SUM(F27:Q27)</f>
        <v>972</v>
      </c>
      <c r="AE27" s="379">
        <f>SUM(R27:AC27)</f>
        <v>972</v>
      </c>
      <c r="AF27" s="517" t="s">
        <v>789</v>
      </c>
    </row>
    <row r="28" spans="4:35" x14ac:dyDescent="0.2">
      <c r="D28" s="502" t="s">
        <v>768</v>
      </c>
      <c r="E28" s="488"/>
      <c r="F28" s="749">
        <f>IF(Input!$E$52&gt;0,Input!$E$52/12,0)</f>
        <v>0</v>
      </c>
      <c r="G28" s="750">
        <f>IF(Input!$E$52&gt;0,Input!$E$52/12,0)</f>
        <v>0</v>
      </c>
      <c r="H28" s="750">
        <f>IF(Input!$E$52&gt;0,Input!$E$52/12,0)</f>
        <v>0</v>
      </c>
      <c r="I28" s="750">
        <f>IF(Input!$E$52&gt;0,Input!$E$52/12,0)</f>
        <v>0</v>
      </c>
      <c r="J28" s="750">
        <f>IF(Input!$E$52&gt;0,Input!$E$52/12,0)</f>
        <v>0</v>
      </c>
      <c r="K28" s="750">
        <f>IF(Input!$E$52&gt;0,Input!$E$52/12,0)</f>
        <v>0</v>
      </c>
      <c r="L28" s="750">
        <f>IF(Input!$E$52&gt;0,Input!$E$52/12,0)</f>
        <v>0</v>
      </c>
      <c r="M28" s="750">
        <f>IF(Input!$E$52&gt;0,Input!$E$52/12,0)</f>
        <v>0</v>
      </c>
      <c r="N28" s="750">
        <f>IF(Input!$E$52&gt;0,Input!$E$52/12,0)</f>
        <v>0</v>
      </c>
      <c r="O28" s="750">
        <f>IF(Input!$E$52&gt;0,Input!$E$52/12,0)</f>
        <v>0</v>
      </c>
      <c r="P28" s="750">
        <f>IF(Input!$E$52&gt;0,Input!$E$52/12,0)</f>
        <v>0</v>
      </c>
      <c r="Q28" s="750">
        <f>IF(Input!$E$52&gt;0,Input!$E$52/12,0)</f>
        <v>0</v>
      </c>
      <c r="R28" s="750">
        <f>IF(Input!$F$52&gt;0,Input!$F$52/12,0)</f>
        <v>0</v>
      </c>
      <c r="S28" s="750">
        <f>IF(Input!$F$52&gt;0,Input!$F$52/12,0)</f>
        <v>0</v>
      </c>
      <c r="T28" s="750">
        <f>IF(Input!$F$52&gt;0,Input!$F$52/12,0)</f>
        <v>0</v>
      </c>
      <c r="U28" s="750">
        <f>IF(Input!$F$52&gt;0,Input!$F$52/12,0)</f>
        <v>0</v>
      </c>
      <c r="V28" s="750">
        <f>IF(Input!$F$52&gt;0,Input!$F$52/12,0)</f>
        <v>0</v>
      </c>
      <c r="W28" s="750">
        <f>IF(Input!$F$52&gt;0,Input!$F$52/12,0)</f>
        <v>0</v>
      </c>
      <c r="X28" s="750">
        <f>IF(Input!$F$52&gt;0,Input!$F$52/12,0)</f>
        <v>0</v>
      </c>
      <c r="Y28" s="750">
        <f>IF(Input!$F$52&gt;0,Input!$F$52/12,0)</f>
        <v>0</v>
      </c>
      <c r="Z28" s="750">
        <f>IF(Input!$F$52&gt;0,Input!$F$52/12,0)</f>
        <v>0</v>
      </c>
      <c r="AA28" s="750">
        <f>IF(Input!$F$52&gt;0,Input!$F$52/12,0)</f>
        <v>0</v>
      </c>
      <c r="AB28" s="750">
        <f>IF(Input!$F$52&gt;0,Input!$F$52/12,0)</f>
        <v>0</v>
      </c>
      <c r="AC28" s="751">
        <f>IF(Input!$F$52&gt;0,Input!$F$52/12,0)</f>
        <v>0</v>
      </c>
      <c r="AD28" s="757">
        <f>SUM(F28:Q28)</f>
        <v>0</v>
      </c>
      <c r="AE28" s="757">
        <f>SUM(R28:AC28)</f>
        <v>0</v>
      </c>
      <c r="AF28" s="503" t="s">
        <v>803</v>
      </c>
    </row>
    <row r="29" spans="4:35" x14ac:dyDescent="0.2">
      <c r="D29" s="512" t="s">
        <v>801</v>
      </c>
      <c r="E29" s="530"/>
      <c r="F29" s="533">
        <f>IF(Input!$E$57&gt;0,Input!$E$57/12,0)</f>
        <v>70.916666666666671</v>
      </c>
      <c r="G29" s="533">
        <f>IF(Input!$E$57&gt;0,Input!$E$57/12,0)</f>
        <v>70.916666666666671</v>
      </c>
      <c r="H29" s="533">
        <f>IF(Input!$E$57&gt;0,Input!$E$57/12,0)</f>
        <v>70.916666666666671</v>
      </c>
      <c r="I29" s="533">
        <f>IF(Input!$E$57&gt;0,Input!$E$57/12,0)</f>
        <v>70.916666666666671</v>
      </c>
      <c r="J29" s="533">
        <f>IF(Input!$E$57&gt;0,Input!$E$57/12,0)</f>
        <v>70.916666666666671</v>
      </c>
      <c r="K29" s="533">
        <f>IF(Input!$E$57&gt;0,Input!$E$57/12,0)</f>
        <v>70.916666666666671</v>
      </c>
      <c r="L29" s="533">
        <f>IF(Input!$E$57&gt;0,Input!$E$57/12,0)</f>
        <v>70.916666666666671</v>
      </c>
      <c r="M29" s="533">
        <f>IF(Input!$E$57&gt;0,Input!$E$57/12,0)</f>
        <v>70.916666666666671</v>
      </c>
      <c r="N29" s="533">
        <f>IF(Input!$E$57&gt;0,Input!$E$57/12,0)</f>
        <v>70.916666666666671</v>
      </c>
      <c r="O29" s="533">
        <f>IF(Input!$E$57&gt;0,Input!$E$57/12,0)</f>
        <v>70.916666666666671</v>
      </c>
      <c r="P29" s="533">
        <f>IF(Input!$E$57&gt;0,Input!$E$57/12,0)</f>
        <v>70.916666666666671</v>
      </c>
      <c r="Q29" s="533">
        <f>IF(Input!$E$57&gt;0,Input!$E$57/12,0)</f>
        <v>70.916666666666671</v>
      </c>
      <c r="R29" s="533">
        <f>IF(Input!$F$57&gt;0,Input!$F$57/12,0)</f>
        <v>70.916666666666671</v>
      </c>
      <c r="S29" s="533">
        <f>IF(Input!$F$57&gt;0,Input!$F$57/12,0)</f>
        <v>70.916666666666671</v>
      </c>
      <c r="T29" s="533">
        <f>IF(Input!$F$57&gt;0,Input!$F$57/12,0)</f>
        <v>70.916666666666671</v>
      </c>
      <c r="U29" s="533">
        <f>IF(Input!$F$57&gt;0,Input!$F$57/12,0)</f>
        <v>70.916666666666671</v>
      </c>
      <c r="V29" s="533">
        <f>IF(Input!$F$57&gt;0,Input!$F$57/12,0)</f>
        <v>70.916666666666671</v>
      </c>
      <c r="W29" s="533">
        <f>IF(Input!$F$57&gt;0,Input!$F$57/12,0)</f>
        <v>70.916666666666671</v>
      </c>
      <c r="X29" s="533">
        <f>IF(Input!$F$57&gt;0,Input!$F$57/12,0)</f>
        <v>70.916666666666671</v>
      </c>
      <c r="Y29" s="533">
        <f>IF(Input!$F$57&gt;0,Input!$F$57/12,0)</f>
        <v>70.916666666666671</v>
      </c>
      <c r="Z29" s="533">
        <f>IF(Input!$F$57&gt;0,Input!$F$57/12,0)</f>
        <v>70.916666666666671</v>
      </c>
      <c r="AA29" s="533">
        <f>IF(Input!$F$57&gt;0,Input!$F$57/12,0)</f>
        <v>70.916666666666671</v>
      </c>
      <c r="AB29" s="533">
        <f>IF(Input!$F$57&gt;0,Input!$F$57/12,0)</f>
        <v>70.916666666666671</v>
      </c>
      <c r="AC29" s="602">
        <f>IF(Input!$F$57&gt;0,Input!$F$57/12,0)</f>
        <v>70.916666666666671</v>
      </c>
      <c r="AD29" s="757">
        <f>SUM(F29:Q29)</f>
        <v>850.99999999999989</v>
      </c>
      <c r="AE29" s="757">
        <f>SUM(R29:AC29)</f>
        <v>850.99999999999989</v>
      </c>
      <c r="AF29" s="503" t="s">
        <v>802</v>
      </c>
    </row>
    <row r="30" spans="4:35" ht="13.5" thickBot="1" x14ac:dyDescent="0.25">
      <c r="D30" s="531" t="s">
        <v>800</v>
      </c>
      <c r="E30" s="532"/>
      <c r="F30" s="533">
        <f>Input!$E$24/12</f>
        <v>6</v>
      </c>
      <c r="G30" s="533">
        <f>Input!$E$24/12</f>
        <v>6</v>
      </c>
      <c r="H30" s="533">
        <f>Input!$E$24/12</f>
        <v>6</v>
      </c>
      <c r="I30" s="533">
        <f>Input!$E$24/12</f>
        <v>6</v>
      </c>
      <c r="J30" s="533">
        <f>Input!$E$24/12</f>
        <v>6</v>
      </c>
      <c r="K30" s="533">
        <f>Input!$E$24/12</f>
        <v>6</v>
      </c>
      <c r="L30" s="533">
        <f>Input!$E$24/12</f>
        <v>6</v>
      </c>
      <c r="M30" s="533">
        <f>Input!$E$24/12</f>
        <v>6</v>
      </c>
      <c r="N30" s="533">
        <f>Input!$E$24/12</f>
        <v>6</v>
      </c>
      <c r="O30" s="533">
        <f>Input!$E$24/12</f>
        <v>6</v>
      </c>
      <c r="P30" s="533">
        <f>Input!$E$24/12</f>
        <v>6</v>
      </c>
      <c r="Q30" s="533">
        <f>Input!$E$24/12</f>
        <v>6</v>
      </c>
      <c r="R30" s="533">
        <f>Input!$F$24/12</f>
        <v>6</v>
      </c>
      <c r="S30" s="533">
        <f>Input!$F$24/12</f>
        <v>6</v>
      </c>
      <c r="T30" s="533">
        <f>Input!$F$24/12</f>
        <v>6</v>
      </c>
      <c r="U30" s="533">
        <f>Input!$F$24/12</f>
        <v>6</v>
      </c>
      <c r="V30" s="533">
        <f>Input!$F$24/12</f>
        <v>6</v>
      </c>
      <c r="W30" s="533">
        <f>Input!$F$24/12</f>
        <v>6</v>
      </c>
      <c r="X30" s="533">
        <f>Input!$F$24/12</f>
        <v>6</v>
      </c>
      <c r="Y30" s="533">
        <f>Input!$F$24/12</f>
        <v>6</v>
      </c>
      <c r="Z30" s="533">
        <f>Input!$F$24/12</f>
        <v>6</v>
      </c>
      <c r="AA30" s="533">
        <f>Input!$F$24/12</f>
        <v>6</v>
      </c>
      <c r="AB30" s="533">
        <f>Input!$F$24/12</f>
        <v>6</v>
      </c>
      <c r="AC30" s="601">
        <f>Input!$F$24/12</f>
        <v>6</v>
      </c>
      <c r="AD30" s="379">
        <f>SUM(F30:Q30)</f>
        <v>72</v>
      </c>
      <c r="AE30" s="379">
        <f>SUM(R30:AC30)</f>
        <v>72</v>
      </c>
      <c r="AF30" s="503" t="s">
        <v>796</v>
      </c>
    </row>
    <row r="31" spans="4:35" x14ac:dyDescent="0.2">
      <c r="D31" s="529"/>
      <c r="E31" s="687" t="s">
        <v>894</v>
      </c>
      <c r="F31" s="688">
        <f>IF(F26&gt;(F24*Input!$E$317),F26-(F24*Input!$E$317),0)</f>
        <v>0</v>
      </c>
      <c r="G31" s="688">
        <f>IF(G26&gt;(G24*Input!$E$317),G26-(G24*Input!$E$317),0)</f>
        <v>0</v>
      </c>
      <c r="H31" s="688">
        <f>IF(H26&gt;(H24*Input!$E$317),H26-(H24*Input!$E$317),0)</f>
        <v>0</v>
      </c>
      <c r="I31" s="688">
        <f>IF(I26&gt;(I24*Input!$E$317),I26-(I24*Input!$E$317),0)</f>
        <v>0</v>
      </c>
      <c r="J31" s="688">
        <f>IF(J26&gt;(J24*Input!$E$317),J26-(J24*Input!$E$317),0)</f>
        <v>0</v>
      </c>
      <c r="K31" s="688">
        <f>IF(K26&gt;(K24*Input!$E$317),K26-(K24*Input!$E$317),0)</f>
        <v>0</v>
      </c>
      <c r="L31" s="688">
        <f>IF(L26&gt;(L24*Input!$E$317),L26-(L24*Input!$E$317),0)</f>
        <v>0</v>
      </c>
      <c r="M31" s="688">
        <f>IF(M26&gt;(M24*Input!$E$317),M26-(M24*Input!$E$317),0)</f>
        <v>0</v>
      </c>
      <c r="N31" s="688">
        <f>IF(N26&gt;(N24*Input!$E$317),N26-(N24*Input!$E$317),0)</f>
        <v>0</v>
      </c>
      <c r="O31" s="688">
        <f>IF(O26&gt;(O24*Input!$E$317),O26-(O24*Input!$E$317),0)</f>
        <v>0</v>
      </c>
      <c r="P31" s="688">
        <f>IF(P26&gt;(P24*Input!$E$317),P26-(P24*Input!$E$317),0)</f>
        <v>0</v>
      </c>
      <c r="Q31" s="688">
        <f>IF(Q26&gt;(Q24*Input!$E$317),Q26-(Q24*Input!$E$317),0)</f>
        <v>0</v>
      </c>
      <c r="R31" s="688">
        <f>IF(R26&gt;(R24*Input!$F$317),R26-(R24*Input!$F$317),0)</f>
        <v>0</v>
      </c>
      <c r="S31" s="688">
        <f>IF(S26&gt;(S24*Input!$F$317),S26-(S24*Input!$F$317),0)</f>
        <v>0</v>
      </c>
      <c r="T31" s="688">
        <f>IF(T26&gt;(T24*Input!$F$317),T26-(T24*Input!$F$317),0)</f>
        <v>0</v>
      </c>
      <c r="U31" s="688">
        <f>IF(U26&gt;(U24*Input!$F$317),U26-(U24*Input!$F$317),0)</f>
        <v>0</v>
      </c>
      <c r="V31" s="688">
        <f>IF(V26&gt;(V24*Input!$F$317),V26-(V24*Input!$F$317),0)</f>
        <v>0</v>
      </c>
      <c r="W31" s="688">
        <f>IF(W26&gt;(W24*Input!$F$317),W26-(W24*Input!$F$317),0)</f>
        <v>0</v>
      </c>
      <c r="X31" s="688">
        <f>IF(X26&gt;(X24*Input!$F$317),X26-(X24*Input!$F$317),0)</f>
        <v>0</v>
      </c>
      <c r="Y31" s="688">
        <f>IF(Y26&gt;(Y24*Input!$F$317),Y26-(Y24*Input!$F$317),0)</f>
        <v>0</v>
      </c>
      <c r="Z31" s="688">
        <f>IF(Z26&gt;(Z24*Input!$F$317),Z26-(Z24*Input!$F$317),0)</f>
        <v>0</v>
      </c>
      <c r="AA31" s="688">
        <f>IF(AA26&gt;(AA24*Input!$F$317),AA26-(AA24*Input!$F$317),0)</f>
        <v>0</v>
      </c>
      <c r="AB31" s="688">
        <f>IF(AB26&gt;(AB24*Input!$F$317),AB26-(AB24*Input!$F$317),0)</f>
        <v>0</v>
      </c>
      <c r="AC31" s="688">
        <f>IF(AC26&gt;(AC24*Input!$F$317),AC26-(AC24*Input!$F$317),0)</f>
        <v>0</v>
      </c>
      <c r="AD31" s="114">
        <f>(L26-M27)+(M26-N27)+(N26-O27)+(O26-P27)+(P26-Q27)</f>
        <v>45</v>
      </c>
      <c r="AE31" s="114">
        <f>(Q26-R27)+(R26-S27)+(S26-T27)+(T26-U27)+(U26-V27)+(V26-W27)+(W26-X27)+(X26-Y27)+(Y26-Z27)+(Z26-AA27)+(AA26-AB27)+(AB26-AC27)</f>
        <v>108</v>
      </c>
      <c r="AF31" s="503" t="s">
        <v>795</v>
      </c>
    </row>
    <row r="32" spans="4:35" x14ac:dyDescent="0.2">
      <c r="D32" s="213"/>
      <c r="E32" s="28"/>
      <c r="F32" s="523"/>
      <c r="G32" s="523"/>
      <c r="H32" s="523"/>
      <c r="I32" s="523"/>
      <c r="J32" s="523"/>
      <c r="K32" s="523"/>
      <c r="L32" s="523"/>
      <c r="M32" s="523"/>
      <c r="N32" s="523"/>
      <c r="O32" s="523"/>
      <c r="P32" s="523"/>
      <c r="Q32" s="523"/>
      <c r="R32" s="523"/>
      <c r="S32" s="523"/>
      <c r="T32" s="523"/>
      <c r="U32" s="523"/>
      <c r="V32" s="523"/>
      <c r="W32" s="523"/>
      <c r="X32" s="523"/>
      <c r="Y32" s="523"/>
      <c r="Z32" s="523"/>
      <c r="AA32" s="523"/>
      <c r="AB32" s="523"/>
      <c r="AC32" s="523"/>
    </row>
    <row r="33" spans="3:29" x14ac:dyDescent="0.2">
      <c r="D33" s="28"/>
      <c r="F33" s="758">
        <f t="shared" ref="F33:AC33" si="7">F2</f>
        <v>45658</v>
      </c>
      <c r="G33" s="758">
        <f t="shared" si="7"/>
        <v>45689</v>
      </c>
      <c r="H33" s="758">
        <f t="shared" si="7"/>
        <v>45717</v>
      </c>
      <c r="I33" s="758">
        <f t="shared" si="7"/>
        <v>45748</v>
      </c>
      <c r="J33" s="758">
        <f t="shared" si="7"/>
        <v>45778</v>
      </c>
      <c r="K33" s="758">
        <f t="shared" si="7"/>
        <v>45809</v>
      </c>
      <c r="L33" s="758">
        <f t="shared" si="7"/>
        <v>45839</v>
      </c>
      <c r="M33" s="758">
        <f t="shared" si="7"/>
        <v>45870</v>
      </c>
      <c r="N33" s="758">
        <f t="shared" si="7"/>
        <v>45901</v>
      </c>
      <c r="O33" s="758">
        <f t="shared" si="7"/>
        <v>45931</v>
      </c>
      <c r="P33" s="758">
        <f t="shared" si="7"/>
        <v>45962</v>
      </c>
      <c r="Q33" s="758">
        <f t="shared" si="7"/>
        <v>45992</v>
      </c>
      <c r="R33" s="758">
        <f t="shared" si="7"/>
        <v>46023</v>
      </c>
      <c r="S33" s="758">
        <f t="shared" si="7"/>
        <v>46054</v>
      </c>
      <c r="T33" s="758">
        <f t="shared" si="7"/>
        <v>46082</v>
      </c>
      <c r="U33" s="758">
        <f t="shared" si="7"/>
        <v>46113</v>
      </c>
      <c r="V33" s="758">
        <f t="shared" si="7"/>
        <v>46143</v>
      </c>
      <c r="W33" s="758">
        <f t="shared" si="7"/>
        <v>46174</v>
      </c>
      <c r="X33" s="758">
        <f t="shared" si="7"/>
        <v>46204</v>
      </c>
      <c r="Y33" s="758">
        <f t="shared" si="7"/>
        <v>46235</v>
      </c>
      <c r="Z33" s="758">
        <f t="shared" si="7"/>
        <v>46266</v>
      </c>
      <c r="AA33" s="758">
        <f t="shared" si="7"/>
        <v>46296</v>
      </c>
      <c r="AB33" s="758">
        <f t="shared" si="7"/>
        <v>46327</v>
      </c>
      <c r="AC33" s="758">
        <f t="shared" si="7"/>
        <v>46357</v>
      </c>
    </row>
    <row r="34" spans="3:29" ht="13.5" thickBot="1" x14ac:dyDescent="0.25">
      <c r="C34" s="56" t="s">
        <v>860</v>
      </c>
      <c r="D34" s="28"/>
      <c r="F34" s="36">
        <v>31</v>
      </c>
      <c r="G34" s="36">
        <v>28</v>
      </c>
      <c r="H34" s="36">
        <v>31</v>
      </c>
      <c r="I34" s="36">
        <v>30</v>
      </c>
      <c r="J34" s="36">
        <v>31</v>
      </c>
      <c r="K34" s="36">
        <v>30</v>
      </c>
      <c r="L34" s="36">
        <v>31</v>
      </c>
      <c r="M34" s="36">
        <v>31</v>
      </c>
      <c r="N34" s="36">
        <v>30</v>
      </c>
      <c r="O34" s="36">
        <v>31</v>
      </c>
      <c r="P34" s="36">
        <v>30</v>
      </c>
      <c r="Q34" s="36">
        <v>31</v>
      </c>
      <c r="R34" s="36">
        <f t="shared" ref="R34:AC34" si="8">R70</f>
        <v>31</v>
      </c>
      <c r="S34" s="36">
        <f t="shared" si="8"/>
        <v>28</v>
      </c>
      <c r="T34" s="36">
        <f t="shared" si="8"/>
        <v>31</v>
      </c>
      <c r="U34" s="36">
        <f t="shared" si="8"/>
        <v>30</v>
      </c>
      <c r="V34" s="36">
        <f t="shared" si="8"/>
        <v>31</v>
      </c>
      <c r="W34" s="36">
        <f t="shared" si="8"/>
        <v>30</v>
      </c>
      <c r="X34" s="36">
        <f t="shared" si="8"/>
        <v>31</v>
      </c>
      <c r="Y34" s="36">
        <f t="shared" si="8"/>
        <v>31</v>
      </c>
      <c r="Z34" s="36">
        <f t="shared" si="8"/>
        <v>30</v>
      </c>
      <c r="AA34" s="36">
        <f t="shared" si="8"/>
        <v>31</v>
      </c>
      <c r="AB34" s="36">
        <f t="shared" si="8"/>
        <v>30</v>
      </c>
      <c r="AC34" s="36">
        <f t="shared" si="8"/>
        <v>31</v>
      </c>
    </row>
    <row r="35" spans="3:29" x14ac:dyDescent="0.2">
      <c r="C35" s="616" t="str">
        <f>Input!$C$123</f>
        <v>Ewes - Breeding/Early Gestation (#1)</v>
      </c>
      <c r="D35" s="344"/>
      <c r="E35" s="759" t="s">
        <v>859</v>
      </c>
      <c r="F35" s="760">
        <f>Input!$E$122</f>
        <v>110</v>
      </c>
      <c r="G35" s="761">
        <f>Input!$E$122</f>
        <v>110</v>
      </c>
      <c r="H35" s="761">
        <f>Input!$E$122</f>
        <v>110</v>
      </c>
      <c r="I35" s="761">
        <f>Input!$E$122</f>
        <v>110</v>
      </c>
      <c r="J35" s="761">
        <f>Input!$E$122</f>
        <v>110</v>
      </c>
      <c r="K35" s="761">
        <f>Input!$E$122</f>
        <v>110</v>
      </c>
      <c r="L35" s="761">
        <f>Input!$E$122</f>
        <v>110</v>
      </c>
      <c r="M35" s="761">
        <f>Input!$E$122</f>
        <v>110</v>
      </c>
      <c r="N35" s="761">
        <f>Input!$E$122</f>
        <v>110</v>
      </c>
      <c r="O35" s="761">
        <f>Input!$E$122</f>
        <v>110</v>
      </c>
      <c r="P35" s="761">
        <f>Input!$E$122</f>
        <v>110</v>
      </c>
      <c r="Q35" s="762">
        <f>Input!$E$122</f>
        <v>110</v>
      </c>
      <c r="R35" s="763">
        <f>Input!$F$122</f>
        <v>110</v>
      </c>
      <c r="S35" s="761">
        <f>Input!$F$122</f>
        <v>110</v>
      </c>
      <c r="T35" s="761">
        <f>Input!$F$122</f>
        <v>110</v>
      </c>
      <c r="U35" s="761">
        <f>Input!$F$122</f>
        <v>110</v>
      </c>
      <c r="V35" s="761">
        <f>Input!$F$122</f>
        <v>110</v>
      </c>
      <c r="W35" s="761">
        <f>Input!$F$122</f>
        <v>110</v>
      </c>
      <c r="X35" s="761">
        <f>Input!$F$122</f>
        <v>110</v>
      </c>
      <c r="Y35" s="761">
        <f>Input!$F$122</f>
        <v>110</v>
      </c>
      <c r="Z35" s="761">
        <f>Input!$F$122</f>
        <v>110</v>
      </c>
      <c r="AA35" s="761">
        <f>Input!$F$122</f>
        <v>110</v>
      </c>
      <c r="AB35" s="761">
        <f>Input!$F$122</f>
        <v>110</v>
      </c>
      <c r="AC35" s="764">
        <f>Input!$F$122</f>
        <v>110</v>
      </c>
    </row>
    <row r="36" spans="3:29" ht="13.5" thickBot="1" x14ac:dyDescent="0.25">
      <c r="C36" s="765"/>
      <c r="D36" s="766"/>
      <c r="E36" s="767" t="s">
        <v>853</v>
      </c>
      <c r="F36" s="768">
        <f t="shared" ref="F36:AC36" si="9">F7</f>
        <v>181.06995884773661</v>
      </c>
      <c r="G36" s="769">
        <f t="shared" si="9"/>
        <v>181.06995884773661</v>
      </c>
      <c r="H36" s="769">
        <f t="shared" si="9"/>
        <v>181.06995884773661</v>
      </c>
      <c r="I36" s="769">
        <f t="shared" si="9"/>
        <v>181.06995884773661</v>
      </c>
      <c r="J36" s="769">
        <f t="shared" si="9"/>
        <v>181.06995884773661</v>
      </c>
      <c r="K36" s="769">
        <f t="shared" si="9"/>
        <v>181.06995884773661</v>
      </c>
      <c r="L36" s="769">
        <f t="shared" si="9"/>
        <v>181.06995884773661</v>
      </c>
      <c r="M36" s="769">
        <f t="shared" si="9"/>
        <v>181.06995884773661</v>
      </c>
      <c r="N36" s="769">
        <f t="shared" si="9"/>
        <v>181.06995884773661</v>
      </c>
      <c r="O36" s="769">
        <f t="shared" si="9"/>
        <v>181.06995884773661</v>
      </c>
      <c r="P36" s="769">
        <f t="shared" si="9"/>
        <v>181.06995884773661</v>
      </c>
      <c r="Q36" s="770">
        <f t="shared" si="9"/>
        <v>181.06995884773661</v>
      </c>
      <c r="R36" s="771">
        <f t="shared" si="9"/>
        <v>181.06995884773661</v>
      </c>
      <c r="S36" s="769">
        <f t="shared" si="9"/>
        <v>181.06995884773661</v>
      </c>
      <c r="T36" s="769">
        <f t="shared" si="9"/>
        <v>181.06995884773661</v>
      </c>
      <c r="U36" s="769">
        <f t="shared" si="9"/>
        <v>181.06995884773661</v>
      </c>
      <c r="V36" s="769">
        <f t="shared" si="9"/>
        <v>181.06995884773661</v>
      </c>
      <c r="W36" s="769">
        <f t="shared" si="9"/>
        <v>181.06995884773661</v>
      </c>
      <c r="X36" s="769">
        <f t="shared" si="9"/>
        <v>181.06995884773661</v>
      </c>
      <c r="Y36" s="769">
        <f t="shared" si="9"/>
        <v>181.06995884773661</v>
      </c>
      <c r="Z36" s="769">
        <f t="shared" si="9"/>
        <v>181.06995884773661</v>
      </c>
      <c r="AA36" s="769">
        <f t="shared" si="9"/>
        <v>181.06995884773661</v>
      </c>
      <c r="AB36" s="769">
        <f t="shared" si="9"/>
        <v>181.06995884773661</v>
      </c>
      <c r="AC36" s="772">
        <f t="shared" si="9"/>
        <v>181.06995884773661</v>
      </c>
    </row>
    <row r="37" spans="3:29" x14ac:dyDescent="0.2">
      <c r="C37" s="616" t="str">
        <f>Input!$C$141</f>
        <v>Ewes - Late Gestation Ration (#2)</v>
      </c>
      <c r="D37" s="344"/>
      <c r="E37" s="759" t="s">
        <v>859</v>
      </c>
      <c r="F37" s="760">
        <f>Input!$E$140</f>
        <v>42</v>
      </c>
      <c r="G37" s="761">
        <f>Input!$E$140</f>
        <v>42</v>
      </c>
      <c r="H37" s="761">
        <f>Input!$E$140</f>
        <v>42</v>
      </c>
      <c r="I37" s="761">
        <f>Input!$E$140</f>
        <v>42</v>
      </c>
      <c r="J37" s="761">
        <f>Input!$E$140</f>
        <v>42</v>
      </c>
      <c r="K37" s="761">
        <f>Input!$E$140</f>
        <v>42</v>
      </c>
      <c r="L37" s="761">
        <f>Input!$E$140</f>
        <v>42</v>
      </c>
      <c r="M37" s="761">
        <f>Input!$E$140</f>
        <v>42</v>
      </c>
      <c r="N37" s="761">
        <f>Input!$E$140</f>
        <v>42</v>
      </c>
      <c r="O37" s="761">
        <f>Input!$E$140</f>
        <v>42</v>
      </c>
      <c r="P37" s="761">
        <f>Input!$E$140</f>
        <v>42</v>
      </c>
      <c r="Q37" s="762">
        <f>Input!$E$140</f>
        <v>42</v>
      </c>
      <c r="R37" s="763">
        <f>Input!$F$140</f>
        <v>42</v>
      </c>
      <c r="S37" s="761">
        <f>Input!$F$140</f>
        <v>42</v>
      </c>
      <c r="T37" s="761">
        <f>Input!$F$140</f>
        <v>42</v>
      </c>
      <c r="U37" s="761">
        <f>Input!$F$140</f>
        <v>42</v>
      </c>
      <c r="V37" s="761">
        <f>Input!$F$140</f>
        <v>42</v>
      </c>
      <c r="W37" s="761">
        <f>Input!$F$140</f>
        <v>42</v>
      </c>
      <c r="X37" s="761">
        <f>Input!$F$140</f>
        <v>42</v>
      </c>
      <c r="Y37" s="761">
        <f>Input!$F$140</f>
        <v>42</v>
      </c>
      <c r="Z37" s="761">
        <f>Input!$F$140</f>
        <v>42</v>
      </c>
      <c r="AA37" s="761">
        <f>Input!$F$140</f>
        <v>42</v>
      </c>
      <c r="AB37" s="761">
        <f>Input!$F$140</f>
        <v>42</v>
      </c>
      <c r="AC37" s="764">
        <f>Input!$F$140</f>
        <v>42</v>
      </c>
    </row>
    <row r="38" spans="3:29" ht="13.5" thickBot="1" x14ac:dyDescent="0.25">
      <c r="C38" s="765"/>
      <c r="D38" s="766"/>
      <c r="E38" s="767" t="s">
        <v>853</v>
      </c>
      <c r="F38" s="768">
        <f t="shared" ref="F38:AC38" si="10">F8</f>
        <v>69.135802469135797</v>
      </c>
      <c r="G38" s="769">
        <f t="shared" si="10"/>
        <v>69.135802469135797</v>
      </c>
      <c r="H38" s="769">
        <f t="shared" si="10"/>
        <v>69.135802469135797</v>
      </c>
      <c r="I38" s="769">
        <f t="shared" si="10"/>
        <v>69.135802469135797</v>
      </c>
      <c r="J38" s="769">
        <f t="shared" si="10"/>
        <v>69.135802469135797</v>
      </c>
      <c r="K38" s="769">
        <f t="shared" si="10"/>
        <v>69.135802469135797</v>
      </c>
      <c r="L38" s="769">
        <f t="shared" si="10"/>
        <v>69.135802469135797</v>
      </c>
      <c r="M38" s="769">
        <f t="shared" si="10"/>
        <v>69.135802469135797</v>
      </c>
      <c r="N38" s="769">
        <f t="shared" si="10"/>
        <v>69.135802469135797</v>
      </c>
      <c r="O38" s="769">
        <f t="shared" si="10"/>
        <v>69.135802469135797</v>
      </c>
      <c r="P38" s="769">
        <f t="shared" si="10"/>
        <v>69.135802469135797</v>
      </c>
      <c r="Q38" s="770">
        <f t="shared" si="10"/>
        <v>69.135802469135797</v>
      </c>
      <c r="R38" s="771">
        <f t="shared" si="10"/>
        <v>69.135802469135797</v>
      </c>
      <c r="S38" s="769">
        <f t="shared" si="10"/>
        <v>69.135802469135797</v>
      </c>
      <c r="T38" s="769">
        <f t="shared" si="10"/>
        <v>69.135802469135797</v>
      </c>
      <c r="U38" s="769">
        <f t="shared" si="10"/>
        <v>69.135802469135797</v>
      </c>
      <c r="V38" s="769">
        <f t="shared" si="10"/>
        <v>69.135802469135797</v>
      </c>
      <c r="W38" s="769">
        <f t="shared" si="10"/>
        <v>69.135802469135797</v>
      </c>
      <c r="X38" s="769">
        <f t="shared" si="10"/>
        <v>69.135802469135797</v>
      </c>
      <c r="Y38" s="769">
        <f t="shared" si="10"/>
        <v>69.135802469135797</v>
      </c>
      <c r="Z38" s="769">
        <f t="shared" si="10"/>
        <v>69.135802469135797</v>
      </c>
      <c r="AA38" s="769">
        <f t="shared" si="10"/>
        <v>69.135802469135797</v>
      </c>
      <c r="AB38" s="769">
        <f t="shared" si="10"/>
        <v>69.135802469135797</v>
      </c>
      <c r="AC38" s="772">
        <f t="shared" si="10"/>
        <v>69.135802469135797</v>
      </c>
    </row>
    <row r="39" spans="3:29" x14ac:dyDescent="0.2">
      <c r="C39" s="616" t="str">
        <f>Input!$C$159</f>
        <v>Ewes - Lacation Ration (#3)</v>
      </c>
      <c r="D39" s="344"/>
      <c r="E39" s="759" t="s">
        <v>859</v>
      </c>
      <c r="F39" s="760">
        <f>Input!$E$158</f>
        <v>70</v>
      </c>
      <c r="G39" s="761">
        <f>Input!$E$158</f>
        <v>70</v>
      </c>
      <c r="H39" s="761">
        <f>Input!$E$158</f>
        <v>70</v>
      </c>
      <c r="I39" s="761">
        <f>Input!$E$158</f>
        <v>70</v>
      </c>
      <c r="J39" s="761">
        <f>Input!$E$158</f>
        <v>70</v>
      </c>
      <c r="K39" s="761">
        <f>Input!$E$158</f>
        <v>70</v>
      </c>
      <c r="L39" s="761">
        <f>Input!$E$158</f>
        <v>70</v>
      </c>
      <c r="M39" s="761">
        <f>Input!$E$158</f>
        <v>70</v>
      </c>
      <c r="N39" s="761">
        <f>Input!$E$158</f>
        <v>70</v>
      </c>
      <c r="O39" s="761">
        <f>Input!$E$158</f>
        <v>70</v>
      </c>
      <c r="P39" s="761">
        <f>Input!$E$158</f>
        <v>70</v>
      </c>
      <c r="Q39" s="762">
        <f>Input!$E$158</f>
        <v>70</v>
      </c>
      <c r="R39" s="763">
        <f>Input!$F$158</f>
        <v>70</v>
      </c>
      <c r="S39" s="761">
        <f>Input!$F$158</f>
        <v>70</v>
      </c>
      <c r="T39" s="761">
        <f>Input!$F$158</f>
        <v>70</v>
      </c>
      <c r="U39" s="761">
        <f>Input!$F$158</f>
        <v>70</v>
      </c>
      <c r="V39" s="761">
        <f>Input!$F$158</f>
        <v>70</v>
      </c>
      <c r="W39" s="761">
        <f>Input!$F$158</f>
        <v>70</v>
      </c>
      <c r="X39" s="761">
        <f>Input!$F$158</f>
        <v>70</v>
      </c>
      <c r="Y39" s="761">
        <f>Input!$F$158</f>
        <v>70</v>
      </c>
      <c r="Z39" s="761">
        <f>Input!$F$158</f>
        <v>70</v>
      </c>
      <c r="AA39" s="761">
        <f>Input!$F$158</f>
        <v>70</v>
      </c>
      <c r="AB39" s="761">
        <f>Input!$F$158</f>
        <v>70</v>
      </c>
      <c r="AC39" s="764">
        <f>Input!$F$158</f>
        <v>70</v>
      </c>
    </row>
    <row r="40" spans="3:29" ht="13.5" thickBot="1" x14ac:dyDescent="0.25">
      <c r="C40" s="765"/>
      <c r="D40" s="766"/>
      <c r="E40" s="767" t="s">
        <v>853</v>
      </c>
      <c r="F40" s="773">
        <f t="shared" ref="F40:AC40" si="11">F9</f>
        <v>115.22633744855968</v>
      </c>
      <c r="G40" s="774">
        <f t="shared" si="11"/>
        <v>115.22633744855968</v>
      </c>
      <c r="H40" s="774">
        <f t="shared" si="11"/>
        <v>115.22633744855968</v>
      </c>
      <c r="I40" s="774">
        <f t="shared" si="11"/>
        <v>115.22633744855968</v>
      </c>
      <c r="J40" s="774">
        <f t="shared" si="11"/>
        <v>115.22633744855968</v>
      </c>
      <c r="K40" s="774">
        <f t="shared" si="11"/>
        <v>115.22633744855968</v>
      </c>
      <c r="L40" s="774">
        <f t="shared" si="11"/>
        <v>115.22633744855968</v>
      </c>
      <c r="M40" s="774">
        <f t="shared" si="11"/>
        <v>115.22633744855968</v>
      </c>
      <c r="N40" s="774">
        <f t="shared" si="11"/>
        <v>115.22633744855968</v>
      </c>
      <c r="O40" s="774">
        <f t="shared" si="11"/>
        <v>115.22633744855968</v>
      </c>
      <c r="P40" s="774">
        <f t="shared" si="11"/>
        <v>115.22633744855968</v>
      </c>
      <c r="Q40" s="775">
        <f t="shared" si="11"/>
        <v>115.22633744855968</v>
      </c>
      <c r="R40" s="776">
        <f t="shared" si="11"/>
        <v>115.22633744855968</v>
      </c>
      <c r="S40" s="774">
        <f t="shared" si="11"/>
        <v>115.22633744855968</v>
      </c>
      <c r="T40" s="774">
        <f t="shared" si="11"/>
        <v>115.22633744855968</v>
      </c>
      <c r="U40" s="774">
        <f t="shared" si="11"/>
        <v>115.22633744855968</v>
      </c>
      <c r="V40" s="774">
        <f t="shared" si="11"/>
        <v>115.22633744855968</v>
      </c>
      <c r="W40" s="774">
        <f t="shared" si="11"/>
        <v>115.22633744855968</v>
      </c>
      <c r="X40" s="774">
        <f t="shared" si="11"/>
        <v>115.22633744855968</v>
      </c>
      <c r="Y40" s="774">
        <f t="shared" si="11"/>
        <v>115.22633744855968</v>
      </c>
      <c r="Z40" s="774">
        <f t="shared" si="11"/>
        <v>115.22633744855968</v>
      </c>
      <c r="AA40" s="774">
        <f t="shared" si="11"/>
        <v>115.22633744855968</v>
      </c>
      <c r="AB40" s="774">
        <f t="shared" si="11"/>
        <v>115.22633744855968</v>
      </c>
      <c r="AC40" s="777">
        <f t="shared" si="11"/>
        <v>115.22633744855968</v>
      </c>
    </row>
    <row r="41" spans="3:29" x14ac:dyDescent="0.2">
      <c r="C41" s="616" t="str">
        <f>Input!$C$177</f>
        <v>Ewes - Pre-breed/Flush Ration (#4)</v>
      </c>
      <c r="D41" s="344"/>
      <c r="E41" s="759" t="s">
        <v>859</v>
      </c>
      <c r="F41" s="760">
        <f>Input!$E$176</f>
        <v>21</v>
      </c>
      <c r="G41" s="761">
        <f>Input!$E$176</f>
        <v>21</v>
      </c>
      <c r="H41" s="761">
        <f>Input!$E$176</f>
        <v>21</v>
      </c>
      <c r="I41" s="761">
        <f>Input!$E$176</f>
        <v>21</v>
      </c>
      <c r="J41" s="761">
        <f>Input!$E$176</f>
        <v>21</v>
      </c>
      <c r="K41" s="761">
        <f>Input!$E$176</f>
        <v>21</v>
      </c>
      <c r="L41" s="761">
        <f>Input!$E$176</f>
        <v>21</v>
      </c>
      <c r="M41" s="761">
        <f>Input!$E$176</f>
        <v>21</v>
      </c>
      <c r="N41" s="761">
        <f>Input!$E$176</f>
        <v>21</v>
      </c>
      <c r="O41" s="761">
        <f>Input!$E$176</f>
        <v>21</v>
      </c>
      <c r="P41" s="761">
        <f>Input!$E$176</f>
        <v>21</v>
      </c>
      <c r="Q41" s="762">
        <f>Input!$E$176</f>
        <v>21</v>
      </c>
      <c r="R41" s="763">
        <f>Input!$F$176</f>
        <v>21</v>
      </c>
      <c r="S41" s="761">
        <f>Input!$F$176</f>
        <v>21</v>
      </c>
      <c r="T41" s="761">
        <f>Input!$F$176</f>
        <v>21</v>
      </c>
      <c r="U41" s="761">
        <f>Input!$F$176</f>
        <v>21</v>
      </c>
      <c r="V41" s="761">
        <f>Input!$F$176</f>
        <v>21</v>
      </c>
      <c r="W41" s="761">
        <f>Input!$F$176</f>
        <v>21</v>
      </c>
      <c r="X41" s="761">
        <f>Input!$F$176</f>
        <v>21</v>
      </c>
      <c r="Y41" s="761">
        <f>Input!$F$176</f>
        <v>21</v>
      </c>
      <c r="Z41" s="761">
        <f>Input!$F$176</f>
        <v>21</v>
      </c>
      <c r="AA41" s="761">
        <f>Input!$F$176</f>
        <v>21</v>
      </c>
      <c r="AB41" s="761">
        <f>Input!$F$176</f>
        <v>21</v>
      </c>
      <c r="AC41" s="764">
        <f>Input!$F$176</f>
        <v>21</v>
      </c>
    </row>
    <row r="42" spans="3:29" ht="13.5" thickBot="1" x14ac:dyDescent="0.25">
      <c r="C42" s="765"/>
      <c r="D42" s="766"/>
      <c r="E42" s="767" t="s">
        <v>853</v>
      </c>
      <c r="F42" s="773">
        <f t="shared" ref="F42:AC42" si="12">F10</f>
        <v>34.567901234567898</v>
      </c>
      <c r="G42" s="774">
        <f t="shared" si="12"/>
        <v>34.567901234567898</v>
      </c>
      <c r="H42" s="774">
        <f t="shared" si="12"/>
        <v>34.567901234567898</v>
      </c>
      <c r="I42" s="774">
        <f t="shared" si="12"/>
        <v>34.567901234567898</v>
      </c>
      <c r="J42" s="774">
        <f t="shared" si="12"/>
        <v>34.567901234567898</v>
      </c>
      <c r="K42" s="774">
        <f t="shared" si="12"/>
        <v>34.567901234567898</v>
      </c>
      <c r="L42" s="774">
        <f t="shared" si="12"/>
        <v>34.567901234567898</v>
      </c>
      <c r="M42" s="774">
        <f t="shared" si="12"/>
        <v>34.567901234567898</v>
      </c>
      <c r="N42" s="774">
        <f t="shared" si="12"/>
        <v>34.567901234567898</v>
      </c>
      <c r="O42" s="774">
        <f t="shared" si="12"/>
        <v>34.567901234567898</v>
      </c>
      <c r="P42" s="774">
        <f t="shared" si="12"/>
        <v>34.567901234567898</v>
      </c>
      <c r="Q42" s="775">
        <f t="shared" si="12"/>
        <v>34.567901234567898</v>
      </c>
      <c r="R42" s="776">
        <f t="shared" si="12"/>
        <v>34.567901234567898</v>
      </c>
      <c r="S42" s="774">
        <f t="shared" si="12"/>
        <v>34.567901234567898</v>
      </c>
      <c r="T42" s="774">
        <f t="shared" si="12"/>
        <v>34.567901234567898</v>
      </c>
      <c r="U42" s="774">
        <f t="shared" si="12"/>
        <v>34.567901234567898</v>
      </c>
      <c r="V42" s="774">
        <f t="shared" si="12"/>
        <v>34.567901234567898</v>
      </c>
      <c r="W42" s="774">
        <f t="shared" si="12"/>
        <v>34.567901234567898</v>
      </c>
      <c r="X42" s="774">
        <f t="shared" si="12"/>
        <v>34.567901234567898</v>
      </c>
      <c r="Y42" s="774">
        <f t="shared" si="12"/>
        <v>34.567901234567898</v>
      </c>
      <c r="Z42" s="774">
        <f t="shared" si="12"/>
        <v>34.567901234567898</v>
      </c>
      <c r="AA42" s="774">
        <f t="shared" si="12"/>
        <v>34.567901234567898</v>
      </c>
      <c r="AB42" s="774">
        <f t="shared" si="12"/>
        <v>34.567901234567898</v>
      </c>
      <c r="AC42" s="777">
        <f t="shared" si="12"/>
        <v>34.567901234567898</v>
      </c>
    </row>
    <row r="43" spans="3:29" x14ac:dyDescent="0.2">
      <c r="C43" s="616" t="str">
        <f>Input!$C$198</f>
        <v>Ewe Pasture Grazing Costs</v>
      </c>
      <c r="D43" s="344"/>
      <c r="E43" s="759" t="s">
        <v>859</v>
      </c>
      <c r="F43" s="778">
        <f>Input!$E$199</f>
        <v>0</v>
      </c>
      <c r="G43" s="779">
        <f>Input!$E$199</f>
        <v>0</v>
      </c>
      <c r="H43" s="779">
        <f>Input!$E$199</f>
        <v>0</v>
      </c>
      <c r="I43" s="779">
        <f>Input!$E$199</f>
        <v>0</v>
      </c>
      <c r="J43" s="779">
        <f>Input!$E$199</f>
        <v>0</v>
      </c>
      <c r="K43" s="779">
        <f>Input!$E$199</f>
        <v>0</v>
      </c>
      <c r="L43" s="779">
        <f>Input!$E$199</f>
        <v>0</v>
      </c>
      <c r="M43" s="779">
        <f>Input!$E$199</f>
        <v>0</v>
      </c>
      <c r="N43" s="779">
        <f>Input!$E$199</f>
        <v>0</v>
      </c>
      <c r="O43" s="779">
        <f>Input!$E$199</f>
        <v>0</v>
      </c>
      <c r="P43" s="779">
        <f>Input!$E$199</f>
        <v>0</v>
      </c>
      <c r="Q43" s="780">
        <f>Input!$E$199</f>
        <v>0</v>
      </c>
      <c r="R43" s="781">
        <f>Input!$F$199</f>
        <v>0</v>
      </c>
      <c r="S43" s="779">
        <f>Input!$F$199</f>
        <v>0</v>
      </c>
      <c r="T43" s="779">
        <f>Input!$F$199</f>
        <v>0</v>
      </c>
      <c r="U43" s="779">
        <f>Input!$F$199</f>
        <v>0</v>
      </c>
      <c r="V43" s="779">
        <f>Input!$F$199</f>
        <v>0</v>
      </c>
      <c r="W43" s="779">
        <f>Input!$F$199</f>
        <v>0</v>
      </c>
      <c r="X43" s="779">
        <f>Input!$F$199</f>
        <v>0</v>
      </c>
      <c r="Y43" s="779">
        <f>Input!$F$199</f>
        <v>0</v>
      </c>
      <c r="Z43" s="779">
        <f>Input!$F$199</f>
        <v>0</v>
      </c>
      <c r="AA43" s="779">
        <f>Input!$F$199</f>
        <v>0</v>
      </c>
      <c r="AB43" s="779">
        <f>Input!$F$199</f>
        <v>0</v>
      </c>
      <c r="AC43" s="782">
        <f>Input!$F$199</f>
        <v>0</v>
      </c>
    </row>
    <row r="44" spans="3:29" ht="13.5" thickBot="1" x14ac:dyDescent="0.25">
      <c r="C44" s="765"/>
      <c r="D44" s="766"/>
      <c r="E44" s="767" t="s">
        <v>853</v>
      </c>
      <c r="F44" s="773">
        <f>F11</f>
        <v>0</v>
      </c>
      <c r="G44" s="774">
        <f t="shared" ref="G44:AC44" si="13">G11</f>
        <v>0</v>
      </c>
      <c r="H44" s="774">
        <f t="shared" si="13"/>
        <v>0</v>
      </c>
      <c r="I44" s="774">
        <f t="shared" si="13"/>
        <v>0</v>
      </c>
      <c r="J44" s="774">
        <f t="shared" si="13"/>
        <v>0</v>
      </c>
      <c r="K44" s="774">
        <f t="shared" si="13"/>
        <v>0</v>
      </c>
      <c r="L44" s="774">
        <f t="shared" si="13"/>
        <v>0</v>
      </c>
      <c r="M44" s="774">
        <f t="shared" si="13"/>
        <v>0</v>
      </c>
      <c r="N44" s="774">
        <f t="shared" si="13"/>
        <v>0</v>
      </c>
      <c r="O44" s="774">
        <f t="shared" si="13"/>
        <v>0</v>
      </c>
      <c r="P44" s="774">
        <f t="shared" si="13"/>
        <v>0</v>
      </c>
      <c r="Q44" s="775">
        <f t="shared" si="13"/>
        <v>0</v>
      </c>
      <c r="R44" s="776">
        <f t="shared" si="13"/>
        <v>0</v>
      </c>
      <c r="S44" s="774">
        <f t="shared" si="13"/>
        <v>0</v>
      </c>
      <c r="T44" s="774">
        <f t="shared" si="13"/>
        <v>0</v>
      </c>
      <c r="U44" s="774">
        <f t="shared" si="13"/>
        <v>0</v>
      </c>
      <c r="V44" s="774">
        <f t="shared" si="13"/>
        <v>0</v>
      </c>
      <c r="W44" s="774">
        <f t="shared" si="13"/>
        <v>0</v>
      </c>
      <c r="X44" s="774">
        <f t="shared" si="13"/>
        <v>0</v>
      </c>
      <c r="Y44" s="774">
        <f t="shared" si="13"/>
        <v>0</v>
      </c>
      <c r="Z44" s="774">
        <f t="shared" si="13"/>
        <v>0</v>
      </c>
      <c r="AA44" s="774">
        <f t="shared" si="13"/>
        <v>0</v>
      </c>
      <c r="AB44" s="774">
        <f t="shared" si="13"/>
        <v>0</v>
      </c>
      <c r="AC44" s="777">
        <f t="shared" si="13"/>
        <v>0</v>
      </c>
    </row>
    <row r="45" spans="3:29" x14ac:dyDescent="0.2">
      <c r="C45" s="783"/>
      <c r="D45" s="683"/>
      <c r="E45" s="821" t="s">
        <v>863</v>
      </c>
      <c r="F45" s="818">
        <f>F35+F37+F39+F41+F43</f>
        <v>243</v>
      </c>
      <c r="G45" s="819">
        <f t="shared" ref="G45:M45" si="14">G35+G37+G39+G41+G43</f>
        <v>243</v>
      </c>
      <c r="H45" s="819">
        <f t="shared" si="14"/>
        <v>243</v>
      </c>
      <c r="I45" s="819">
        <f t="shared" si="14"/>
        <v>243</v>
      </c>
      <c r="J45" s="819">
        <f t="shared" si="14"/>
        <v>243</v>
      </c>
      <c r="K45" s="819">
        <f t="shared" si="14"/>
        <v>243</v>
      </c>
      <c r="L45" s="819">
        <f t="shared" si="14"/>
        <v>243</v>
      </c>
      <c r="M45" s="819">
        <f t="shared" si="14"/>
        <v>243</v>
      </c>
      <c r="N45" s="819">
        <f t="shared" ref="N45:T46" si="15">N35+N37+N39+N41+N43</f>
        <v>243</v>
      </c>
      <c r="O45" s="819">
        <f t="shared" si="15"/>
        <v>243</v>
      </c>
      <c r="P45" s="819">
        <f t="shared" si="15"/>
        <v>243</v>
      </c>
      <c r="Q45" s="820">
        <f t="shared" si="15"/>
        <v>243</v>
      </c>
      <c r="R45" s="784">
        <f t="shared" si="15"/>
        <v>243</v>
      </c>
      <c r="S45" s="785">
        <f t="shared" si="15"/>
        <v>243</v>
      </c>
      <c r="T45" s="785">
        <f t="shared" si="15"/>
        <v>243</v>
      </c>
      <c r="U45" s="785">
        <f t="shared" ref="U45:AA45" si="16">U35+U37+U39+U41+U43</f>
        <v>243</v>
      </c>
      <c r="V45" s="785">
        <f t="shared" si="16"/>
        <v>243</v>
      </c>
      <c r="W45" s="785">
        <f t="shared" si="16"/>
        <v>243</v>
      </c>
      <c r="X45" s="785">
        <f t="shared" si="16"/>
        <v>243</v>
      </c>
      <c r="Y45" s="785">
        <f t="shared" si="16"/>
        <v>243</v>
      </c>
      <c r="Z45" s="785">
        <f t="shared" si="16"/>
        <v>243</v>
      </c>
      <c r="AA45" s="785">
        <f t="shared" si="16"/>
        <v>243</v>
      </c>
      <c r="AB45" s="785">
        <f>AB35+AB37+AB39+AB41+AB43</f>
        <v>243</v>
      </c>
      <c r="AC45" s="786">
        <f>AC35+AC37+AC39+AC41+AC43</f>
        <v>243</v>
      </c>
    </row>
    <row r="46" spans="3:29" ht="13.5" thickBot="1" x14ac:dyDescent="0.25">
      <c r="C46" s="159"/>
      <c r="D46" s="160"/>
      <c r="E46" s="787" t="s">
        <v>861</v>
      </c>
      <c r="F46" s="788">
        <f>F36+F38+F40+F42+F44</f>
        <v>400</v>
      </c>
      <c r="G46" s="789">
        <f t="shared" ref="G46:M46" si="17">G36+G38+G40+G42+G44</f>
        <v>400</v>
      </c>
      <c r="H46" s="789">
        <f t="shared" si="17"/>
        <v>400</v>
      </c>
      <c r="I46" s="789">
        <f t="shared" si="17"/>
        <v>400</v>
      </c>
      <c r="J46" s="789">
        <f t="shared" si="17"/>
        <v>400</v>
      </c>
      <c r="K46" s="789">
        <f t="shared" si="17"/>
        <v>400</v>
      </c>
      <c r="L46" s="789">
        <f t="shared" si="17"/>
        <v>400</v>
      </c>
      <c r="M46" s="789">
        <f t="shared" si="17"/>
        <v>400</v>
      </c>
      <c r="N46" s="789">
        <f t="shared" si="15"/>
        <v>400</v>
      </c>
      <c r="O46" s="789">
        <f t="shared" si="15"/>
        <v>400</v>
      </c>
      <c r="P46" s="789">
        <f t="shared" si="15"/>
        <v>400</v>
      </c>
      <c r="Q46" s="790">
        <f t="shared" si="15"/>
        <v>400</v>
      </c>
      <c r="R46" s="788">
        <f t="shared" si="15"/>
        <v>400</v>
      </c>
      <c r="S46" s="789">
        <f t="shared" si="15"/>
        <v>400</v>
      </c>
      <c r="T46" s="789">
        <f t="shared" si="15"/>
        <v>400</v>
      </c>
      <c r="U46" s="789">
        <f t="shared" ref="U46:AA46" si="18">U36+U38+U40+U42+U44</f>
        <v>400</v>
      </c>
      <c r="V46" s="789">
        <f t="shared" si="18"/>
        <v>400</v>
      </c>
      <c r="W46" s="789">
        <f t="shared" si="18"/>
        <v>400</v>
      </c>
      <c r="X46" s="789">
        <f t="shared" si="18"/>
        <v>400</v>
      </c>
      <c r="Y46" s="789">
        <f t="shared" si="18"/>
        <v>400</v>
      </c>
      <c r="Z46" s="789">
        <f t="shared" si="18"/>
        <v>400</v>
      </c>
      <c r="AA46" s="789">
        <f t="shared" si="18"/>
        <v>400</v>
      </c>
      <c r="AB46" s="789">
        <f>AB36+AB38+AB40+AB42+AB44</f>
        <v>400</v>
      </c>
      <c r="AC46" s="790">
        <f>AC36+AC38+AC40+AC42+AC44</f>
        <v>400</v>
      </c>
    </row>
    <row r="47" spans="3:29" x14ac:dyDescent="0.2">
      <c r="C47" s="127" t="str">
        <f>Input!$C$212</f>
        <v>Rams - Feeding Days and Ration</v>
      </c>
      <c r="D47" s="49"/>
      <c r="E47" s="791" t="s">
        <v>859</v>
      </c>
      <c r="F47" s="822">
        <f>Input!$E$213</f>
        <v>232</v>
      </c>
      <c r="G47" s="792"/>
      <c r="H47" s="792"/>
      <c r="I47" s="792"/>
      <c r="J47" s="792"/>
      <c r="K47" s="792"/>
      <c r="L47" s="792"/>
      <c r="M47" s="792"/>
      <c r="N47" s="792"/>
      <c r="O47" s="792"/>
      <c r="P47" s="792"/>
      <c r="Q47" s="764"/>
      <c r="R47" s="822">
        <f>Input!$F$213</f>
        <v>232</v>
      </c>
      <c r="S47" s="792"/>
      <c r="T47" s="792"/>
      <c r="U47" s="792"/>
      <c r="V47" s="792"/>
      <c r="W47" s="792"/>
      <c r="X47" s="792"/>
      <c r="Y47" s="792"/>
      <c r="Z47" s="792"/>
      <c r="AA47" s="792"/>
      <c r="AB47" s="792"/>
      <c r="AC47" s="764"/>
    </row>
    <row r="48" spans="3:29" x14ac:dyDescent="0.2">
      <c r="C48" s="116"/>
      <c r="E48" s="793"/>
      <c r="F48" s="624">
        <f>F34</f>
        <v>31</v>
      </c>
      <c r="G48" s="624">
        <f>G34</f>
        <v>28</v>
      </c>
      <c r="H48" s="624">
        <f>H34</f>
        <v>31</v>
      </c>
      <c r="I48" s="624">
        <f>I34</f>
        <v>30</v>
      </c>
      <c r="J48" s="624">
        <f>J34</f>
        <v>31</v>
      </c>
      <c r="K48" s="624">
        <f>IF(K34&gt;K51,K34-K51,0)</f>
        <v>0</v>
      </c>
      <c r="L48" s="624">
        <f>IF(L34&gt;L51,L34-L51,0)</f>
        <v>0</v>
      </c>
      <c r="M48" s="624">
        <f>IF(M34&gt;M51,M34-M51,0)</f>
        <v>0</v>
      </c>
      <c r="N48" s="624">
        <f>IF(N34&gt;N51,N34-N51,0)</f>
        <v>0</v>
      </c>
      <c r="O48" s="624">
        <f>IF(O34&gt;O51,O34-O51,0)</f>
        <v>0</v>
      </c>
      <c r="P48" s="624">
        <f t="shared" ref="P48:V48" si="19">P34</f>
        <v>30</v>
      </c>
      <c r="Q48" s="625">
        <f t="shared" si="19"/>
        <v>31</v>
      </c>
      <c r="R48" s="624">
        <f t="shared" si="19"/>
        <v>31</v>
      </c>
      <c r="S48" s="624">
        <f t="shared" si="19"/>
        <v>28</v>
      </c>
      <c r="T48" s="624">
        <f t="shared" si="19"/>
        <v>31</v>
      </c>
      <c r="U48" s="624">
        <f t="shared" si="19"/>
        <v>30</v>
      </c>
      <c r="V48" s="624">
        <f t="shared" si="19"/>
        <v>31</v>
      </c>
      <c r="W48" s="624">
        <f>IF(W34&gt;W51,W34-W51,0)</f>
        <v>0</v>
      </c>
      <c r="X48" s="624">
        <f>IF(X34&gt;X51,X34-X51,0)</f>
        <v>0</v>
      </c>
      <c r="Y48" s="624">
        <f>IF(Y34&gt;Y51,Y34-Y51,0)</f>
        <v>0</v>
      </c>
      <c r="Z48" s="624">
        <f>IF(Z34&gt;Z51,Z34-Z51,0)</f>
        <v>0</v>
      </c>
      <c r="AA48" s="624">
        <f>IF(AA34&gt;AA51,AA34-AA51,0)</f>
        <v>0</v>
      </c>
      <c r="AB48" s="624">
        <f>AB34</f>
        <v>30</v>
      </c>
      <c r="AC48" s="625">
        <f>AC34</f>
        <v>31</v>
      </c>
    </row>
    <row r="49" spans="3:31" ht="13.5" thickBot="1" x14ac:dyDescent="0.25">
      <c r="C49" s="765"/>
      <c r="D49" s="766"/>
      <c r="E49" s="767" t="s">
        <v>858</v>
      </c>
      <c r="F49" s="776">
        <f>F14</f>
        <v>10</v>
      </c>
      <c r="G49" s="775">
        <f t="shared" ref="G49:R49" si="20">G14</f>
        <v>10</v>
      </c>
      <c r="H49" s="775">
        <f t="shared" si="20"/>
        <v>10</v>
      </c>
      <c r="I49" s="775">
        <f t="shared" si="20"/>
        <v>10</v>
      </c>
      <c r="J49" s="775">
        <f t="shared" si="20"/>
        <v>10</v>
      </c>
      <c r="K49" s="775">
        <f t="shared" si="20"/>
        <v>10</v>
      </c>
      <c r="L49" s="775">
        <f t="shared" si="20"/>
        <v>10</v>
      </c>
      <c r="M49" s="775">
        <f t="shared" si="20"/>
        <v>10</v>
      </c>
      <c r="N49" s="775">
        <f t="shared" si="20"/>
        <v>10</v>
      </c>
      <c r="O49" s="775">
        <f t="shared" si="20"/>
        <v>10</v>
      </c>
      <c r="P49" s="775">
        <f t="shared" si="20"/>
        <v>10</v>
      </c>
      <c r="Q49" s="777">
        <f t="shared" si="20"/>
        <v>10</v>
      </c>
      <c r="R49" s="775">
        <f t="shared" si="20"/>
        <v>10</v>
      </c>
      <c r="S49" s="775">
        <f t="shared" ref="S49:AC49" si="21">S14</f>
        <v>10</v>
      </c>
      <c r="T49" s="775">
        <f t="shared" si="21"/>
        <v>10</v>
      </c>
      <c r="U49" s="775">
        <f t="shared" si="21"/>
        <v>10</v>
      </c>
      <c r="V49" s="775">
        <f t="shared" si="21"/>
        <v>10</v>
      </c>
      <c r="W49" s="775">
        <f t="shared" si="21"/>
        <v>10</v>
      </c>
      <c r="X49" s="775">
        <f t="shared" si="21"/>
        <v>10</v>
      </c>
      <c r="Y49" s="775">
        <f t="shared" si="21"/>
        <v>10</v>
      </c>
      <c r="Z49" s="775">
        <f t="shared" si="21"/>
        <v>10</v>
      </c>
      <c r="AA49" s="775">
        <f t="shared" si="21"/>
        <v>10</v>
      </c>
      <c r="AB49" s="775">
        <f t="shared" si="21"/>
        <v>10</v>
      </c>
      <c r="AC49" s="777">
        <f t="shared" si="21"/>
        <v>10</v>
      </c>
    </row>
    <row r="50" spans="3:31" x14ac:dyDescent="0.2">
      <c r="C50" s="116" t="str">
        <f>Input!$C$231</f>
        <v>Ram Pasture Grazing Costs</v>
      </c>
      <c r="D50" s="213"/>
      <c r="E50" s="793" t="s">
        <v>862</v>
      </c>
      <c r="F50" s="822">
        <f>Input!$E$232</f>
        <v>133</v>
      </c>
      <c r="G50" s="794"/>
      <c r="H50" s="794"/>
      <c r="I50" s="794"/>
      <c r="J50" s="794"/>
      <c r="K50" s="794"/>
      <c r="L50" s="794"/>
      <c r="M50" s="794"/>
      <c r="N50" s="794"/>
      <c r="O50" s="794"/>
      <c r="P50" s="794"/>
      <c r="Q50" s="795"/>
      <c r="R50" s="822">
        <f>Input!$F$232</f>
        <v>133</v>
      </c>
      <c r="S50" s="794"/>
      <c r="T50" s="794"/>
      <c r="U50" s="794"/>
      <c r="V50" s="794"/>
      <c r="W50" s="794"/>
      <c r="X50" s="794"/>
      <c r="Y50" s="794"/>
      <c r="Z50" s="794"/>
      <c r="AA50" s="794"/>
      <c r="AB50" s="794"/>
      <c r="AC50" s="795"/>
    </row>
    <row r="51" spans="3:31" x14ac:dyDescent="0.2">
      <c r="C51" s="116"/>
      <c r="D51" s="213"/>
      <c r="E51" s="793"/>
      <c r="F51" s="796"/>
      <c r="G51" s="797"/>
      <c r="H51" s="797"/>
      <c r="I51" s="797"/>
      <c r="J51" s="797"/>
      <c r="K51" s="626">
        <f>IF($F$50&gt;30,K34,$F$50)</f>
        <v>30</v>
      </c>
      <c r="L51" s="626">
        <f>IF($F$50&gt;(K34+L34),L34,$F$50-K34)</f>
        <v>31</v>
      </c>
      <c r="M51" s="626">
        <f>IF($F$50&gt;(K34+L34+M34),M34,$F$50-L54)</f>
        <v>31</v>
      </c>
      <c r="N51" s="626">
        <f>IF($F$50&gt;(L34+M34+N34),N34,$F$50-M54)</f>
        <v>30</v>
      </c>
      <c r="O51" s="626">
        <f>IF($F$50&gt;(M34+N34+O34),O34,$F$50-N54)</f>
        <v>31</v>
      </c>
      <c r="P51" s="797"/>
      <c r="Q51" s="798"/>
      <c r="R51" s="797"/>
      <c r="S51" s="797"/>
      <c r="T51" s="797"/>
      <c r="U51" s="797"/>
      <c r="V51" s="797"/>
      <c r="W51" s="626">
        <f>IF($F$50&gt;30,W34,$F$50)</f>
        <v>30</v>
      </c>
      <c r="X51" s="626">
        <f>IF($F$50&gt;(W34+X34),X34,$F$50-W34)</f>
        <v>31</v>
      </c>
      <c r="Y51" s="626">
        <f>IF($F$50&gt;(W34+X34+Y34),Y34,$F$50-X54)</f>
        <v>31</v>
      </c>
      <c r="Z51" s="626">
        <f>IF($F$50&gt;(X34+Y34+Z34),Z34,$F$50-Y54)</f>
        <v>30</v>
      </c>
      <c r="AA51" s="626">
        <f>IF($F$50&gt;(Y34+Z34+AA34),AA34,$F$50-Z54)</f>
        <v>31</v>
      </c>
      <c r="AB51" s="797"/>
      <c r="AC51" s="798"/>
    </row>
    <row r="52" spans="3:31" x14ac:dyDescent="0.2">
      <c r="C52" s="799"/>
      <c r="D52" s="623"/>
      <c r="E52" s="800" t="s">
        <v>858</v>
      </c>
      <c r="F52" s="627">
        <f>F14</f>
        <v>10</v>
      </c>
      <c r="G52" s="628">
        <f t="shared" ref="G52:R52" si="22">G14</f>
        <v>10</v>
      </c>
      <c r="H52" s="628">
        <f t="shared" si="22"/>
        <v>10</v>
      </c>
      <c r="I52" s="628">
        <f t="shared" si="22"/>
        <v>10</v>
      </c>
      <c r="J52" s="628">
        <f t="shared" si="22"/>
        <v>10</v>
      </c>
      <c r="K52" s="628">
        <f t="shared" si="22"/>
        <v>10</v>
      </c>
      <c r="L52" s="628">
        <f t="shared" si="22"/>
        <v>10</v>
      </c>
      <c r="M52" s="628">
        <f t="shared" si="22"/>
        <v>10</v>
      </c>
      <c r="N52" s="628">
        <f t="shared" si="22"/>
        <v>10</v>
      </c>
      <c r="O52" s="628">
        <f t="shared" si="22"/>
        <v>10</v>
      </c>
      <c r="P52" s="628">
        <f t="shared" si="22"/>
        <v>10</v>
      </c>
      <c r="Q52" s="629">
        <f t="shared" si="22"/>
        <v>10</v>
      </c>
      <c r="R52" s="628">
        <f t="shared" si="22"/>
        <v>10</v>
      </c>
      <c r="S52" s="628">
        <f t="shared" ref="S52:AC52" si="23">S14</f>
        <v>10</v>
      </c>
      <c r="T52" s="628">
        <f t="shared" si="23"/>
        <v>10</v>
      </c>
      <c r="U52" s="628">
        <f t="shared" si="23"/>
        <v>10</v>
      </c>
      <c r="V52" s="628">
        <f t="shared" si="23"/>
        <v>10</v>
      </c>
      <c r="W52" s="628">
        <f t="shared" si="23"/>
        <v>10</v>
      </c>
      <c r="X52" s="628">
        <f t="shared" si="23"/>
        <v>10</v>
      </c>
      <c r="Y52" s="628">
        <f t="shared" si="23"/>
        <v>10</v>
      </c>
      <c r="Z52" s="628">
        <f t="shared" si="23"/>
        <v>10</v>
      </c>
      <c r="AA52" s="628">
        <f t="shared" si="23"/>
        <v>10</v>
      </c>
      <c r="AB52" s="628">
        <f t="shared" si="23"/>
        <v>10</v>
      </c>
      <c r="AC52" s="629">
        <f t="shared" si="23"/>
        <v>10</v>
      </c>
    </row>
    <row r="53" spans="3:31" ht="13.5" thickBot="1" x14ac:dyDescent="0.25">
      <c r="C53" s="159"/>
      <c r="D53" s="621"/>
      <c r="E53" s="622" t="s">
        <v>864</v>
      </c>
      <c r="F53" s="618">
        <f t="shared" ref="F53:R53" si="24">F47+F50</f>
        <v>365</v>
      </c>
      <c r="G53" s="619">
        <f t="shared" si="24"/>
        <v>0</v>
      </c>
      <c r="H53" s="619">
        <f t="shared" si="24"/>
        <v>0</v>
      </c>
      <c r="I53" s="619">
        <f t="shared" si="24"/>
        <v>0</v>
      </c>
      <c r="J53" s="619">
        <f t="shared" si="24"/>
        <v>0</v>
      </c>
      <c r="K53" s="619">
        <f t="shared" si="24"/>
        <v>0</v>
      </c>
      <c r="L53" s="619">
        <f t="shared" si="24"/>
        <v>0</v>
      </c>
      <c r="M53" s="619">
        <f t="shared" si="24"/>
        <v>0</v>
      </c>
      <c r="N53" s="619">
        <f t="shared" si="24"/>
        <v>0</v>
      </c>
      <c r="O53" s="619">
        <f t="shared" si="24"/>
        <v>0</v>
      </c>
      <c r="P53" s="619">
        <f t="shared" si="24"/>
        <v>0</v>
      </c>
      <c r="Q53" s="620">
        <f t="shared" si="24"/>
        <v>0</v>
      </c>
      <c r="R53" s="619">
        <f t="shared" si="24"/>
        <v>365</v>
      </c>
      <c r="S53" s="619">
        <f t="shared" ref="S53:AC53" si="25">S47+S50</f>
        <v>0</v>
      </c>
      <c r="T53" s="619">
        <f t="shared" si="25"/>
        <v>0</v>
      </c>
      <c r="U53" s="619">
        <f t="shared" si="25"/>
        <v>0</v>
      </c>
      <c r="V53" s="619">
        <f t="shared" si="25"/>
        <v>0</v>
      </c>
      <c r="W53" s="619">
        <f t="shared" si="25"/>
        <v>0</v>
      </c>
      <c r="X53" s="619">
        <f t="shared" si="25"/>
        <v>0</v>
      </c>
      <c r="Y53" s="619">
        <f t="shared" si="25"/>
        <v>0</v>
      </c>
      <c r="Z53" s="619">
        <f t="shared" si="25"/>
        <v>0</v>
      </c>
      <c r="AA53" s="619">
        <f t="shared" si="25"/>
        <v>0</v>
      </c>
      <c r="AB53" s="619">
        <f t="shared" si="25"/>
        <v>0</v>
      </c>
      <c r="AC53" s="620">
        <f t="shared" si="25"/>
        <v>0</v>
      </c>
    </row>
    <row r="54" spans="3:31" x14ac:dyDescent="0.2">
      <c r="D54" s="213"/>
      <c r="E54" s="617"/>
      <c r="F54" s="523"/>
      <c r="G54" s="523"/>
      <c r="H54" s="523"/>
      <c r="I54" s="523"/>
      <c r="J54" s="523"/>
      <c r="K54" s="523"/>
      <c r="L54" s="523">
        <f>K51+L51</f>
        <v>61</v>
      </c>
      <c r="M54" s="523">
        <f>L54+M51</f>
        <v>92</v>
      </c>
      <c r="N54" s="523">
        <f>M54+N51</f>
        <v>122</v>
      </c>
      <c r="O54" s="523">
        <f>N54+O51</f>
        <v>153</v>
      </c>
      <c r="P54" s="523"/>
      <c r="Q54" s="523"/>
      <c r="R54" s="523"/>
      <c r="S54" s="523"/>
      <c r="T54" s="523"/>
      <c r="U54" s="523"/>
      <c r="V54" s="523"/>
      <c r="W54" s="523"/>
      <c r="X54" s="523"/>
      <c r="Y54" s="523"/>
      <c r="Z54" s="523"/>
      <c r="AA54" s="523"/>
      <c r="AB54" s="523"/>
      <c r="AC54" s="523"/>
    </row>
    <row r="55" spans="3:31" x14ac:dyDescent="0.2">
      <c r="D55" s="213"/>
      <c r="E55" s="617"/>
      <c r="F55" s="523"/>
      <c r="G55" s="523"/>
      <c r="H55" s="523"/>
      <c r="I55" s="523"/>
      <c r="J55" s="523"/>
      <c r="K55" s="523"/>
      <c r="L55" s="523"/>
      <c r="M55" s="523"/>
      <c r="N55" s="523"/>
      <c r="O55" s="523"/>
      <c r="P55" s="523"/>
      <c r="Q55" s="523"/>
      <c r="R55" s="523"/>
      <c r="S55" s="523"/>
      <c r="T55" s="523"/>
      <c r="U55" s="523"/>
      <c r="V55" s="523"/>
      <c r="W55" s="523"/>
      <c r="X55" s="523"/>
      <c r="Y55" s="523"/>
      <c r="Z55" s="523"/>
      <c r="AA55" s="523"/>
      <c r="AB55" s="523"/>
      <c r="AC55" s="523"/>
    </row>
    <row r="56" spans="3:31" ht="13.5" thickBot="1" x14ac:dyDescent="0.25">
      <c r="D56" s="28"/>
      <c r="E56" s="28"/>
      <c r="F56" s="528">
        <f t="shared" ref="F56:AC56" si="26">F2</f>
        <v>45658</v>
      </c>
      <c r="G56" s="528">
        <f t="shared" si="26"/>
        <v>45689</v>
      </c>
      <c r="H56" s="528">
        <f t="shared" si="26"/>
        <v>45717</v>
      </c>
      <c r="I56" s="528">
        <f t="shared" si="26"/>
        <v>45748</v>
      </c>
      <c r="J56" s="528">
        <f t="shared" si="26"/>
        <v>45778</v>
      </c>
      <c r="K56" s="528">
        <f t="shared" si="26"/>
        <v>45809</v>
      </c>
      <c r="L56" s="528">
        <f t="shared" si="26"/>
        <v>45839</v>
      </c>
      <c r="M56" s="528">
        <f t="shared" si="26"/>
        <v>45870</v>
      </c>
      <c r="N56" s="528">
        <f t="shared" si="26"/>
        <v>45901</v>
      </c>
      <c r="O56" s="528">
        <f t="shared" si="26"/>
        <v>45931</v>
      </c>
      <c r="P56" s="528">
        <f t="shared" si="26"/>
        <v>45962</v>
      </c>
      <c r="Q56" s="528">
        <f t="shared" si="26"/>
        <v>45992</v>
      </c>
      <c r="R56" s="528">
        <f t="shared" si="26"/>
        <v>46023</v>
      </c>
      <c r="S56" s="528">
        <f t="shared" si="26"/>
        <v>46054</v>
      </c>
      <c r="T56" s="528">
        <f t="shared" si="26"/>
        <v>46082</v>
      </c>
      <c r="U56" s="528">
        <f t="shared" si="26"/>
        <v>46113</v>
      </c>
      <c r="V56" s="528">
        <f t="shared" si="26"/>
        <v>46143</v>
      </c>
      <c r="W56" s="528">
        <f t="shared" si="26"/>
        <v>46174</v>
      </c>
      <c r="X56" s="528">
        <f t="shared" si="26"/>
        <v>46204</v>
      </c>
      <c r="Y56" s="528">
        <f t="shared" si="26"/>
        <v>46235</v>
      </c>
      <c r="Z56" s="528">
        <f t="shared" si="26"/>
        <v>46266</v>
      </c>
      <c r="AA56" s="528">
        <f t="shared" si="26"/>
        <v>46296</v>
      </c>
      <c r="AB56" s="528">
        <f t="shared" si="26"/>
        <v>46327</v>
      </c>
      <c r="AC56" s="528">
        <f t="shared" si="26"/>
        <v>46357</v>
      </c>
    </row>
    <row r="57" spans="3:31" x14ac:dyDescent="0.2">
      <c r="D57" s="487" t="s">
        <v>285</v>
      </c>
      <c r="E57" s="488"/>
      <c r="F57" s="690" t="str">
        <f t="shared" ref="F57:AC57" si="27">F71</f>
        <v>Month 1</v>
      </c>
      <c r="G57" s="445" t="str">
        <f t="shared" si="27"/>
        <v>Month 2</v>
      </c>
      <c r="H57" s="445" t="str">
        <f t="shared" si="27"/>
        <v>Month 3</v>
      </c>
      <c r="I57" s="445" t="str">
        <f t="shared" si="27"/>
        <v>Month 4</v>
      </c>
      <c r="J57" s="445" t="str">
        <f t="shared" si="27"/>
        <v>Month 5</v>
      </c>
      <c r="K57" s="445" t="str">
        <f t="shared" si="27"/>
        <v>Month 6</v>
      </c>
      <c r="L57" s="445" t="str">
        <f t="shared" si="27"/>
        <v>Month 7</v>
      </c>
      <c r="M57" s="445" t="str">
        <f t="shared" si="27"/>
        <v>Month 8</v>
      </c>
      <c r="N57" s="445" t="str">
        <f t="shared" si="27"/>
        <v>Month 9</v>
      </c>
      <c r="O57" s="445" t="str">
        <f t="shared" si="27"/>
        <v>Month 10</v>
      </c>
      <c r="P57" s="445" t="str">
        <f t="shared" si="27"/>
        <v>Month 11</v>
      </c>
      <c r="Q57" s="693" t="str">
        <f t="shared" si="27"/>
        <v>Month 12</v>
      </c>
      <c r="R57" s="611" t="str">
        <f t="shared" si="27"/>
        <v>Month 13</v>
      </c>
      <c r="S57" s="445" t="str">
        <f t="shared" si="27"/>
        <v>Month 14</v>
      </c>
      <c r="T57" s="445" t="str">
        <f t="shared" si="27"/>
        <v>Month 15</v>
      </c>
      <c r="U57" s="445" t="str">
        <f t="shared" si="27"/>
        <v>Month 16</v>
      </c>
      <c r="V57" s="445" t="str">
        <f t="shared" si="27"/>
        <v>Month 17</v>
      </c>
      <c r="W57" s="445" t="str">
        <f t="shared" si="27"/>
        <v>Month 18</v>
      </c>
      <c r="X57" s="445" t="str">
        <f t="shared" si="27"/>
        <v>Month 19</v>
      </c>
      <c r="Y57" s="445" t="str">
        <f t="shared" si="27"/>
        <v>Month 20</v>
      </c>
      <c r="Z57" s="445" t="str">
        <f t="shared" si="27"/>
        <v>Month 21</v>
      </c>
      <c r="AA57" s="445" t="str">
        <f t="shared" si="27"/>
        <v>Month 22</v>
      </c>
      <c r="AB57" s="445" t="str">
        <f t="shared" si="27"/>
        <v>Month 23</v>
      </c>
      <c r="AC57" s="612" t="str">
        <f t="shared" si="27"/>
        <v>Month 24</v>
      </c>
      <c r="AD57" s="36" t="s">
        <v>790</v>
      </c>
      <c r="AE57" s="526" t="s">
        <v>791</v>
      </c>
    </row>
    <row r="58" spans="3:31" x14ac:dyDescent="0.2">
      <c r="D58" s="531" t="str">
        <f>C35</f>
        <v>Ewes - Breeding/Early Gestation (#1)</v>
      </c>
      <c r="E58" s="119"/>
      <c r="F58" s="801">
        <f>Input!$E$136*F34*F36</f>
        <v>1817.9107824186492</v>
      </c>
      <c r="G58" s="741">
        <f>Input!$E$136*G34*G36</f>
        <v>1641.9839325071669</v>
      </c>
      <c r="H58" s="741">
        <f>Input!$E$136*H34*H36</f>
        <v>1817.9107824186492</v>
      </c>
      <c r="I58" s="741">
        <f>Input!$E$136*I34*I36</f>
        <v>1759.2684991148217</v>
      </c>
      <c r="J58" s="741">
        <f>Input!$E$136*J34*J36</f>
        <v>1817.9107824186492</v>
      </c>
      <c r="K58" s="741">
        <f>Input!$E$136*K34*K36</f>
        <v>1759.2684991148217</v>
      </c>
      <c r="L58" s="741">
        <f>Input!$E$136*L34*L36</f>
        <v>1817.9107824186492</v>
      </c>
      <c r="M58" s="741">
        <f>Input!$E$136*M34*M36</f>
        <v>1817.9107824186492</v>
      </c>
      <c r="N58" s="741">
        <f>Input!$E$136*N34*N36</f>
        <v>1759.2684991148217</v>
      </c>
      <c r="O58" s="741">
        <f>Input!$E$136*O34*O36</f>
        <v>1817.9107824186492</v>
      </c>
      <c r="P58" s="741">
        <f>Input!$E$136*P34*P36</f>
        <v>1759.2684991148217</v>
      </c>
      <c r="Q58" s="802">
        <f>Input!$E$136*Q34*Q36</f>
        <v>1817.9107824186492</v>
      </c>
      <c r="R58" s="803">
        <f>Input!$F$136*R34*R36</f>
        <v>1817.9107824186492</v>
      </c>
      <c r="S58" s="804">
        <f>Input!$F$136*S34*S36</f>
        <v>1641.9839325071669</v>
      </c>
      <c r="T58" s="804">
        <f>Input!$F$136*T34*T36</f>
        <v>1817.9107824186492</v>
      </c>
      <c r="U58" s="804">
        <f>Input!$F$136*U34*U36</f>
        <v>1759.2684991148217</v>
      </c>
      <c r="V58" s="804">
        <f>Input!$F$136*V34*V36</f>
        <v>1817.9107824186492</v>
      </c>
      <c r="W58" s="804">
        <f>Input!$F$136*W34*W36</f>
        <v>1759.2684991148217</v>
      </c>
      <c r="X58" s="804">
        <f>Input!$F$136*X34*X36</f>
        <v>1817.9107824186492</v>
      </c>
      <c r="Y58" s="804">
        <f>Input!$F$136*Y34*Y36</f>
        <v>1817.9107824186492</v>
      </c>
      <c r="Z58" s="804">
        <f>Input!$F$136*Z34*Z36</f>
        <v>1759.2684991148217</v>
      </c>
      <c r="AA58" s="804">
        <f>Input!$F$136*AA34*AA36</f>
        <v>1817.9107824186492</v>
      </c>
      <c r="AB58" s="804">
        <f>Input!$F$136*AB34*AB36</f>
        <v>1759.2684991148217</v>
      </c>
      <c r="AC58" s="805">
        <f>Input!$F$136*AC34*AC36</f>
        <v>1817.9107824186492</v>
      </c>
      <c r="AD58" s="306">
        <f t="shared" ref="AD58:AD65" si="28">SUM(F58:Q58)</f>
        <v>21404.433405896998</v>
      </c>
      <c r="AE58" s="306">
        <f t="shared" ref="AE58:AE65" si="29">SUM(R58:AC58)</f>
        <v>21404.433405896998</v>
      </c>
    </row>
    <row r="59" spans="3:31" x14ac:dyDescent="0.2">
      <c r="D59" s="531" t="str">
        <f>C37</f>
        <v>Ewes - Late Gestation Ration (#2)</v>
      </c>
      <c r="E59" s="119"/>
      <c r="F59" s="801">
        <f>Input!$E$154*F34*F38</f>
        <v>886.10998832866244</v>
      </c>
      <c r="G59" s="741">
        <f>Input!$E$154*G34*G38</f>
        <v>800.35740881298545</v>
      </c>
      <c r="H59" s="741">
        <f>Input!$E$154*H34*H38</f>
        <v>886.10998832866244</v>
      </c>
      <c r="I59" s="741">
        <f>Input!$E$154*I34*I38</f>
        <v>857.52579515677019</v>
      </c>
      <c r="J59" s="741">
        <f>Input!$E$154*J34*J38</f>
        <v>886.10998832866244</v>
      </c>
      <c r="K59" s="741">
        <f>Input!$E$154*K34*K38</f>
        <v>857.52579515677019</v>
      </c>
      <c r="L59" s="741">
        <f>Input!$E$154*L34*L38</f>
        <v>886.10998832866244</v>
      </c>
      <c r="M59" s="741">
        <f>Input!$E$154*M34*M38</f>
        <v>886.10998832866244</v>
      </c>
      <c r="N59" s="741">
        <f>Input!$E$154*N34*N38</f>
        <v>857.52579515677019</v>
      </c>
      <c r="O59" s="741">
        <f>Input!$E$154*O34*O38</f>
        <v>886.10998832866244</v>
      </c>
      <c r="P59" s="741">
        <f>Input!$E$154*P34*P38</f>
        <v>857.52579515677019</v>
      </c>
      <c r="Q59" s="802">
        <f>Input!$E$154*Q34*Q38</f>
        <v>886.10998832866244</v>
      </c>
      <c r="R59" s="803">
        <f>Input!$F$154*R34*R38</f>
        <v>886.10998832866244</v>
      </c>
      <c r="S59" s="804">
        <f>Input!$F$154*S34*S38</f>
        <v>800.35740881298545</v>
      </c>
      <c r="T59" s="804">
        <f>Input!$F$154*T34*T38</f>
        <v>886.10998832866244</v>
      </c>
      <c r="U59" s="804">
        <f>Input!$F$154*U34*U38</f>
        <v>857.52579515677019</v>
      </c>
      <c r="V59" s="804">
        <f>Input!$F$154*V34*V38</f>
        <v>886.10998832866244</v>
      </c>
      <c r="W59" s="804">
        <f>Input!$F$154*W34*W38</f>
        <v>857.52579515677019</v>
      </c>
      <c r="X59" s="804">
        <f>Input!$F$154*X34*X38</f>
        <v>886.10998832866244</v>
      </c>
      <c r="Y59" s="804">
        <f>Input!$F$154*Y34*Y38</f>
        <v>886.10998832866244</v>
      </c>
      <c r="Z59" s="804">
        <f>Input!$F$154*Z34*Z38</f>
        <v>857.52579515677019</v>
      </c>
      <c r="AA59" s="804">
        <f>Input!$F$154*AA34*AA38</f>
        <v>886.10998832866244</v>
      </c>
      <c r="AB59" s="804">
        <f>Input!$F$154*AB34*AB38</f>
        <v>857.52579515677019</v>
      </c>
      <c r="AC59" s="805">
        <f>Input!$F$154*AC34*AC38</f>
        <v>886.10998832866244</v>
      </c>
      <c r="AD59" s="306">
        <f t="shared" si="28"/>
        <v>10433.230507740704</v>
      </c>
      <c r="AE59" s="306">
        <f t="shared" si="29"/>
        <v>10433.230507740704</v>
      </c>
    </row>
    <row r="60" spans="3:31" x14ac:dyDescent="0.2">
      <c r="D60" s="531" t="str">
        <f>C39</f>
        <v>Ewes - Lacation Ration (#3)</v>
      </c>
      <c r="E60" s="128"/>
      <c r="F60" s="801">
        <f>Input!$E$172*F34*F40</f>
        <v>1557.8620475004736</v>
      </c>
      <c r="G60" s="741">
        <f>Input!$E$172*G34*G40</f>
        <v>1407.1012041939762</v>
      </c>
      <c r="H60" s="741">
        <f>Input!$E$172*H34*H40</f>
        <v>1557.8620475004736</v>
      </c>
      <c r="I60" s="741">
        <f>Input!$E$172*I34*I40</f>
        <v>1507.6084330649746</v>
      </c>
      <c r="J60" s="741">
        <f>Input!$E$172*J34*J40</f>
        <v>1557.8620475004736</v>
      </c>
      <c r="K60" s="741">
        <f>Input!$E$172*K34*K40</f>
        <v>1507.6084330649746</v>
      </c>
      <c r="L60" s="741">
        <f>Input!$E$172*L34*L40</f>
        <v>1557.8620475004736</v>
      </c>
      <c r="M60" s="741">
        <f>Input!$E$172*M34*M40</f>
        <v>1557.8620475004736</v>
      </c>
      <c r="N60" s="741">
        <f>Input!$E$172*N34*N40</f>
        <v>1507.6084330649746</v>
      </c>
      <c r="O60" s="741">
        <f>Input!$E$172*O34*O40</f>
        <v>1557.8620475004736</v>
      </c>
      <c r="P60" s="741">
        <f>Input!$E$172*P34*P40</f>
        <v>1507.6084330649746</v>
      </c>
      <c r="Q60" s="802">
        <f>Input!$E$172*Q34*Q40</f>
        <v>1557.8620475004736</v>
      </c>
      <c r="R60" s="803">
        <f>Input!$F$172*R34*R40</f>
        <v>1557.8620475004736</v>
      </c>
      <c r="S60" s="804">
        <f>Input!$F$172*S34*S40</f>
        <v>1407.1012041939762</v>
      </c>
      <c r="T60" s="804">
        <f>Input!$F$172*T34*T40</f>
        <v>1557.8620475004736</v>
      </c>
      <c r="U60" s="804">
        <f>Input!$F$172*U34*U40</f>
        <v>1507.6084330649746</v>
      </c>
      <c r="V60" s="804">
        <f>Input!$F$172*V34*V40</f>
        <v>1557.8620475004736</v>
      </c>
      <c r="W60" s="804">
        <f>Input!$F$172*W34*W40</f>
        <v>1507.6084330649746</v>
      </c>
      <c r="X60" s="804">
        <f>Input!$F$172*X34*X40</f>
        <v>1557.8620475004736</v>
      </c>
      <c r="Y60" s="804">
        <f>Input!$F$172*Y34*Y40</f>
        <v>1557.8620475004736</v>
      </c>
      <c r="Z60" s="804">
        <f>Input!$F$172*Z34*Z40</f>
        <v>1507.6084330649746</v>
      </c>
      <c r="AA60" s="804">
        <f>Input!$F$172*AA34*AA40</f>
        <v>1557.8620475004736</v>
      </c>
      <c r="AB60" s="804">
        <f>Input!$F$172*AB34*AB40</f>
        <v>1507.6084330649746</v>
      </c>
      <c r="AC60" s="805">
        <f>Input!$F$172*AC34*AC40</f>
        <v>1557.8620475004736</v>
      </c>
      <c r="AD60" s="306">
        <f t="shared" si="28"/>
        <v>18342.569268957188</v>
      </c>
      <c r="AE60" s="306">
        <f t="shared" si="29"/>
        <v>18342.569268957188</v>
      </c>
    </row>
    <row r="61" spans="3:31" x14ac:dyDescent="0.2">
      <c r="D61" s="598" t="str">
        <f>C41</f>
        <v>Ewes - Pre-breed/Flush Ration (#4)</v>
      </c>
      <c r="E61" s="128"/>
      <c r="F61" s="801">
        <f>Input!$E$190*F34*F42</f>
        <v>340.97978980392577</v>
      </c>
      <c r="G61" s="741">
        <f>Input!$E$190*G34*G42</f>
        <v>307.98174562935236</v>
      </c>
      <c r="H61" s="741">
        <f>Input!$E$190*H34*H42</f>
        <v>340.97978980392577</v>
      </c>
      <c r="I61" s="741">
        <f>Input!$E$190*I34*I42</f>
        <v>329.98044174573465</v>
      </c>
      <c r="J61" s="741">
        <f>Input!$E$190*J34*J42</f>
        <v>340.97978980392577</v>
      </c>
      <c r="K61" s="741">
        <f>Input!$E$190*K34*K42</f>
        <v>329.98044174573465</v>
      </c>
      <c r="L61" s="741">
        <f>Input!$E$190*L34*L42</f>
        <v>340.97978980392577</v>
      </c>
      <c r="M61" s="741">
        <f>Input!$E$190*M34*M42</f>
        <v>340.97978980392577</v>
      </c>
      <c r="N61" s="741">
        <f>Input!$E$190*N34*N42</f>
        <v>329.98044174573465</v>
      </c>
      <c r="O61" s="741">
        <f>Input!$E$190*O34*O42</f>
        <v>340.97978980392577</v>
      </c>
      <c r="P61" s="741">
        <f>Input!$E$190*P34*P42</f>
        <v>329.98044174573465</v>
      </c>
      <c r="Q61" s="802">
        <f>Input!$E$190*Q34*Q42</f>
        <v>340.97978980392577</v>
      </c>
      <c r="R61" s="803">
        <f>Input!$F$190*R34*R42</f>
        <v>340.97978980392577</v>
      </c>
      <c r="S61" s="804">
        <f>Input!$F$190*S34*S42</f>
        <v>307.98174562935236</v>
      </c>
      <c r="T61" s="804">
        <f>Input!$F$190*T34*T42</f>
        <v>340.97978980392577</v>
      </c>
      <c r="U61" s="804">
        <f>Input!$F$190*U34*U42</f>
        <v>329.98044174573465</v>
      </c>
      <c r="V61" s="804">
        <f>Input!$F$190*V34*V42</f>
        <v>340.97978980392577</v>
      </c>
      <c r="W61" s="804">
        <f>Input!$F$190*W34*W42</f>
        <v>329.98044174573465</v>
      </c>
      <c r="X61" s="804">
        <f>Input!$F$190*X34*X42</f>
        <v>340.97978980392577</v>
      </c>
      <c r="Y61" s="804">
        <f>Input!$F$190*Y34*Y42</f>
        <v>340.97978980392577</v>
      </c>
      <c r="Z61" s="804">
        <f>Input!$F$190*Z34*Z42</f>
        <v>329.98044174573465</v>
      </c>
      <c r="AA61" s="804">
        <f>Input!$F$190*AA34*AA42</f>
        <v>340.97978980392577</v>
      </c>
      <c r="AB61" s="804">
        <f>Input!$F$190*AB34*AB42</f>
        <v>329.98044174573465</v>
      </c>
      <c r="AC61" s="802">
        <f>Input!$F$190*AC34*AC42</f>
        <v>340.97978980392577</v>
      </c>
      <c r="AD61" s="306">
        <f t="shared" si="28"/>
        <v>4014.7620412397719</v>
      </c>
      <c r="AE61" s="306">
        <f t="shared" si="29"/>
        <v>4014.7620412397719</v>
      </c>
    </row>
    <row r="62" spans="3:31" x14ac:dyDescent="0.2">
      <c r="D62" s="630" t="s">
        <v>847</v>
      </c>
      <c r="E62" s="28"/>
      <c r="F62" s="691">
        <f>IF(Input!$E$199&gt;0,Input!$E$200*F43*F44,0)</f>
        <v>0</v>
      </c>
      <c r="G62" s="691">
        <f>IF(Input!$E$199&gt;0,Input!$E$200*G43*G44,0)</f>
        <v>0</v>
      </c>
      <c r="H62" s="691">
        <f>IF(Input!$E$199&gt;0,Input!$E$200*H43*H44,0)</f>
        <v>0</v>
      </c>
      <c r="I62" s="691">
        <f>IF(Input!$E$199&gt;0,Input!$E$200*I43*I44,0)</f>
        <v>0</v>
      </c>
      <c r="J62" s="691">
        <f>IF(Input!$E$199&gt;0,Input!$E$200*J43*J44,0)</f>
        <v>0</v>
      </c>
      <c r="K62" s="691">
        <f>IF(Input!$E$199&gt;0,Input!$E$200*K43*K44,0)</f>
        <v>0</v>
      </c>
      <c r="L62" s="691">
        <f>IF(Input!$E$199&gt;0,Input!$E$200*L43*L44,0)</f>
        <v>0</v>
      </c>
      <c r="M62" s="691">
        <f>IF(Input!$E$199&gt;0,Input!$E$200*M43*M44,0)</f>
        <v>0</v>
      </c>
      <c r="N62" s="691">
        <f>IF(Input!$E$199&gt;0,Input!$E$200*N43*N44,0)</f>
        <v>0</v>
      </c>
      <c r="O62" s="691">
        <f>IF(Input!$E$199&gt;0,Input!$E$200*O43*O44,0)</f>
        <v>0</v>
      </c>
      <c r="P62" s="691">
        <f>IF(Input!$E$199&gt;0,Input!$E$200*P43*P44,0)</f>
        <v>0</v>
      </c>
      <c r="Q62" s="691">
        <f>IF(Input!$E$199&gt;0,Input!$E$200*Q43*Q44,0)</f>
        <v>0</v>
      </c>
      <c r="R62" s="691">
        <f>IF(Input!$F$199&gt;0,Input!$F$200*R43*R44,0)</f>
        <v>0</v>
      </c>
      <c r="S62" s="696">
        <f>IF(Input!$F$199&gt;0,Input!$F$200*S43*S44,0)</f>
        <v>0</v>
      </c>
      <c r="T62" s="696">
        <f>IF(Input!$F$199&gt;0,Input!$F$200*T43*T44,0)</f>
        <v>0</v>
      </c>
      <c r="U62" s="696">
        <f>IF(Input!$F$199&gt;0,Input!$F$200*U43*U44,0)</f>
        <v>0</v>
      </c>
      <c r="V62" s="696">
        <f>IF(Input!$F$199&gt;0,Input!$F$200*V43*V44,0)</f>
        <v>0</v>
      </c>
      <c r="W62" s="696">
        <f>IF(Input!$F$199&gt;0,Input!$F$200*W43*W44,0)</f>
        <v>0</v>
      </c>
      <c r="X62" s="696">
        <f>IF(Input!$F$199&gt;0,Input!$F$200*X43*X44,0)</f>
        <v>0</v>
      </c>
      <c r="Y62" s="696">
        <f>IF(Input!$F$199&gt;0,Input!$F$200*Y43*Y44,0)</f>
        <v>0</v>
      </c>
      <c r="Z62" s="696">
        <f>IF(Input!$F$199&gt;0,Input!$F$200*Z43*Z44,0)</f>
        <v>0</v>
      </c>
      <c r="AA62" s="696">
        <f>IF(Input!$F$199&gt;0,Input!$F$200*AA43*AA44,0)</f>
        <v>0</v>
      </c>
      <c r="AB62" s="696">
        <f>IF(Input!$F$199&gt;0,Input!$F$200*AB43*AB44,0)</f>
        <v>0</v>
      </c>
      <c r="AC62" s="697">
        <f>IF(Input!$F$199&gt;0,Input!$F$200*AC43*AC44,0)</f>
        <v>0</v>
      </c>
      <c r="AD62" s="306">
        <f t="shared" si="28"/>
        <v>0</v>
      </c>
      <c r="AE62" s="306">
        <f t="shared" si="29"/>
        <v>0</v>
      </c>
    </row>
    <row r="63" spans="3:31" x14ac:dyDescent="0.2">
      <c r="D63" s="631" t="s">
        <v>866</v>
      </c>
      <c r="E63" s="632"/>
      <c r="F63" s="691">
        <f>IF(Input!$E$213&gt;300,(Input!$E$213/12)*F49*Input!$E$227,Input!$E$227*F49*F48)</f>
        <v>111.29582422367574</v>
      </c>
      <c r="G63" s="696">
        <f>IF(Input!$E$213&gt;300,(Input!$E$213/12)*G49*Input!$E$227,Input!$E$227*G49*G48)</f>
        <v>100.52526058912647</v>
      </c>
      <c r="H63" s="696">
        <f>IF(Input!$E$213&gt;300,(Input!$E$213/12)*H49*Input!$E$227,Input!$E$227*H49*H48)</f>
        <v>111.29582422367574</v>
      </c>
      <c r="I63" s="696">
        <f>IF(Input!$E$213&gt;300,(Input!$E$213/12)*I49*Input!$E$227,Input!$E$227*I49*I48)</f>
        <v>107.70563634549265</v>
      </c>
      <c r="J63" s="696">
        <f>IF(Input!$E$213&gt;300,(Input!$E$213/12)*J49*Input!$E$227,Input!$E$227*J49*J48)</f>
        <v>111.29582422367574</v>
      </c>
      <c r="K63" s="696">
        <f>IF(Input!$E$213&gt;300,(Input!$E$213/12)*K49*Input!$E$227,Input!$E$227*K49*K48)</f>
        <v>0</v>
      </c>
      <c r="L63" s="696">
        <f>IF(Input!$E$213&gt;300,(Input!$E$213/12)*L49*Input!$E$227,Input!$E$227*L49*L48)</f>
        <v>0</v>
      </c>
      <c r="M63" s="696">
        <f>IF(Input!$E$213&gt;300,(Input!$E$213/12)*M49*Input!$E$227,Input!$E$227*M49*M48)</f>
        <v>0</v>
      </c>
      <c r="N63" s="696">
        <f>IF(Input!$E$213&gt;300,(Input!$E$213/12)*N49*Input!$E$227,Input!$E$227*N49*N48)</f>
        <v>0</v>
      </c>
      <c r="O63" s="696">
        <f>IF(Input!$E$213&gt;300,(Input!$E$213/12)*O49*Input!$E$227,Input!$E$227*O49*O48)</f>
        <v>0</v>
      </c>
      <c r="P63" s="696">
        <f>IF(Input!$E$213&gt;300,(Input!$E$213/12)*P49*Input!$E$227,Input!$E$227*P49*P48)</f>
        <v>107.70563634549265</v>
      </c>
      <c r="Q63" s="694">
        <f>IF(Input!$E$213&gt;300,(Input!$E$213/12)*Q49*Input!$E$227,Input!$E$227*Q49*Q48)</f>
        <v>111.29582422367574</v>
      </c>
      <c r="R63" s="637">
        <f>IF(Input!$F$213&gt;300,(Input!$F$213/12)*R49*Input!$F$227,Input!$F$227*R49*R48)</f>
        <v>111.29582422367574</v>
      </c>
      <c r="S63" s="633">
        <f>IF(Input!$F$213&gt;300,(Input!$F$213/12)*S49*Input!$F$227,Input!$F$227*S49*S48)</f>
        <v>100.52526058912647</v>
      </c>
      <c r="T63" s="633">
        <f>IF(Input!$F$213&gt;300,(Input!$F$213/12)*T49*Input!$F$227,Input!$F$227*T49*T48)</f>
        <v>111.29582422367574</v>
      </c>
      <c r="U63" s="633">
        <f>IF(Input!$F$213&gt;300,(Input!$F$213/12)*U49*Input!$F$227,Input!$F$227*U49*U48)</f>
        <v>107.70563634549265</v>
      </c>
      <c r="V63" s="633">
        <f>IF(Input!$F$213&gt;300,(Input!$F$213/12)*V49*Input!$F$227,Input!$F$227*V49*V48)</f>
        <v>111.29582422367574</v>
      </c>
      <c r="W63" s="633">
        <f>IF(Input!$F$213&gt;300,(Input!$F$213/12)*W49*Input!$F$227,Input!$F$227*W49*W48)</f>
        <v>0</v>
      </c>
      <c r="X63" s="633">
        <f>IF(Input!$F$213&gt;300,(Input!$F$213/12)*X49*Input!$F$227,Input!$F$227*X49*X48)</f>
        <v>0</v>
      </c>
      <c r="Y63" s="633">
        <f>IF(Input!$F$213&gt;300,(Input!$F$213/12)*Y49*Input!$F$227,Input!$F$227*Y49*Y48)</f>
        <v>0</v>
      </c>
      <c r="Z63" s="633">
        <f>IF(Input!$F$213&gt;300,(Input!$F$213/12)*Z49*Input!$F$227,Input!$F$227*Z49*Z48)</f>
        <v>0</v>
      </c>
      <c r="AA63" s="633">
        <f>IF(Input!$F$213&gt;300,(Input!$F$213/12)*AA49*Input!$F$227,Input!$F$227*AA49*AA48)</f>
        <v>0</v>
      </c>
      <c r="AB63" s="633">
        <f>IF(Input!$F$213&gt;300,(Input!$F$213/12)*AB49*Input!$F$227,Input!$F$227*AB49*AB48)</f>
        <v>107.70563634549265</v>
      </c>
      <c r="AC63" s="694">
        <f>IF(Input!$F$213&gt;300,(Input!$F$213/12)*AC49*Input!$F$227,Input!$F$227*AC49*AC48)</f>
        <v>111.29582422367574</v>
      </c>
      <c r="AD63" s="306">
        <f t="shared" si="28"/>
        <v>761.11983017481464</v>
      </c>
      <c r="AE63" s="306">
        <f t="shared" si="29"/>
        <v>761.11983017481464</v>
      </c>
    </row>
    <row r="64" spans="3:31" ht="13.5" thickBot="1" x14ac:dyDescent="0.25">
      <c r="D64" s="634" t="s">
        <v>865</v>
      </c>
      <c r="E64" s="635"/>
      <c r="F64" s="692">
        <f>IF(Input!$E$232&gt;60,(Input!$E$233)*F51*F52,0)</f>
        <v>0</v>
      </c>
      <c r="G64" s="660">
        <f>IF(Input!$E$232&gt;60,(Input!$E$233)*G51*G52,0)</f>
        <v>0</v>
      </c>
      <c r="H64" s="660">
        <f>IF(Input!$E$232&gt;60,(Input!$E$233)*H51*H52,0)</f>
        <v>0</v>
      </c>
      <c r="I64" s="660">
        <f>IF(Input!$E$232&gt;60,(Input!$E$233)*I51*I52,0)</f>
        <v>0</v>
      </c>
      <c r="J64" s="660">
        <f>IF(Input!$E$232&gt;60,(Input!$E$233)*J51*J52,0)</f>
        <v>0</v>
      </c>
      <c r="K64" s="660">
        <f>IF(Input!$E$232&gt;60,(Input!$E$233)*K51*K52,0)</f>
        <v>45</v>
      </c>
      <c r="L64" s="660">
        <f>IF(Input!$E$232&gt;60,(Input!$E$233)*L51*L52,0)</f>
        <v>46.499999999999993</v>
      </c>
      <c r="M64" s="660">
        <f>IF(Input!$E$232&gt;60,(Input!$E$233)*M51*M52,0)</f>
        <v>46.499999999999993</v>
      </c>
      <c r="N64" s="660">
        <f>IF(Input!$E$232&gt;60,(Input!$E$233)*N51*N52,0)</f>
        <v>45</v>
      </c>
      <c r="O64" s="660">
        <f>IF(Input!$E$232&gt;60,(Input!$E$233)*O51*O52,0)</f>
        <v>46.499999999999993</v>
      </c>
      <c r="P64" s="660">
        <f>IF(Input!$E$232&gt;60,(Input!$E$233)*P51*P52,0)</f>
        <v>0</v>
      </c>
      <c r="Q64" s="695">
        <f>IF(Input!$E$232&gt;60,(Input!$E$233)*Q51*Q52,0)</f>
        <v>0</v>
      </c>
      <c r="R64" s="695">
        <f>IF(Input!$F$232&gt;60,(Input!$F$233)*R51*R52,0)</f>
        <v>0</v>
      </c>
      <c r="S64" s="695">
        <f>IF(Input!$F$232&gt;60,(Input!$F$233)*S51*S52,0)</f>
        <v>0</v>
      </c>
      <c r="T64" s="695">
        <f>IF(Input!$F$232&gt;60,(Input!$F$233)*T51*T52,0)</f>
        <v>0</v>
      </c>
      <c r="U64" s="695">
        <f>IF(Input!$F$232&gt;60,(Input!$F$233)*U51*U52,0)</f>
        <v>0</v>
      </c>
      <c r="V64" s="695">
        <f>IF(Input!$F$232&gt;60,(Input!$F$233)*V51*V52,0)</f>
        <v>0</v>
      </c>
      <c r="W64" s="695">
        <f>IF(Input!$F$232&gt;60,(Input!$F$233)*W51*W52,0)</f>
        <v>45</v>
      </c>
      <c r="X64" s="695">
        <f>IF(Input!$F$232&gt;60,(Input!$F$233)*X51*X52,0)</f>
        <v>46.499999999999993</v>
      </c>
      <c r="Y64" s="695">
        <f>IF(Input!$F$232&gt;60,(Input!$F$233)*Y51*Y52,0)</f>
        <v>46.499999999999993</v>
      </c>
      <c r="Z64" s="695">
        <f>IF(Input!$F$232&gt;60,(Input!$F$233)*Z51*Z52,0)</f>
        <v>45</v>
      </c>
      <c r="AA64" s="695">
        <f>IF(Input!$F$232&gt;60,(Input!$F$233)*AA51*AA52,0)</f>
        <v>46.499999999999993</v>
      </c>
      <c r="AB64" s="695">
        <f>IF(Input!$F$232&gt;60,(Input!$F$233)*AB51*AB52,0)</f>
        <v>0</v>
      </c>
      <c r="AC64" s="698">
        <f>IF(Input!$F$232&gt;60,(Input!$F$233)*AC51*AC52,0)</f>
        <v>0</v>
      </c>
      <c r="AD64" s="306">
        <f t="shared" si="28"/>
        <v>229.5</v>
      </c>
      <c r="AE64" s="306">
        <f t="shared" si="29"/>
        <v>229.5</v>
      </c>
    </row>
    <row r="65" spans="2:32" x14ac:dyDescent="0.2">
      <c r="D65" s="213"/>
      <c r="E65" s="210" t="s">
        <v>867</v>
      </c>
      <c r="F65" s="34">
        <f>SUM(F58:F64)</f>
        <v>4714.158432275387</v>
      </c>
      <c r="G65" s="34">
        <f t="shared" ref="G65:Q65" si="30">SUM(G58:G64)</f>
        <v>4257.9495517326077</v>
      </c>
      <c r="H65" s="34">
        <f t="shared" si="30"/>
        <v>4714.158432275387</v>
      </c>
      <c r="I65" s="34">
        <f t="shared" si="30"/>
        <v>4562.0888054277939</v>
      </c>
      <c r="J65" s="34">
        <f t="shared" si="30"/>
        <v>4714.158432275387</v>
      </c>
      <c r="K65" s="34">
        <f t="shared" si="30"/>
        <v>4499.3831690823008</v>
      </c>
      <c r="L65" s="34">
        <f t="shared" si="30"/>
        <v>4649.3626080517115</v>
      </c>
      <c r="M65" s="34">
        <f t="shared" si="30"/>
        <v>4649.3626080517115</v>
      </c>
      <c r="N65" s="34">
        <f t="shared" si="30"/>
        <v>4499.3831690823008</v>
      </c>
      <c r="O65" s="34">
        <f t="shared" si="30"/>
        <v>4649.3626080517115</v>
      </c>
      <c r="P65" s="34">
        <f t="shared" si="30"/>
        <v>4562.0888054277939</v>
      </c>
      <c r="Q65" s="34">
        <f t="shared" si="30"/>
        <v>4714.158432275387</v>
      </c>
      <c r="R65" s="34">
        <f t="shared" ref="R65:AC65" si="31">SUM(R58:R64)</f>
        <v>4714.158432275387</v>
      </c>
      <c r="S65" s="34">
        <f t="shared" si="31"/>
        <v>4257.9495517326077</v>
      </c>
      <c r="T65" s="34">
        <f t="shared" si="31"/>
        <v>4714.158432275387</v>
      </c>
      <c r="U65" s="34">
        <f t="shared" si="31"/>
        <v>4562.0888054277939</v>
      </c>
      <c r="V65" s="34">
        <f t="shared" si="31"/>
        <v>4714.158432275387</v>
      </c>
      <c r="W65" s="34">
        <f t="shared" si="31"/>
        <v>4499.3831690823008</v>
      </c>
      <c r="X65" s="34">
        <f t="shared" si="31"/>
        <v>4649.3626080517115</v>
      </c>
      <c r="Y65" s="34">
        <f t="shared" si="31"/>
        <v>4649.3626080517115</v>
      </c>
      <c r="Z65" s="34">
        <f t="shared" si="31"/>
        <v>4499.3831690823008</v>
      </c>
      <c r="AA65" s="34">
        <f t="shared" si="31"/>
        <v>4649.3626080517115</v>
      </c>
      <c r="AB65" s="34">
        <f t="shared" si="31"/>
        <v>4562.0888054277939</v>
      </c>
      <c r="AC65" s="34">
        <f t="shared" si="31"/>
        <v>4714.158432275387</v>
      </c>
      <c r="AD65" s="369">
        <f t="shared" si="28"/>
        <v>55185.615054009482</v>
      </c>
      <c r="AE65" s="369">
        <f t="shared" si="29"/>
        <v>55185.615054009482</v>
      </c>
    </row>
    <row r="66" spans="2:32" x14ac:dyDescent="0.2">
      <c r="D66" s="213"/>
      <c r="E66" s="617"/>
      <c r="F66" s="523"/>
      <c r="G66" s="523"/>
      <c r="H66" s="523"/>
      <c r="I66" s="523"/>
      <c r="J66" s="523"/>
      <c r="K66" s="523"/>
      <c r="L66" s="523"/>
      <c r="M66" s="523"/>
      <c r="N66" s="523"/>
      <c r="O66" s="523"/>
      <c r="P66" s="523"/>
      <c r="Q66" s="523"/>
      <c r="R66" s="523"/>
      <c r="S66" s="523"/>
      <c r="T66" s="523"/>
      <c r="U66" s="523"/>
      <c r="V66" s="523"/>
      <c r="W66" s="523"/>
      <c r="X66" s="523"/>
      <c r="Y66" s="523"/>
      <c r="Z66" s="523"/>
      <c r="AA66" s="523"/>
      <c r="AB66" s="523"/>
      <c r="AC66" s="523"/>
    </row>
    <row r="67" spans="2:32" x14ac:dyDescent="0.2">
      <c r="D67" s="213"/>
      <c r="E67" s="617"/>
      <c r="F67" s="523"/>
      <c r="G67" s="523"/>
      <c r="H67" s="523"/>
      <c r="I67" s="523"/>
      <c r="J67" s="523"/>
      <c r="K67" s="523"/>
      <c r="L67" s="523"/>
      <c r="M67" s="523"/>
      <c r="N67" s="523"/>
      <c r="O67" s="523"/>
      <c r="P67" s="523"/>
      <c r="Q67" s="523"/>
      <c r="R67" s="523"/>
      <c r="S67" s="523"/>
      <c r="T67" s="523"/>
      <c r="U67" s="523"/>
      <c r="V67" s="523"/>
      <c r="W67" s="523"/>
      <c r="X67" s="523"/>
      <c r="Y67" s="523"/>
      <c r="Z67" s="523"/>
      <c r="AA67" s="523"/>
      <c r="AB67" s="523"/>
      <c r="AC67" s="523"/>
    </row>
    <row r="68" spans="2:32" x14ac:dyDescent="0.2">
      <c r="D68" s="213"/>
      <c r="E68" s="617"/>
      <c r="F68" s="523"/>
      <c r="G68" s="523"/>
      <c r="H68" s="523"/>
      <c r="I68" s="523"/>
      <c r="J68" s="523"/>
      <c r="K68" s="523"/>
      <c r="L68" s="523"/>
      <c r="M68" s="523"/>
      <c r="N68" s="523"/>
      <c r="O68" s="523"/>
      <c r="P68" s="523"/>
      <c r="Q68" s="523"/>
      <c r="R68" s="523"/>
      <c r="S68" s="523"/>
      <c r="T68" s="523"/>
      <c r="U68" s="523"/>
      <c r="V68" s="523"/>
      <c r="W68" s="523"/>
      <c r="X68" s="523"/>
      <c r="Y68" s="523"/>
      <c r="Z68" s="523"/>
      <c r="AA68" s="523"/>
      <c r="AB68" s="523"/>
      <c r="AC68" s="523"/>
    </row>
    <row r="69" spans="2:32" x14ac:dyDescent="0.2">
      <c r="D69" s="81" t="s">
        <v>849</v>
      </c>
      <c r="F69" s="758">
        <f t="shared" ref="F69:AC69" si="32">F2</f>
        <v>45658</v>
      </c>
      <c r="G69" s="758">
        <f t="shared" si="32"/>
        <v>45689</v>
      </c>
      <c r="H69" s="758">
        <f t="shared" si="32"/>
        <v>45717</v>
      </c>
      <c r="I69" s="758">
        <f t="shared" si="32"/>
        <v>45748</v>
      </c>
      <c r="J69" s="758">
        <f t="shared" si="32"/>
        <v>45778</v>
      </c>
      <c r="K69" s="758">
        <f t="shared" si="32"/>
        <v>45809</v>
      </c>
      <c r="L69" s="758">
        <f t="shared" si="32"/>
        <v>45839</v>
      </c>
      <c r="M69" s="758">
        <f t="shared" si="32"/>
        <v>45870</v>
      </c>
      <c r="N69" s="758">
        <f t="shared" si="32"/>
        <v>45901</v>
      </c>
      <c r="O69" s="758">
        <f t="shared" si="32"/>
        <v>45931</v>
      </c>
      <c r="P69" s="758">
        <f t="shared" si="32"/>
        <v>45962</v>
      </c>
      <c r="Q69" s="758">
        <f t="shared" si="32"/>
        <v>45992</v>
      </c>
      <c r="R69" s="758">
        <f t="shared" si="32"/>
        <v>46023</v>
      </c>
      <c r="S69" s="758">
        <f t="shared" si="32"/>
        <v>46054</v>
      </c>
      <c r="T69" s="758">
        <f t="shared" si="32"/>
        <v>46082</v>
      </c>
      <c r="U69" s="758">
        <f t="shared" si="32"/>
        <v>46113</v>
      </c>
      <c r="V69" s="758">
        <f t="shared" si="32"/>
        <v>46143</v>
      </c>
      <c r="W69" s="758">
        <f t="shared" si="32"/>
        <v>46174</v>
      </c>
      <c r="X69" s="758">
        <f t="shared" si="32"/>
        <v>46204</v>
      </c>
      <c r="Y69" s="758">
        <f t="shared" si="32"/>
        <v>46235</v>
      </c>
      <c r="Z69" s="758">
        <f t="shared" si="32"/>
        <v>46266</v>
      </c>
      <c r="AA69" s="758">
        <f t="shared" si="32"/>
        <v>46296</v>
      </c>
      <c r="AB69" s="758">
        <f t="shared" si="32"/>
        <v>46327</v>
      </c>
      <c r="AC69" s="758">
        <f t="shared" si="32"/>
        <v>46357</v>
      </c>
      <c r="AD69" s="806"/>
      <c r="AE69" s="65"/>
    </row>
    <row r="70" spans="2:32" ht="13.5" thickBot="1" x14ac:dyDescent="0.25">
      <c r="D70" s="28"/>
      <c r="E70" s="81"/>
      <c r="F70" s="36">
        <v>31</v>
      </c>
      <c r="G70" s="36">
        <v>28</v>
      </c>
      <c r="H70" s="36">
        <v>31</v>
      </c>
      <c r="I70" s="36">
        <v>30</v>
      </c>
      <c r="J70" s="36">
        <v>31</v>
      </c>
      <c r="K70" s="36">
        <v>30</v>
      </c>
      <c r="L70" s="36">
        <v>31</v>
      </c>
      <c r="M70" s="36">
        <v>31</v>
      </c>
      <c r="N70" s="36">
        <v>30</v>
      </c>
      <c r="O70" s="36">
        <v>31</v>
      </c>
      <c r="P70" s="36">
        <v>30</v>
      </c>
      <c r="Q70" s="36">
        <v>31</v>
      </c>
      <c r="R70" s="36">
        <v>31</v>
      </c>
      <c r="S70" s="36">
        <v>28</v>
      </c>
      <c r="T70" s="36">
        <v>31</v>
      </c>
      <c r="U70" s="36">
        <v>30</v>
      </c>
      <c r="V70" s="36">
        <v>31</v>
      </c>
      <c r="W70" s="36">
        <v>30</v>
      </c>
      <c r="X70" s="36">
        <v>31</v>
      </c>
      <c r="Y70" s="36">
        <v>31</v>
      </c>
      <c r="Z70" s="36">
        <v>30</v>
      </c>
      <c r="AA70" s="36">
        <v>31</v>
      </c>
      <c r="AB70" s="36">
        <v>30</v>
      </c>
      <c r="AC70" s="36">
        <v>31</v>
      </c>
      <c r="AD70" s="806"/>
      <c r="AE70" s="36"/>
    </row>
    <row r="71" spans="2:32" ht="13.5" thickBot="1" x14ac:dyDescent="0.25">
      <c r="B71" s="65" t="s">
        <v>855</v>
      </c>
      <c r="C71" s="65" t="s">
        <v>856</v>
      </c>
      <c r="D71" s="115" t="s">
        <v>284</v>
      </c>
      <c r="E71" s="639" t="s">
        <v>848</v>
      </c>
      <c r="F71" s="1117" t="str">
        <f t="shared" ref="F71:AC71" si="33">F22</f>
        <v>Month 1</v>
      </c>
      <c r="G71" s="1117" t="str">
        <f t="shared" si="33"/>
        <v>Month 2</v>
      </c>
      <c r="H71" s="1117" t="str">
        <f t="shared" si="33"/>
        <v>Month 3</v>
      </c>
      <c r="I71" s="1117" t="str">
        <f t="shared" si="33"/>
        <v>Month 4</v>
      </c>
      <c r="J71" s="1117" t="str">
        <f t="shared" si="33"/>
        <v>Month 5</v>
      </c>
      <c r="K71" s="1117" t="str">
        <f t="shared" si="33"/>
        <v>Month 6</v>
      </c>
      <c r="L71" s="1117" t="str">
        <f t="shared" si="33"/>
        <v>Month 7</v>
      </c>
      <c r="M71" s="1117" t="str">
        <f t="shared" si="33"/>
        <v>Month 8</v>
      </c>
      <c r="N71" s="1117" t="str">
        <f t="shared" si="33"/>
        <v>Month 9</v>
      </c>
      <c r="O71" s="1117" t="str">
        <f t="shared" si="33"/>
        <v>Month 10</v>
      </c>
      <c r="P71" s="1117" t="str">
        <f t="shared" si="33"/>
        <v>Month 11</v>
      </c>
      <c r="Q71" s="1117" t="str">
        <f t="shared" si="33"/>
        <v>Month 12</v>
      </c>
      <c r="R71" s="1117" t="str">
        <f t="shared" si="33"/>
        <v>Month 13</v>
      </c>
      <c r="S71" s="1117" t="str">
        <f t="shared" si="33"/>
        <v>Month 14</v>
      </c>
      <c r="T71" s="1117" t="str">
        <f t="shared" si="33"/>
        <v>Month 15</v>
      </c>
      <c r="U71" s="1117" t="str">
        <f t="shared" si="33"/>
        <v>Month 16</v>
      </c>
      <c r="V71" s="1117" t="str">
        <f t="shared" si="33"/>
        <v>Month 17</v>
      </c>
      <c r="W71" s="1117" t="str">
        <f t="shared" si="33"/>
        <v>Month 18</v>
      </c>
      <c r="X71" s="1117" t="str">
        <f t="shared" si="33"/>
        <v>Month 19</v>
      </c>
      <c r="Y71" s="1117" t="str">
        <f t="shared" si="33"/>
        <v>Month 20</v>
      </c>
      <c r="Z71" s="1117" t="str">
        <f t="shared" si="33"/>
        <v>Month 21</v>
      </c>
      <c r="AA71" s="1117" t="str">
        <f t="shared" si="33"/>
        <v>Month 22</v>
      </c>
      <c r="AB71" s="1117" t="str">
        <f t="shared" si="33"/>
        <v>Month 23</v>
      </c>
      <c r="AC71" s="1118" t="str">
        <f t="shared" si="33"/>
        <v>Month 24</v>
      </c>
      <c r="AD71" s="36"/>
      <c r="AE71" s="36"/>
      <c r="AF71" s="36"/>
    </row>
    <row r="72" spans="2:32" ht="13.5" thickBot="1" x14ac:dyDescent="0.25">
      <c r="B72" s="65" t="s">
        <v>790</v>
      </c>
      <c r="C72" s="65" t="s">
        <v>791</v>
      </c>
      <c r="D72" s="606">
        <f>SUM(B73:B75)</f>
        <v>155</v>
      </c>
      <c r="E72" s="638">
        <f>SUM(B73:B75)/7</f>
        <v>22.142857142857142</v>
      </c>
      <c r="F72" s="1116"/>
      <c r="G72" s="1116"/>
      <c r="H72" s="1116"/>
      <c r="I72" s="1116"/>
      <c r="J72" s="1116"/>
      <c r="K72" s="1116"/>
      <c r="L72" s="1116"/>
      <c r="M72" s="1116"/>
      <c r="N72" s="1116"/>
      <c r="O72" s="1116"/>
      <c r="P72" s="1116"/>
      <c r="Q72" s="1116"/>
      <c r="R72" s="1116"/>
      <c r="S72" s="1116"/>
      <c r="T72" s="1116"/>
      <c r="U72" s="1116"/>
      <c r="V72" s="1116"/>
      <c r="W72" s="1116"/>
      <c r="X72" s="1116"/>
      <c r="Y72" s="1116"/>
      <c r="Z72" s="1116"/>
      <c r="AA72" s="1116"/>
      <c r="AB72" s="1116"/>
      <c r="AC72" s="1398"/>
      <c r="AD72" s="36"/>
      <c r="AE72" s="36"/>
      <c r="AF72" s="36"/>
    </row>
    <row r="73" spans="2:32" x14ac:dyDescent="0.2">
      <c r="B73" s="664">
        <f>Input!$E$238</f>
        <v>50</v>
      </c>
      <c r="C73" s="664">
        <f>Input!$F$238</f>
        <v>50</v>
      </c>
      <c r="D73" s="127" t="s">
        <v>286</v>
      </c>
      <c r="E73" s="128"/>
      <c r="F73" s="807">
        <f>(Input!$E$239)/12*($B$73/F70)</f>
        <v>145.16129032258064</v>
      </c>
      <c r="G73" s="807">
        <f>(Input!$E$239)/12*($B$73/G70)</f>
        <v>160.71428571428572</v>
      </c>
      <c r="H73" s="807">
        <f>(Input!$E$239)/12*($B$73/H70)</f>
        <v>145.16129032258064</v>
      </c>
      <c r="I73" s="807">
        <f>(Input!$E$239)/12*($B$73/I70)</f>
        <v>150</v>
      </c>
      <c r="J73" s="807">
        <f>(Input!$E$239)/12*($B$73/J70)</f>
        <v>145.16129032258064</v>
      </c>
      <c r="K73" s="807">
        <f>(Input!$E$239)/12*($B$73/K70)</f>
        <v>150</v>
      </c>
      <c r="L73" s="807">
        <f>(Input!$E$239)/12*($B$73/L70)</f>
        <v>145.16129032258064</v>
      </c>
      <c r="M73" s="807">
        <f>(Input!$E$239)/12*($B$73/M70)</f>
        <v>145.16129032258064</v>
      </c>
      <c r="N73" s="807">
        <f>(Input!$E$239)/12*($B$73/N70)</f>
        <v>150</v>
      </c>
      <c r="O73" s="807">
        <f>(Input!$E$239)/12*($B$73/O70)</f>
        <v>145.16129032258064</v>
      </c>
      <c r="P73" s="807">
        <f>(Input!$E$239)/12*($B$73/P70)</f>
        <v>150</v>
      </c>
      <c r="Q73" s="807">
        <f>(Input!$E$239)/12*($B$73/Q70)</f>
        <v>145.16129032258064</v>
      </c>
      <c r="R73" s="807">
        <f>(Input!$F$239)/12*($B$73/R70)</f>
        <v>145.16129032258064</v>
      </c>
      <c r="S73" s="807">
        <f>(Input!$F$239)/12*($B$73/S70)</f>
        <v>160.71428571428572</v>
      </c>
      <c r="T73" s="807">
        <f>(Input!$F$239)/12*($B$73/T70)</f>
        <v>145.16129032258064</v>
      </c>
      <c r="U73" s="807">
        <f>(Input!$F$239)/12*($B$73/U70)</f>
        <v>150</v>
      </c>
      <c r="V73" s="807">
        <f>(Input!$F$239)/12*($B$73/V70)</f>
        <v>145.16129032258064</v>
      </c>
      <c r="W73" s="807">
        <f>(Input!$F$239)/12*($B$73/W70)</f>
        <v>150</v>
      </c>
      <c r="X73" s="807">
        <f>(Input!$F$239)/12*($B$73/X70)</f>
        <v>145.16129032258064</v>
      </c>
      <c r="Y73" s="807">
        <f>(Input!$F$239)/12*($B$73/Y70)</f>
        <v>145.16129032258064</v>
      </c>
      <c r="Z73" s="807">
        <f>(Input!$F$239)/12*($B$73/Z70)</f>
        <v>150</v>
      </c>
      <c r="AA73" s="807">
        <f>(Input!$F$239)/12*($B$73/AA70)</f>
        <v>145.16129032258064</v>
      </c>
      <c r="AB73" s="807">
        <f>(Input!$F$239)/12*($B$73/AB70)</f>
        <v>150</v>
      </c>
      <c r="AC73" s="1399">
        <f>(Input!$F$239)/12*($B$73/AC70)</f>
        <v>145.16129032258064</v>
      </c>
      <c r="AD73" s="237"/>
      <c r="AE73" s="237"/>
      <c r="AF73" s="28"/>
    </row>
    <row r="74" spans="2:32" x14ac:dyDescent="0.2">
      <c r="B74" s="664">
        <f>Input!$E$258</f>
        <v>35</v>
      </c>
      <c r="C74" s="664">
        <f>Input!$F$258</f>
        <v>35</v>
      </c>
      <c r="D74" s="118" t="s">
        <v>287</v>
      </c>
      <c r="E74" s="607"/>
      <c r="F74" s="752">
        <f>(Input!$E$259)/12*($B$74/F70)</f>
        <v>96.532258064516142</v>
      </c>
      <c r="G74" s="752">
        <f>(Input!$E$259)/12*($B$74/G70)</f>
        <v>106.875</v>
      </c>
      <c r="H74" s="752">
        <f>(Input!$E$259)/12*($B$74/H70)</f>
        <v>96.532258064516142</v>
      </c>
      <c r="I74" s="752">
        <f>(Input!$E$259)/12*($B$74/I70)</f>
        <v>99.75</v>
      </c>
      <c r="J74" s="752">
        <f>(Input!$E$259)/12*($B$74/J70)</f>
        <v>96.532258064516142</v>
      </c>
      <c r="K74" s="752">
        <f>(Input!$E$259)/12*($B$74/K70)</f>
        <v>99.75</v>
      </c>
      <c r="L74" s="752">
        <f>(Input!$E$259)/12*($B$74/L70)</f>
        <v>96.532258064516142</v>
      </c>
      <c r="M74" s="752">
        <f>(Input!$E$259)/12*($B$74/M70)</f>
        <v>96.532258064516142</v>
      </c>
      <c r="N74" s="752">
        <f>(Input!$E$259)/12*($B$74/N70)</f>
        <v>99.75</v>
      </c>
      <c r="O74" s="752">
        <f>(Input!$E$259)/12*($B$74/O70)</f>
        <v>96.532258064516142</v>
      </c>
      <c r="P74" s="752">
        <f>(Input!$E$259)/12*($B$74/P70)</f>
        <v>99.75</v>
      </c>
      <c r="Q74" s="752">
        <f>(Input!$E$259)/12*($B$74/Q70)</f>
        <v>96.532258064516142</v>
      </c>
      <c r="R74" s="752">
        <f>(Input!$F$259)/12*($B$74/R70)</f>
        <v>96.532258064516142</v>
      </c>
      <c r="S74" s="752">
        <f>(Input!$F$259)/12*($B$74/S70)</f>
        <v>106.875</v>
      </c>
      <c r="T74" s="752">
        <f>(Input!$F$259)/12*($B$74/T70)</f>
        <v>96.532258064516142</v>
      </c>
      <c r="U74" s="752">
        <f>(Input!$F$259)/12*($B$74/U70)</f>
        <v>99.75</v>
      </c>
      <c r="V74" s="752">
        <f>(Input!$F$259)/12*($B$74/V70)</f>
        <v>96.532258064516142</v>
      </c>
      <c r="W74" s="752">
        <f>(Input!$F$259)/12*($B$74/W70)</f>
        <v>99.75</v>
      </c>
      <c r="X74" s="752">
        <f>(Input!$F$259)/12*($B$74/X70)</f>
        <v>96.532258064516142</v>
      </c>
      <c r="Y74" s="752">
        <f>(Input!$F$259)/12*($B$74/Y70)</f>
        <v>96.532258064516142</v>
      </c>
      <c r="Z74" s="752">
        <f>(Input!$F$259)/12*($B$74/Z70)</f>
        <v>99.75</v>
      </c>
      <c r="AA74" s="752">
        <f>(Input!$F$259)/12*($B$74/AA70)</f>
        <v>96.532258064516142</v>
      </c>
      <c r="AB74" s="752">
        <f>(Input!$F$259)/12*($B$74/AB70)</f>
        <v>99.75</v>
      </c>
      <c r="AC74" s="1383">
        <f>(Input!$F$259)/12*($B$74/AC70)</f>
        <v>96.532258064516142</v>
      </c>
      <c r="AD74" s="237"/>
      <c r="AE74" s="237"/>
      <c r="AF74" s="28"/>
    </row>
    <row r="75" spans="2:32" x14ac:dyDescent="0.2">
      <c r="B75" s="664">
        <f>Input!$E$278</f>
        <v>70</v>
      </c>
      <c r="C75" s="664">
        <f>Input!$F$278</f>
        <v>70</v>
      </c>
      <c r="D75" s="118" t="s">
        <v>288</v>
      </c>
      <c r="E75" s="607"/>
      <c r="F75" s="752">
        <f>Input!$E$279/12*($B$75/F70)</f>
        <v>182.90322580645164</v>
      </c>
      <c r="G75" s="752">
        <f>Input!$E$279/12*($B$75/G70)</f>
        <v>202.5</v>
      </c>
      <c r="H75" s="752">
        <f>Input!$E$279/12*($B$75/H70)</f>
        <v>182.90322580645164</v>
      </c>
      <c r="I75" s="752">
        <f>Input!$E$279/12*($B$75/I70)</f>
        <v>189</v>
      </c>
      <c r="J75" s="752">
        <f>Input!$E$279/12*($B$75/J70)</f>
        <v>182.90322580645164</v>
      </c>
      <c r="K75" s="752">
        <f>Input!$E$279/12*($B$75/K70)</f>
        <v>189</v>
      </c>
      <c r="L75" s="752">
        <f>Input!$E$279/12*($B$75/L70)</f>
        <v>182.90322580645164</v>
      </c>
      <c r="M75" s="752">
        <f>Input!$E$279/12*($B$75/M70)</f>
        <v>182.90322580645164</v>
      </c>
      <c r="N75" s="752">
        <f>Input!$E$279/12*($B$75/N70)</f>
        <v>189</v>
      </c>
      <c r="O75" s="752">
        <f>Input!$E$279/12*($B$75/O70)</f>
        <v>182.90322580645164</v>
      </c>
      <c r="P75" s="752">
        <f>Input!$E$279/12*($B$75/P70)</f>
        <v>189</v>
      </c>
      <c r="Q75" s="752">
        <f>Input!$E$279/12*($B$75/Q70)</f>
        <v>182.90322580645164</v>
      </c>
      <c r="R75" s="752">
        <f>Input!$F$279/12*($B$75/R70)</f>
        <v>182.90322580645164</v>
      </c>
      <c r="S75" s="752">
        <f>Input!$F$279/12*($B$75/S70)</f>
        <v>202.5</v>
      </c>
      <c r="T75" s="752">
        <f>Input!$F$279/12*($B$75/T70)</f>
        <v>182.90322580645164</v>
      </c>
      <c r="U75" s="752">
        <f>Input!$F$279/12*($B$75/U70)</f>
        <v>189</v>
      </c>
      <c r="V75" s="752">
        <f>Input!$F$279/12*($B$75/V70)</f>
        <v>182.90322580645164</v>
      </c>
      <c r="W75" s="752">
        <f>Input!$F$279/12*($B$75/W70)</f>
        <v>189</v>
      </c>
      <c r="X75" s="752">
        <f>Input!$F$279/12*($B$75/X70)</f>
        <v>182.90322580645164</v>
      </c>
      <c r="Y75" s="752">
        <f>Input!$F$279/12*($B$75/Y70)</f>
        <v>182.90322580645164</v>
      </c>
      <c r="Z75" s="752">
        <f>Input!$F$279/12*($B$75/Z70)</f>
        <v>189</v>
      </c>
      <c r="AA75" s="752">
        <f>Input!$F$279/12*($B$75/AA70)</f>
        <v>182.90322580645164</v>
      </c>
      <c r="AB75" s="752">
        <f>Input!$F$279/12*($B$75/AB70)</f>
        <v>189</v>
      </c>
      <c r="AC75" s="1383">
        <f>Input!$F$279/12*($B$75/AC70)</f>
        <v>182.90322580645164</v>
      </c>
      <c r="AD75" s="237"/>
      <c r="AE75" s="237"/>
      <c r="AF75" s="28"/>
    </row>
    <row r="76" spans="2:32" x14ac:dyDescent="0.2">
      <c r="B76" s="283">
        <f>SUM(B73:B75)</f>
        <v>155</v>
      </c>
      <c r="C76" s="283">
        <f>SUM(C73:C75)</f>
        <v>155</v>
      </c>
      <c r="D76" s="127"/>
      <c r="E76" s="883" t="s">
        <v>846</v>
      </c>
      <c r="F76" s="808">
        <f t="shared" ref="F76:AC76" si="34">SUM(F73:F75)</f>
        <v>424.59677419354841</v>
      </c>
      <c r="G76" s="808">
        <f t="shared" si="34"/>
        <v>470.08928571428572</v>
      </c>
      <c r="H76" s="808">
        <f t="shared" si="34"/>
        <v>424.59677419354841</v>
      </c>
      <c r="I76" s="808">
        <f t="shared" si="34"/>
        <v>438.75</v>
      </c>
      <c r="J76" s="808">
        <f t="shared" si="34"/>
        <v>424.59677419354841</v>
      </c>
      <c r="K76" s="808">
        <f t="shared" si="34"/>
        <v>438.75</v>
      </c>
      <c r="L76" s="808">
        <f t="shared" si="34"/>
        <v>424.59677419354841</v>
      </c>
      <c r="M76" s="808">
        <f t="shared" si="34"/>
        <v>424.59677419354841</v>
      </c>
      <c r="N76" s="808">
        <f t="shared" si="34"/>
        <v>438.75</v>
      </c>
      <c r="O76" s="808">
        <f t="shared" si="34"/>
        <v>424.59677419354841</v>
      </c>
      <c r="P76" s="808">
        <f t="shared" si="34"/>
        <v>438.75</v>
      </c>
      <c r="Q76" s="808">
        <f t="shared" si="34"/>
        <v>424.59677419354841</v>
      </c>
      <c r="R76" s="808">
        <f t="shared" si="34"/>
        <v>424.59677419354841</v>
      </c>
      <c r="S76" s="808">
        <f t="shared" si="34"/>
        <v>470.08928571428572</v>
      </c>
      <c r="T76" s="808">
        <f t="shared" si="34"/>
        <v>424.59677419354841</v>
      </c>
      <c r="U76" s="808">
        <f t="shared" si="34"/>
        <v>438.75</v>
      </c>
      <c r="V76" s="808">
        <f t="shared" si="34"/>
        <v>424.59677419354841</v>
      </c>
      <c r="W76" s="808">
        <f t="shared" si="34"/>
        <v>438.75</v>
      </c>
      <c r="X76" s="808">
        <f t="shared" si="34"/>
        <v>424.59677419354841</v>
      </c>
      <c r="Y76" s="808">
        <f t="shared" si="34"/>
        <v>424.59677419354841</v>
      </c>
      <c r="Z76" s="808">
        <f t="shared" si="34"/>
        <v>438.75</v>
      </c>
      <c r="AA76" s="808">
        <f t="shared" si="34"/>
        <v>424.59677419354841</v>
      </c>
      <c r="AB76" s="808">
        <f t="shared" si="34"/>
        <v>438.75</v>
      </c>
      <c r="AC76" s="1400">
        <f t="shared" si="34"/>
        <v>424.59677419354841</v>
      </c>
      <c r="AD76" s="28"/>
      <c r="AE76" s="28"/>
      <c r="AF76" s="28"/>
    </row>
    <row r="77" spans="2:32" ht="13.5" thickBot="1" x14ac:dyDescent="0.25">
      <c r="D77" s="446"/>
      <c r="E77" s="608"/>
      <c r="F77" s="609"/>
      <c r="G77" s="609"/>
      <c r="H77" s="609"/>
      <c r="I77" s="609"/>
      <c r="J77" s="610"/>
      <c r="K77" s="610"/>
      <c r="L77" s="610"/>
      <c r="M77" s="610"/>
      <c r="N77" s="609"/>
      <c r="O77" s="609"/>
      <c r="P77" s="609"/>
      <c r="Q77" s="609"/>
      <c r="R77" s="609"/>
      <c r="S77" s="609"/>
      <c r="T77" s="609"/>
      <c r="U77" s="609"/>
      <c r="V77" s="609"/>
      <c r="W77" s="609"/>
      <c r="X77" s="609"/>
      <c r="Y77" s="609"/>
      <c r="Z77" s="609"/>
      <c r="AA77" s="609"/>
      <c r="AB77" s="609"/>
      <c r="AC77" s="1401"/>
      <c r="AD77" s="28"/>
      <c r="AE77" s="28"/>
      <c r="AF77" s="28"/>
    </row>
    <row r="79" spans="2:32" x14ac:dyDescent="0.2">
      <c r="B79" s="283"/>
      <c r="C79" s="283"/>
    </row>
    <row r="80" spans="2:32" x14ac:dyDescent="0.2">
      <c r="B80" s="283"/>
      <c r="C80" s="283"/>
      <c r="F80" s="758">
        <f t="shared" ref="F80:AC80" si="35">F2</f>
        <v>45658</v>
      </c>
      <c r="G80" s="758">
        <f t="shared" si="35"/>
        <v>45689</v>
      </c>
      <c r="H80" s="758">
        <f t="shared" si="35"/>
        <v>45717</v>
      </c>
      <c r="I80" s="758">
        <f t="shared" si="35"/>
        <v>45748</v>
      </c>
      <c r="J80" s="758">
        <f t="shared" si="35"/>
        <v>45778</v>
      </c>
      <c r="K80" s="758">
        <f t="shared" si="35"/>
        <v>45809</v>
      </c>
      <c r="L80" s="758">
        <f t="shared" si="35"/>
        <v>45839</v>
      </c>
      <c r="M80" s="758">
        <f t="shared" si="35"/>
        <v>45870</v>
      </c>
      <c r="N80" s="758">
        <f t="shared" si="35"/>
        <v>45901</v>
      </c>
      <c r="O80" s="758">
        <f t="shared" si="35"/>
        <v>45931</v>
      </c>
      <c r="P80" s="758">
        <f t="shared" si="35"/>
        <v>45962</v>
      </c>
      <c r="Q80" s="758">
        <f t="shared" si="35"/>
        <v>45992</v>
      </c>
      <c r="R80" s="758">
        <f t="shared" si="35"/>
        <v>46023</v>
      </c>
      <c r="S80" s="758">
        <f t="shared" si="35"/>
        <v>46054</v>
      </c>
      <c r="T80" s="758">
        <f t="shared" si="35"/>
        <v>46082</v>
      </c>
      <c r="U80" s="758">
        <f t="shared" si="35"/>
        <v>46113</v>
      </c>
      <c r="V80" s="758">
        <f t="shared" si="35"/>
        <v>46143</v>
      </c>
      <c r="W80" s="758">
        <f t="shared" si="35"/>
        <v>46174</v>
      </c>
      <c r="X80" s="758">
        <f t="shared" si="35"/>
        <v>46204</v>
      </c>
      <c r="Y80" s="758">
        <f t="shared" si="35"/>
        <v>46235</v>
      </c>
      <c r="Z80" s="758">
        <f t="shared" si="35"/>
        <v>46266</v>
      </c>
      <c r="AA80" s="758">
        <f t="shared" si="35"/>
        <v>46296</v>
      </c>
      <c r="AB80" s="758">
        <f t="shared" si="35"/>
        <v>46327</v>
      </c>
      <c r="AC80" s="758">
        <f t="shared" si="35"/>
        <v>46357</v>
      </c>
    </row>
    <row r="81" spans="2:34" ht="13.5" thickBot="1" x14ac:dyDescent="0.25">
      <c r="B81" s="283"/>
      <c r="C81" s="283"/>
      <c r="D81" s="56" t="s">
        <v>870</v>
      </c>
      <c r="F81" s="36">
        <v>31</v>
      </c>
      <c r="G81" s="36">
        <v>28</v>
      </c>
      <c r="H81" s="36">
        <v>31</v>
      </c>
      <c r="I81" s="36">
        <v>30</v>
      </c>
      <c r="J81" s="36">
        <v>31</v>
      </c>
      <c r="K81" s="36">
        <v>30</v>
      </c>
      <c r="L81" s="36">
        <v>31</v>
      </c>
      <c r="M81" s="36">
        <v>31</v>
      </c>
      <c r="N81" s="36">
        <v>30</v>
      </c>
      <c r="O81" s="36">
        <v>31</v>
      </c>
      <c r="P81" s="36">
        <v>30</v>
      </c>
      <c r="Q81" s="36">
        <v>31</v>
      </c>
      <c r="R81" s="36">
        <v>31</v>
      </c>
      <c r="S81" s="36">
        <v>28</v>
      </c>
      <c r="T81" s="36">
        <v>31</v>
      </c>
      <c r="U81" s="36">
        <v>30</v>
      </c>
      <c r="V81" s="36">
        <v>31</v>
      </c>
      <c r="W81" s="36">
        <v>30</v>
      </c>
      <c r="X81" s="36">
        <v>31</v>
      </c>
      <c r="Y81" s="36">
        <v>31</v>
      </c>
      <c r="Z81" s="36">
        <v>30</v>
      </c>
      <c r="AA81" s="36">
        <v>31</v>
      </c>
      <c r="AB81" s="36">
        <v>30</v>
      </c>
      <c r="AC81" s="36">
        <v>31</v>
      </c>
    </row>
    <row r="82" spans="2:34" ht="13.5" thickBot="1" x14ac:dyDescent="0.25">
      <c r="B82" s="283"/>
      <c r="C82" s="283"/>
      <c r="D82" s="810" t="s">
        <v>868</v>
      </c>
      <c r="E82" s="811" t="s">
        <v>869</v>
      </c>
      <c r="F82" s="642" t="str">
        <f t="shared" ref="F82:AC82" si="36">F22</f>
        <v>Month 1</v>
      </c>
      <c r="G82" s="642" t="str">
        <f t="shared" si="36"/>
        <v>Month 2</v>
      </c>
      <c r="H82" s="642" t="str">
        <f t="shared" si="36"/>
        <v>Month 3</v>
      </c>
      <c r="I82" s="642" t="str">
        <f t="shared" si="36"/>
        <v>Month 4</v>
      </c>
      <c r="J82" s="642" t="str">
        <f t="shared" si="36"/>
        <v>Month 5</v>
      </c>
      <c r="K82" s="642" t="str">
        <f t="shared" si="36"/>
        <v>Month 6</v>
      </c>
      <c r="L82" s="642" t="str">
        <f t="shared" si="36"/>
        <v>Month 7</v>
      </c>
      <c r="M82" s="642" t="str">
        <f t="shared" si="36"/>
        <v>Month 8</v>
      </c>
      <c r="N82" s="642" t="str">
        <f t="shared" si="36"/>
        <v>Month 9</v>
      </c>
      <c r="O82" s="642" t="str">
        <f t="shared" si="36"/>
        <v>Month 10</v>
      </c>
      <c r="P82" s="642" t="str">
        <f t="shared" si="36"/>
        <v>Month 11</v>
      </c>
      <c r="Q82" s="643" t="str">
        <f t="shared" si="36"/>
        <v>Month 12</v>
      </c>
      <c r="R82" s="644" t="str">
        <f t="shared" si="36"/>
        <v>Month 13</v>
      </c>
      <c r="S82" s="642" t="str">
        <f t="shared" si="36"/>
        <v>Month 14</v>
      </c>
      <c r="T82" s="642" t="str">
        <f t="shared" si="36"/>
        <v>Month 15</v>
      </c>
      <c r="U82" s="642" t="str">
        <f t="shared" si="36"/>
        <v>Month 16</v>
      </c>
      <c r="V82" s="642" t="str">
        <f t="shared" si="36"/>
        <v>Month 17</v>
      </c>
      <c r="W82" s="642" t="str">
        <f t="shared" si="36"/>
        <v>Month 18</v>
      </c>
      <c r="X82" s="642" t="str">
        <f t="shared" si="36"/>
        <v>Month 19</v>
      </c>
      <c r="Y82" s="642" t="str">
        <f t="shared" si="36"/>
        <v>Month 20</v>
      </c>
      <c r="Z82" s="642" t="str">
        <f t="shared" si="36"/>
        <v>Month 21</v>
      </c>
      <c r="AA82" s="642" t="str">
        <f t="shared" si="36"/>
        <v>Month 22</v>
      </c>
      <c r="AB82" s="642" t="str">
        <f t="shared" si="36"/>
        <v>Month 23</v>
      </c>
      <c r="AC82" s="643" t="str">
        <f t="shared" si="36"/>
        <v>Month 24</v>
      </c>
      <c r="AD82" s="648" t="s">
        <v>790</v>
      </c>
      <c r="AE82" s="559" t="s">
        <v>791</v>
      </c>
    </row>
    <row r="83" spans="2:34" x14ac:dyDescent="0.2">
      <c r="B83" s="283"/>
      <c r="C83" s="283"/>
      <c r="D83" s="127" t="str">
        <f>D73</f>
        <v>Lambs - Creep</v>
      </c>
      <c r="E83" s="812">
        <f>Input!$F$238</f>
        <v>50</v>
      </c>
      <c r="F83" s="640">
        <f>IF(F73&gt;0,F73*(F81*Input!$E$254),0)</f>
        <v>1877.8746450635485</v>
      </c>
      <c r="G83" s="640">
        <f>IF(G73&gt;0,G73*(G81*Input!$E$254),0)</f>
        <v>1877.8746450635485</v>
      </c>
      <c r="H83" s="640">
        <f>IF(H73&gt;0,H73*(H81*Input!$E$254),0)</f>
        <v>1877.8746450635485</v>
      </c>
      <c r="I83" s="640">
        <f>IF(I73&gt;0,I73*(I81*Input!$E$254),0)</f>
        <v>1877.8746450635483</v>
      </c>
      <c r="J83" s="640">
        <f>IF(J73&gt;0,J73*(J81*Input!$E$254),0)</f>
        <v>1877.8746450635485</v>
      </c>
      <c r="K83" s="640">
        <f>IF(K73&gt;0,K73*(K81*Input!$E$254),0)</f>
        <v>1877.8746450635483</v>
      </c>
      <c r="L83" s="640">
        <f>IF(L73&gt;0,L73*(L81*Input!$E$254),0)</f>
        <v>1877.8746450635485</v>
      </c>
      <c r="M83" s="640">
        <f>IF(M73&gt;0,M73*(M81*Input!$E$254),0)</f>
        <v>1877.8746450635485</v>
      </c>
      <c r="N83" s="640">
        <f>IF(N73&gt;0,N73*(N81*Input!$E$254),0)</f>
        <v>1877.8746450635483</v>
      </c>
      <c r="O83" s="640">
        <f>IF(O73&gt;0,O73*(O81*Input!$E$254),0)</f>
        <v>1877.8746450635485</v>
      </c>
      <c r="P83" s="640">
        <f>IF(P73&gt;0,P73*(P81*Input!$E$254),0)</f>
        <v>1877.8746450635483</v>
      </c>
      <c r="Q83" s="641">
        <f>IF(Q73&gt;0,Q73*(Q81*Input!$E$254),0)</f>
        <v>1877.8746450635485</v>
      </c>
      <c r="R83" s="645">
        <f>IF(R73&gt;0,R73*(R81*Input!$F$254),0)</f>
        <v>1877.8746450635485</v>
      </c>
      <c r="S83" s="640">
        <f>IF(S73&gt;0,S73*(S70*Input!$F$254),0)</f>
        <v>1877.8746450635485</v>
      </c>
      <c r="T83" s="640">
        <f>IF(T73&gt;0,T73*(T70*Input!$F$254),0)</f>
        <v>1877.8746450635485</v>
      </c>
      <c r="U83" s="640">
        <f>IF(U73&gt;0,U73*(U70*Input!$F$254),0)</f>
        <v>1877.8746450635483</v>
      </c>
      <c r="V83" s="640">
        <f>IF(V73&gt;0,V73*(V70*Input!$F$254),0)</f>
        <v>1877.8746450635485</v>
      </c>
      <c r="W83" s="640">
        <f>IF(W73&gt;0,W73*(W70*Input!$F$254),0)</f>
        <v>1877.8746450635483</v>
      </c>
      <c r="X83" s="640">
        <f>IF(X73&gt;0,X73*(X70*Input!$F$254),0)</f>
        <v>1877.8746450635485</v>
      </c>
      <c r="Y83" s="640">
        <f>IF(Y73&gt;0,Y73*(Y70*Input!$F$254),0)</f>
        <v>1877.8746450635485</v>
      </c>
      <c r="Z83" s="640">
        <f>IF(Z73&gt;0,Z73*(Z70*Input!$F$254),0)</f>
        <v>1877.8746450635483</v>
      </c>
      <c r="AA83" s="640">
        <f>IF(AA73&gt;0,AA73*(AA70*Input!$F$254),0)</f>
        <v>1877.8746450635485</v>
      </c>
      <c r="AB83" s="640">
        <f>IF(AB73&gt;0,AB73*(AB70*Input!$F$254),0)</f>
        <v>1877.8746450635483</v>
      </c>
      <c r="AC83" s="641">
        <f>IF(AC73&gt;0,AC73*(AC70*Input!$F$254),0)</f>
        <v>1877.8746450635485</v>
      </c>
      <c r="AD83" s="306">
        <f>SUM(F83:Q83)</f>
        <v>22534.495740762581</v>
      </c>
      <c r="AE83" s="813">
        <f>SUM(R83:AC83)</f>
        <v>22534.495740762581</v>
      </c>
      <c r="AF83" s="61"/>
    </row>
    <row r="84" spans="2:34" x14ac:dyDescent="0.2">
      <c r="B84" s="283"/>
      <c r="C84" s="283"/>
      <c r="D84" s="118" t="str">
        <f>D74</f>
        <v>Lambs - Weaning</v>
      </c>
      <c r="E84" s="814">
        <f>Input!$F$258</f>
        <v>35</v>
      </c>
      <c r="F84" s="62">
        <f>IF(F74&gt;0,F74*(F81*Input!$E$274),0)</f>
        <v>546.34415454817622</v>
      </c>
      <c r="G84" s="62">
        <f>IF(G74&gt;0,G74*(G81*Input!$E$274),0)</f>
        <v>546.34415454817611</v>
      </c>
      <c r="H84" s="62">
        <f>IF(H74&gt;0,H74*(H81*Input!$E$274),0)</f>
        <v>546.34415454817622</v>
      </c>
      <c r="I84" s="62">
        <f>IF(I74&gt;0,I74*(I81*Input!$E$274),0)</f>
        <v>546.34415454817611</v>
      </c>
      <c r="J84" s="62">
        <f>IF(J74&gt;0,J74*(J81*Input!$E$274),0)</f>
        <v>546.34415454817622</v>
      </c>
      <c r="K84" s="62">
        <f>IF(K74&gt;0,K74*(K81*Input!$E$274),0)</f>
        <v>546.34415454817611</v>
      </c>
      <c r="L84" s="62">
        <f>IF(L74&gt;0,L74*(L81*Input!$E$274),0)</f>
        <v>546.34415454817622</v>
      </c>
      <c r="M84" s="62">
        <f>IF(M74&gt;0,M74*(M81*Input!$E$274),0)</f>
        <v>546.34415454817622</v>
      </c>
      <c r="N84" s="62">
        <f>IF(N74&gt;0,N74*(N81*Input!$E$274),0)</f>
        <v>546.34415454817611</v>
      </c>
      <c r="O84" s="62">
        <f>IF(O74&gt;0,O74*(O81*Input!$E$274),0)</f>
        <v>546.34415454817622</v>
      </c>
      <c r="P84" s="62">
        <f>IF(P74&gt;0,P74*(P81*Input!$E$274),0)</f>
        <v>546.34415454817611</v>
      </c>
      <c r="Q84" s="636">
        <f>IF(Q74&gt;0,Q74*(Q81*Input!$E$274),0)</f>
        <v>546.34415454817622</v>
      </c>
      <c r="R84" s="646">
        <f>IF(R74&gt;0,R74*(R81*Input!$F$274),0)</f>
        <v>546.34415454817622</v>
      </c>
      <c r="S84" s="565">
        <f>IF(S74&gt;0,S74*(S70*Input!$F$274),0)</f>
        <v>546.34415454817611</v>
      </c>
      <c r="T84" s="565">
        <f>IF(T74&gt;0,T74*(T70*Input!$F$274),0)</f>
        <v>546.34415454817622</v>
      </c>
      <c r="U84" s="565">
        <f>IF(U74&gt;0,U74*(U70*Input!$F$274),0)</f>
        <v>546.34415454817611</v>
      </c>
      <c r="V84" s="565">
        <f>IF(V74&gt;0,V74*(V70*Input!$F$274),0)</f>
        <v>546.34415454817622</v>
      </c>
      <c r="W84" s="565">
        <f>IF(W74&gt;0,W74*(W70*Input!$F$274),0)</f>
        <v>546.34415454817611</v>
      </c>
      <c r="X84" s="565">
        <f>IF(X74&gt;0,X74*(X70*Input!$F$274),0)</f>
        <v>546.34415454817622</v>
      </c>
      <c r="Y84" s="565">
        <f>IF(Y74&gt;0,Y74*(Y70*Input!$F$274),0)</f>
        <v>546.34415454817622</v>
      </c>
      <c r="Z84" s="565">
        <f>IF(Z74&gt;0,Z74*(Z70*Input!$F$274),0)</f>
        <v>546.34415454817611</v>
      </c>
      <c r="AA84" s="565">
        <f>IF(AA74&gt;0,AA74*(AA70*Input!$F$274),0)</f>
        <v>546.34415454817622</v>
      </c>
      <c r="AB84" s="565">
        <f>IF(AB74&gt;0,AB74*(AB70*Input!$F$274),0)</f>
        <v>546.34415454817611</v>
      </c>
      <c r="AC84" s="613">
        <f>IF(AC74&gt;0,AC74*(AC70*Input!$F$274),0)</f>
        <v>546.34415454817622</v>
      </c>
      <c r="AD84" s="306">
        <f>SUM(F84:Q84)</f>
        <v>6556.1298545781156</v>
      </c>
      <c r="AE84" s="813">
        <f>SUM(R84:AC84)</f>
        <v>6556.1298545781156</v>
      </c>
      <c r="AF84" s="61"/>
    </row>
    <row r="85" spans="2:34" ht="13.5" thickBot="1" x14ac:dyDescent="0.25">
      <c r="B85" s="283"/>
      <c r="C85" s="283"/>
      <c r="D85" s="118" t="str">
        <f>D75</f>
        <v>Lambs - Feeder</v>
      </c>
      <c r="E85" s="814">
        <f>Input!$F$278</f>
        <v>70</v>
      </c>
      <c r="F85" s="62">
        <f>IF(F75&gt;0,F75*(F81*Input!$E$294),0)</f>
        <v>1962.3381807295593</v>
      </c>
      <c r="G85" s="62">
        <f>IF(G75&gt;0,G75*(G81*Input!$E$294),0)</f>
        <v>1962.3381807295589</v>
      </c>
      <c r="H85" s="62">
        <f>IF(H75&gt;0,H75*(H81*Input!$E$294),0)</f>
        <v>1962.3381807295593</v>
      </c>
      <c r="I85" s="62">
        <f>IF(I75&gt;0,I75*(I81*Input!$E$294),0)</f>
        <v>1962.3381807295589</v>
      </c>
      <c r="J85" s="62">
        <f>IF(J75&gt;0,J75*(J81*Input!$E$294),0)</f>
        <v>1962.3381807295593</v>
      </c>
      <c r="K85" s="62">
        <f>IF(K75&gt;0,K75*(K81*Input!$E$294),0)</f>
        <v>1962.3381807295589</v>
      </c>
      <c r="L85" s="62">
        <f>IF(L75&gt;0,L75*(L81*Input!$E$294),0)</f>
        <v>1962.3381807295593</v>
      </c>
      <c r="M85" s="62">
        <f>IF(M75&gt;0,M75*(M81*Input!$E$294),0)</f>
        <v>1962.3381807295593</v>
      </c>
      <c r="N85" s="62">
        <f>IF(N75&gt;0,N75*(N81*Input!$E$294),0)</f>
        <v>1962.3381807295589</v>
      </c>
      <c r="O85" s="62">
        <f>IF(O75&gt;0,O75*(O81*Input!$E$294),0)</f>
        <v>1962.3381807295593</v>
      </c>
      <c r="P85" s="62">
        <f>IF(P75&gt;0,P75*(P81*Input!$E$294),0)</f>
        <v>1962.3381807295589</v>
      </c>
      <c r="Q85" s="636">
        <f>IF(Q75&gt;0,Q75*(Q81*Input!$E$294),0)</f>
        <v>1962.3381807295593</v>
      </c>
      <c r="R85" s="646">
        <f>IF(R75&gt;0,R75*(R81*Input!$F$294),0)</f>
        <v>1962.3381807295593</v>
      </c>
      <c r="S85" s="565">
        <f>IF(S75&gt;0,S75*(S70*Input!$F$294),0)</f>
        <v>1962.3381807295589</v>
      </c>
      <c r="T85" s="565">
        <f>IF(T75&gt;0,T75*(T70*Input!$F$294),0)</f>
        <v>1962.3381807295593</v>
      </c>
      <c r="U85" s="565">
        <f>IF(U75&gt;0,U75*(U70*Input!$F$294),0)</f>
        <v>1962.3381807295589</v>
      </c>
      <c r="V85" s="565">
        <f>IF(V75&gt;0,V75*(V70*Input!$F$294),0)</f>
        <v>1962.3381807295593</v>
      </c>
      <c r="W85" s="565">
        <f>IF(W75&gt;0,W75*(W70*Input!$F$294),0)</f>
        <v>1962.3381807295589</v>
      </c>
      <c r="X85" s="565">
        <f>IF(X75&gt;0,X75*(X70*Input!$F$294),0)</f>
        <v>1962.3381807295593</v>
      </c>
      <c r="Y85" s="565">
        <f>IF(Y75&gt;0,Y75*(Y70*Input!$F$294),0)</f>
        <v>1962.3381807295593</v>
      </c>
      <c r="Z85" s="565">
        <f>IF(Z75&gt;0,Z75*(Z70*Input!$F$294),0)</f>
        <v>1962.3381807295589</v>
      </c>
      <c r="AA85" s="565">
        <f>IF(AA75&gt;0,AA75*(AA70*Input!$F$294),0)</f>
        <v>1962.3381807295593</v>
      </c>
      <c r="AB85" s="565">
        <f>IF(AB75&gt;0,AB75*(AB70*Input!$F$294),0)</f>
        <v>1962.3381807295589</v>
      </c>
      <c r="AC85" s="613">
        <f>IF(AC75&gt;0,AC75*(AC70*Input!$F$294),0)</f>
        <v>1962.3381807295593</v>
      </c>
      <c r="AD85" s="306">
        <f>SUM(F85:Q85)</f>
        <v>23548.058168754709</v>
      </c>
      <c r="AE85" s="813">
        <f>SUM(R85:AC85)</f>
        <v>23548.058168754709</v>
      </c>
      <c r="AF85" s="61"/>
    </row>
    <row r="86" spans="2:34" ht="13.5" thickBot="1" x14ac:dyDescent="0.25">
      <c r="B86" s="283"/>
      <c r="C86" s="283"/>
      <c r="D86" s="1396" t="s">
        <v>871</v>
      </c>
      <c r="E86" s="1397">
        <f>SUM(E83:E85)</f>
        <v>155</v>
      </c>
      <c r="F86" s="599">
        <f t="shared" ref="F86:AE86" si="37">SUM(F83:F85)</f>
        <v>4386.5569803412836</v>
      </c>
      <c r="G86" s="599">
        <f t="shared" si="37"/>
        <v>4386.5569803412836</v>
      </c>
      <c r="H86" s="599">
        <f t="shared" si="37"/>
        <v>4386.5569803412836</v>
      </c>
      <c r="I86" s="599">
        <f t="shared" si="37"/>
        <v>4386.5569803412836</v>
      </c>
      <c r="J86" s="599">
        <f t="shared" si="37"/>
        <v>4386.5569803412836</v>
      </c>
      <c r="K86" s="599">
        <f t="shared" si="37"/>
        <v>4386.5569803412836</v>
      </c>
      <c r="L86" s="599">
        <f t="shared" si="37"/>
        <v>4386.5569803412836</v>
      </c>
      <c r="M86" s="599">
        <f t="shared" si="37"/>
        <v>4386.5569803412836</v>
      </c>
      <c r="N86" s="599">
        <f t="shared" si="37"/>
        <v>4386.5569803412836</v>
      </c>
      <c r="O86" s="599">
        <f t="shared" si="37"/>
        <v>4386.5569803412836</v>
      </c>
      <c r="P86" s="599">
        <f t="shared" si="37"/>
        <v>4386.5569803412836</v>
      </c>
      <c r="Q86" s="615">
        <f t="shared" si="37"/>
        <v>4386.5569803412836</v>
      </c>
      <c r="R86" s="647">
        <f t="shared" si="37"/>
        <v>4386.5569803412836</v>
      </c>
      <c r="S86" s="599">
        <f t="shared" si="37"/>
        <v>4386.5569803412836</v>
      </c>
      <c r="T86" s="599">
        <f t="shared" si="37"/>
        <v>4386.5569803412836</v>
      </c>
      <c r="U86" s="599">
        <f t="shared" si="37"/>
        <v>4386.5569803412836</v>
      </c>
      <c r="V86" s="599">
        <f t="shared" si="37"/>
        <v>4386.5569803412836</v>
      </c>
      <c r="W86" s="599">
        <f t="shared" si="37"/>
        <v>4386.5569803412836</v>
      </c>
      <c r="X86" s="599">
        <f t="shared" si="37"/>
        <v>4386.5569803412836</v>
      </c>
      <c r="Y86" s="599">
        <f t="shared" si="37"/>
        <v>4386.5569803412836</v>
      </c>
      <c r="Z86" s="599">
        <f t="shared" si="37"/>
        <v>4386.5569803412836</v>
      </c>
      <c r="AA86" s="599">
        <f t="shared" si="37"/>
        <v>4386.5569803412836</v>
      </c>
      <c r="AB86" s="599">
        <f t="shared" si="37"/>
        <v>4386.5569803412836</v>
      </c>
      <c r="AC86" s="615">
        <f t="shared" si="37"/>
        <v>4386.5569803412836</v>
      </c>
      <c r="AD86" s="649">
        <f t="shared" si="37"/>
        <v>52638.683764095404</v>
      </c>
      <c r="AE86" s="614">
        <f t="shared" si="37"/>
        <v>52638.683764095404</v>
      </c>
      <c r="AF86" s="61"/>
    </row>
    <row r="87" spans="2:34" x14ac:dyDescent="0.2">
      <c r="C87" s="664"/>
      <c r="D87" s="1044" t="s">
        <v>937</v>
      </c>
      <c r="F87" s="1119">
        <f>(Input!$E$24/Input!$E$239)*F83+(Input!$E$24/Input!$E$259)*F84+(Input!$E$24/Input!$E$279)*F85</f>
        <v>308.88996743202915</v>
      </c>
      <c r="G87" s="1119">
        <f>(Input!$E$24/Input!$E$239)*G83+(Input!$E$24/Input!$E$259)*G84+(Input!$E$24/Input!$E$279)*G85</f>
        <v>308.8899674320291</v>
      </c>
      <c r="H87" s="1119">
        <f>(Input!$E$24/Input!$E$239)*H83+(Input!$E$24/Input!$E$259)*H84+(Input!$E$24/Input!$E$279)*H85</f>
        <v>308.88996743202915</v>
      </c>
      <c r="I87" s="1119">
        <f>(Input!$E$24/Input!$E$239)*I83+(Input!$E$24/Input!$E$259)*I84+(Input!$E$24/Input!$E$279)*I85</f>
        <v>308.8899674320291</v>
      </c>
      <c r="J87" s="1119">
        <f>(Input!$E$24/Input!$E$239)*J83+(Input!$E$24/Input!$E$259)*J84+(Input!$E$24/Input!$E$279)*J85</f>
        <v>308.88996743202915</v>
      </c>
      <c r="K87" s="1119">
        <f>(Input!$E$24/Input!$E$239)*K83+(Input!$E$24/Input!$E$259)*K84+(Input!$E$24/Input!$E$279)*K85</f>
        <v>308.8899674320291</v>
      </c>
      <c r="L87" s="1119">
        <f>(Input!$E$24/Input!$E$239)*L83+(Input!$E$24/Input!$E$259)*L84+(Input!$E$24/Input!$E$279)*L85</f>
        <v>308.88996743202915</v>
      </c>
      <c r="M87" s="1119">
        <f>(Input!$E$24/Input!$E$239)*M83+(Input!$E$24/Input!$E$259)*M84+(Input!$E$24/Input!$E$279)*M85</f>
        <v>308.88996743202915</v>
      </c>
      <c r="N87" s="1119">
        <f>(Input!$E$24/Input!$E$239)*N83+(Input!$E$24/Input!$E$259)*N84+(Input!$E$24/Input!$E$279)*N85</f>
        <v>308.8899674320291</v>
      </c>
      <c r="O87" s="1119">
        <f>(Input!$E$24/Input!$E$239)*O83+(Input!$E$24/Input!$E$259)*O84+(Input!$E$24/Input!$E$279)*O85</f>
        <v>308.88996743202915</v>
      </c>
      <c r="P87" s="1119">
        <f>(Input!$E$24/Input!$E$239)*P83+(Input!$E$24/Input!$E$259)*P84+(Input!$E$24/Input!$E$279)*P85</f>
        <v>308.8899674320291</v>
      </c>
      <c r="Q87" s="1119">
        <f>(Input!$E$24/Input!$E$239)*Q83+(Input!$E$24/Input!$E$259)*Q84+(Input!$E$24/Input!$E$279)*Q85</f>
        <v>308.88996743202915</v>
      </c>
      <c r="R87" s="1119">
        <f>(Input!$F$24/Input!$F$239)*R83+(Input!$F$24/Input!$F$259)*R84+(Input!$F$24/Input!$F$279)*R85</f>
        <v>308.88996743202915</v>
      </c>
      <c r="S87" s="1119">
        <f>(Input!$F$24/Input!$F$239)*S83+(Input!$F$24/Input!$F$259)*S84+(Input!$F$24/Input!$F$279)*S85</f>
        <v>308.8899674320291</v>
      </c>
      <c r="T87" s="1119">
        <f>(Input!$F$24/Input!$F$239)*T83+(Input!$F$24/Input!$F$259)*T84+(Input!$F$24/Input!$F$279)*T85</f>
        <v>308.88996743202915</v>
      </c>
      <c r="U87" s="1119">
        <f>(Input!$F$24/Input!$F$239)*U83+(Input!$F$24/Input!$F$259)*U84+(Input!$F$24/Input!$F$279)*U85</f>
        <v>308.8899674320291</v>
      </c>
      <c r="V87" s="1119">
        <f>(Input!$F$24/Input!$F$239)*V83+(Input!$F$24/Input!$F$259)*V84+(Input!$F$24/Input!$F$279)*V85</f>
        <v>308.88996743202915</v>
      </c>
      <c r="W87" s="1119">
        <f>(Input!$F$24/Input!$F$239)*W83+(Input!$F$24/Input!$F$259)*W84+(Input!$F$24/Input!$F$279)*W85</f>
        <v>308.8899674320291</v>
      </c>
      <c r="X87" s="1119">
        <f>(Input!$F$24/Input!$F$239)*X83+(Input!$F$24/Input!$F$259)*X84+(Input!$F$24/Input!$F$279)*X85</f>
        <v>308.88996743202915</v>
      </c>
      <c r="Y87" s="1119">
        <f>(Input!$F$24/Input!$F$239)*Y83+(Input!$F$24/Input!$F$259)*Y84+(Input!$F$24/Input!$F$279)*Y85</f>
        <v>308.88996743202915</v>
      </c>
      <c r="Z87" s="1119">
        <f>(Input!$F$24/Input!$F$239)*Z83+(Input!$F$24/Input!$F$259)*Z84+(Input!$F$24/Input!$F$279)*Z85</f>
        <v>308.8899674320291</v>
      </c>
      <c r="AA87" s="1119">
        <f>(Input!$F$24/Input!$F$239)*AA83+(Input!$F$24/Input!$F$259)*AA84+(Input!$F$24/Input!$F$279)*AA85</f>
        <v>308.88996743202915</v>
      </c>
      <c r="AB87" s="1119">
        <f>(Input!$F$24/Input!$F$239)*AB83+(Input!$F$24/Input!$F$259)*AB84+(Input!$F$24/Input!$F$279)*AB85</f>
        <v>308.8899674320291</v>
      </c>
      <c r="AC87" s="1119">
        <f>(Input!$F$24/Input!$F$239)*AC83+(Input!$F$24/Input!$F$259)*AC84+(Input!$F$24/Input!$F$279)*AC85</f>
        <v>308.88996743202915</v>
      </c>
      <c r="AD87" s="757">
        <f>Sensitivity!$AD$74</f>
        <v>923</v>
      </c>
      <c r="AE87" s="503" t="s">
        <v>714</v>
      </c>
      <c r="AF87" s="34"/>
    </row>
    <row r="88" spans="2:34" x14ac:dyDescent="0.2">
      <c r="C88" s="664"/>
      <c r="F88" s="73"/>
      <c r="G88" s="73"/>
      <c r="H88" s="73"/>
      <c r="I88" s="73"/>
      <c r="J88" s="73"/>
      <c r="K88" s="73"/>
      <c r="L88" s="73"/>
      <c r="M88" s="73"/>
      <c r="N88" s="73"/>
      <c r="O88" s="73"/>
      <c r="P88" s="73"/>
      <c r="Q88" s="1130">
        <f>SUM(F87:Q87)</f>
        <v>3706.6796091843498</v>
      </c>
      <c r="AC88" s="503"/>
      <c r="AD88" s="833">
        <f>AD86/AD87</f>
        <v>57.029993243873676</v>
      </c>
      <c r="AE88" s="503" t="s">
        <v>902</v>
      </c>
    </row>
    <row r="89" spans="2:34" x14ac:dyDescent="0.2">
      <c r="B89" s="28"/>
      <c r="C89" s="884"/>
      <c r="D89" s="81" t="s">
        <v>872</v>
      </c>
      <c r="E89" s="28"/>
      <c r="F89" s="28"/>
      <c r="G89" s="28"/>
      <c r="H89" s="28"/>
      <c r="I89" s="28"/>
      <c r="J89" s="28"/>
      <c r="K89" s="523"/>
      <c r="L89" s="523"/>
      <c r="M89" s="523"/>
      <c r="N89" s="523"/>
      <c r="O89" s="523"/>
      <c r="P89" s="523"/>
      <c r="Q89" s="523"/>
      <c r="R89" s="523"/>
      <c r="S89" s="523"/>
      <c r="T89" s="523"/>
      <c r="U89" s="523"/>
      <c r="V89" s="523"/>
      <c r="W89" s="523"/>
      <c r="X89" s="523"/>
      <c r="Y89" s="523"/>
      <c r="Z89" s="523"/>
      <c r="AA89" s="523"/>
      <c r="AB89" s="523"/>
      <c r="AC89" s="523"/>
      <c r="AD89" s="28"/>
      <c r="AE89" s="28"/>
      <c r="AF89" s="28"/>
      <c r="AG89" s="28"/>
      <c r="AH89" s="28"/>
    </row>
    <row r="90" spans="2:34" ht="13.5" thickBot="1" x14ac:dyDescent="0.25">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row>
    <row r="91" spans="2:34" ht="13.5" thickBot="1" x14ac:dyDescent="0.25">
      <c r="B91" s="28"/>
      <c r="C91" s="28"/>
      <c r="D91" s="215"/>
      <c r="E91" s="63"/>
      <c r="F91" s="885">
        <f t="shared" ref="F91:AC91" si="38">F21</f>
        <v>45658</v>
      </c>
      <c r="G91" s="885">
        <f t="shared" si="38"/>
        <v>45689</v>
      </c>
      <c r="H91" s="885">
        <f t="shared" si="38"/>
        <v>45717</v>
      </c>
      <c r="I91" s="885">
        <f t="shared" si="38"/>
        <v>45748</v>
      </c>
      <c r="J91" s="885">
        <f t="shared" si="38"/>
        <v>45778</v>
      </c>
      <c r="K91" s="885">
        <f t="shared" si="38"/>
        <v>45809</v>
      </c>
      <c r="L91" s="885">
        <f t="shared" si="38"/>
        <v>45839</v>
      </c>
      <c r="M91" s="885">
        <f t="shared" si="38"/>
        <v>45870</v>
      </c>
      <c r="N91" s="885">
        <f t="shared" si="38"/>
        <v>45901</v>
      </c>
      <c r="O91" s="885">
        <f t="shared" si="38"/>
        <v>45931</v>
      </c>
      <c r="P91" s="885">
        <f t="shared" si="38"/>
        <v>45962</v>
      </c>
      <c r="Q91" s="885">
        <f t="shared" si="38"/>
        <v>45992</v>
      </c>
      <c r="R91" s="885">
        <f t="shared" si="38"/>
        <v>46023</v>
      </c>
      <c r="S91" s="885">
        <f t="shared" si="38"/>
        <v>46054</v>
      </c>
      <c r="T91" s="885">
        <f t="shared" si="38"/>
        <v>46082</v>
      </c>
      <c r="U91" s="885">
        <f t="shared" si="38"/>
        <v>46113</v>
      </c>
      <c r="V91" s="885">
        <f t="shared" si="38"/>
        <v>46143</v>
      </c>
      <c r="W91" s="885">
        <f t="shared" si="38"/>
        <v>46174</v>
      </c>
      <c r="X91" s="885">
        <f t="shared" si="38"/>
        <v>46204</v>
      </c>
      <c r="Y91" s="885">
        <f t="shared" si="38"/>
        <v>46235</v>
      </c>
      <c r="Z91" s="885">
        <f t="shared" si="38"/>
        <v>46266</v>
      </c>
      <c r="AA91" s="885">
        <f t="shared" si="38"/>
        <v>46296</v>
      </c>
      <c r="AB91" s="885">
        <f t="shared" si="38"/>
        <v>46327</v>
      </c>
      <c r="AC91" s="886">
        <f t="shared" si="38"/>
        <v>46357</v>
      </c>
      <c r="AD91" s="81" t="s">
        <v>828</v>
      </c>
      <c r="AE91" s="28"/>
      <c r="AF91" s="522"/>
      <c r="AG91" s="28"/>
      <c r="AH91" s="28"/>
    </row>
    <row r="92" spans="2:34" ht="13.5" thickBot="1" x14ac:dyDescent="0.25">
      <c r="B92" s="28"/>
      <c r="C92" s="28"/>
      <c r="D92" s="115" t="s">
        <v>821</v>
      </c>
      <c r="E92" s="79"/>
      <c r="F92" s="60" t="s">
        <v>744</v>
      </c>
      <c r="G92" s="60" t="s">
        <v>745</v>
      </c>
      <c r="H92" s="60" t="s">
        <v>746</v>
      </c>
      <c r="I92" s="60" t="s">
        <v>747</v>
      </c>
      <c r="J92" s="60" t="s">
        <v>748</v>
      </c>
      <c r="K92" s="60" t="s">
        <v>749</v>
      </c>
      <c r="L92" s="60" t="s">
        <v>750</v>
      </c>
      <c r="M92" s="60" t="s">
        <v>751</v>
      </c>
      <c r="N92" s="60" t="s">
        <v>752</v>
      </c>
      <c r="O92" s="60" t="s">
        <v>753</v>
      </c>
      <c r="P92" s="60" t="s">
        <v>754</v>
      </c>
      <c r="Q92" s="60" t="s">
        <v>755</v>
      </c>
      <c r="R92" s="60" t="s">
        <v>756</v>
      </c>
      <c r="S92" s="60" t="s">
        <v>757</v>
      </c>
      <c r="T92" s="60" t="s">
        <v>758</v>
      </c>
      <c r="U92" s="60" t="s">
        <v>759</v>
      </c>
      <c r="V92" s="60" t="s">
        <v>760</v>
      </c>
      <c r="W92" s="60" t="s">
        <v>761</v>
      </c>
      <c r="X92" s="60" t="s">
        <v>762</v>
      </c>
      <c r="Y92" s="60" t="s">
        <v>763</v>
      </c>
      <c r="Z92" s="60" t="s">
        <v>764</v>
      </c>
      <c r="AA92" s="60" t="s">
        <v>765</v>
      </c>
      <c r="AB92" s="60" t="s">
        <v>766</v>
      </c>
      <c r="AC92" s="60" t="s">
        <v>767</v>
      </c>
      <c r="AD92" s="558" t="s">
        <v>790</v>
      </c>
      <c r="AE92" s="559" t="s">
        <v>791</v>
      </c>
      <c r="AF92" s="522"/>
      <c r="AG92" s="28"/>
      <c r="AH92" s="28"/>
    </row>
    <row r="93" spans="2:34" x14ac:dyDescent="0.2">
      <c r="B93" s="28"/>
      <c r="C93" s="28"/>
      <c r="D93" s="215" t="s">
        <v>822</v>
      </c>
      <c r="E93" s="63"/>
      <c r="F93" s="815">
        <f>IF(Input!$E$53&gt;0,Input!$E$53,0)</f>
        <v>2.6</v>
      </c>
      <c r="G93" s="815">
        <f>IF(Input!$E$53&gt;0,Input!$E$53,0)</f>
        <v>2.6</v>
      </c>
      <c r="H93" s="815">
        <f>IF(Input!$E$53&gt;0,Input!$E$53,0)</f>
        <v>2.6</v>
      </c>
      <c r="I93" s="815">
        <f>IF(Input!$E$53&gt;0,Input!$E$53,0)</f>
        <v>2.6</v>
      </c>
      <c r="J93" s="815">
        <f>IF(Input!$E$53&gt;0,Input!$E$53,0)</f>
        <v>2.6</v>
      </c>
      <c r="K93" s="815">
        <f>IF(Input!$E$53&gt;0,Input!$E$53,0)</f>
        <v>2.6</v>
      </c>
      <c r="L93" s="815">
        <f>IF(Input!$E$53&gt;0,Input!$E$53,0)</f>
        <v>2.6</v>
      </c>
      <c r="M93" s="815">
        <f>IF(Input!$E$53&gt;0,Input!$E$53,0)</f>
        <v>2.6</v>
      </c>
      <c r="N93" s="815">
        <f>IF(Input!$E$53&gt;0,Input!$E$53,0)</f>
        <v>2.6</v>
      </c>
      <c r="O93" s="815">
        <f>IF(Input!$E$53&gt;0,Input!$E$53,0)</f>
        <v>2.6</v>
      </c>
      <c r="P93" s="815">
        <f>IF(Input!$E$53&gt;0,Input!$E$53,0)</f>
        <v>2.6</v>
      </c>
      <c r="Q93" s="815">
        <f>IF(Input!$E$53&gt;0,Input!$E$53,0)</f>
        <v>2.6</v>
      </c>
      <c r="R93" s="815">
        <f>IF(Input!$F$53&gt;0,Input!$F$53,0)</f>
        <v>2.6</v>
      </c>
      <c r="S93" s="815">
        <f>IF(Input!$F$53&gt;0,Input!$F$53,0)</f>
        <v>2.6</v>
      </c>
      <c r="T93" s="815">
        <f>IF(Input!$F$53&gt;0,Input!$F$53,0)</f>
        <v>2.6</v>
      </c>
      <c r="U93" s="815">
        <f>IF(Input!$F$53&gt;0,Input!$F$53,0)</f>
        <v>2.6</v>
      </c>
      <c r="V93" s="815">
        <f>IF(Input!$F$53&gt;0,Input!$F$53,0)</f>
        <v>2.6</v>
      </c>
      <c r="W93" s="815">
        <f>IF(Input!$F$53&gt;0,Input!$F$53,0)</f>
        <v>2.6</v>
      </c>
      <c r="X93" s="815">
        <f>IF(Input!$F$53&gt;0,Input!$F$53,0)</f>
        <v>2.6</v>
      </c>
      <c r="Y93" s="815">
        <f>IF(Input!$F$53&gt;0,Input!$F$53,0)</f>
        <v>2.6</v>
      </c>
      <c r="Z93" s="815">
        <f>IF(Input!$F$53&gt;0,Input!$F$53,0)</f>
        <v>2.6</v>
      </c>
      <c r="AA93" s="815">
        <f>IF(Input!$F$53&gt;0,Input!$F$53,0)</f>
        <v>2.6</v>
      </c>
      <c r="AB93" s="815">
        <f>IF(Input!$F$53&gt;0,Input!$F$53,0)</f>
        <v>2.6</v>
      </c>
      <c r="AC93" s="815">
        <f>IF(Input!$F$53&gt;0,Input!$F$53,0)</f>
        <v>2.6</v>
      </c>
      <c r="AD93" s="562">
        <f t="shared" ref="AD93:AD98" si="39">AVERAGE(F93:Q93)</f>
        <v>2.6000000000000005</v>
      </c>
      <c r="AE93" s="563">
        <f t="shared" ref="AE93:AE98" si="40">AVERAGE(R93:AC93)</f>
        <v>2.6000000000000005</v>
      </c>
      <c r="AF93" s="522" t="s">
        <v>822</v>
      </c>
      <c r="AG93" s="28"/>
      <c r="AH93" s="28"/>
    </row>
    <row r="94" spans="2:34" x14ac:dyDescent="0.2">
      <c r="B94" s="28"/>
      <c r="C94" s="28"/>
      <c r="D94" s="161" t="s">
        <v>825</v>
      </c>
      <c r="E94" s="28"/>
      <c r="F94" s="816">
        <f>IF(Input!$E$51&gt;0,Input!$E$51,0)</f>
        <v>0</v>
      </c>
      <c r="G94" s="816">
        <f>IF(Input!$E$51&gt;0,Input!$E$51,0)</f>
        <v>0</v>
      </c>
      <c r="H94" s="816">
        <f>IF(Input!$E$51&gt;0,Input!$E$51,0)</f>
        <v>0</v>
      </c>
      <c r="I94" s="816">
        <f>IF(Input!$E$51&gt;0,Input!$E$51,0)</f>
        <v>0</v>
      </c>
      <c r="J94" s="816">
        <f>IF(Input!$E$51&gt;0,Input!$E$51,0)</f>
        <v>0</v>
      </c>
      <c r="K94" s="816">
        <f>IF(Input!$E$51&gt;0,Input!$E$51,0)</f>
        <v>0</v>
      </c>
      <c r="L94" s="816">
        <f>IF(Input!$E$51&gt;0,Input!$E$51,0)</f>
        <v>0</v>
      </c>
      <c r="M94" s="816">
        <f>IF(Input!$E$51&gt;0,Input!$E$51,0)</f>
        <v>0</v>
      </c>
      <c r="N94" s="816">
        <f>IF(Input!$E$51&gt;0,Input!$E$51,0)</f>
        <v>0</v>
      </c>
      <c r="O94" s="816">
        <f>IF(Input!$E$51&gt;0,Input!$E$51,0)</f>
        <v>0</v>
      </c>
      <c r="P94" s="816">
        <f>IF(Input!$E$51&gt;0,Input!$E$51,0)</f>
        <v>0</v>
      </c>
      <c r="Q94" s="816">
        <f>IF(Input!$E$51&gt;0,Input!$E$51,0)</f>
        <v>0</v>
      </c>
      <c r="R94" s="816">
        <f>IF(Input!$F$51&gt;0,Input!$F$51,0)</f>
        <v>0</v>
      </c>
      <c r="S94" s="816">
        <f>IF(Input!$F$51&gt;0,Input!$F$51,0)</f>
        <v>0</v>
      </c>
      <c r="T94" s="816">
        <f>IF(Input!$F$51&gt;0,Input!$F$51,0)</f>
        <v>0</v>
      </c>
      <c r="U94" s="816">
        <f>IF(Input!$F$51&gt;0,Input!$F$51,0)</f>
        <v>0</v>
      </c>
      <c r="V94" s="816">
        <f>IF(Input!$F$51&gt;0,Input!$F$51,0)</f>
        <v>0</v>
      </c>
      <c r="W94" s="816">
        <f>IF(Input!$F$51&gt;0,Input!$F$51,0)</f>
        <v>0</v>
      </c>
      <c r="X94" s="816">
        <f>IF(Input!$F$51&gt;0,Input!$F$51,0)</f>
        <v>0</v>
      </c>
      <c r="Y94" s="816">
        <f>IF(Input!$F$51&gt;0,Input!$F$51,0)</f>
        <v>0</v>
      </c>
      <c r="Z94" s="816">
        <f>IF(Input!$F$51&gt;0,Input!$F$51,0)</f>
        <v>0</v>
      </c>
      <c r="AA94" s="816">
        <f>IF(Input!$F$51&gt;0,Input!$F$51,0)</f>
        <v>0</v>
      </c>
      <c r="AB94" s="816">
        <f>IF(Input!$F$51&gt;0,Input!$F$51,0)</f>
        <v>0</v>
      </c>
      <c r="AC94" s="816">
        <f>IF(Input!$F$51&gt;0,Input!$F$51,0)</f>
        <v>0</v>
      </c>
      <c r="AD94" s="560">
        <f t="shared" si="39"/>
        <v>0</v>
      </c>
      <c r="AE94" s="561">
        <f t="shared" si="40"/>
        <v>0</v>
      </c>
      <c r="AF94" s="522" t="s">
        <v>825</v>
      </c>
      <c r="AG94" s="28"/>
      <c r="AH94" s="28"/>
    </row>
    <row r="95" spans="2:34" ht="13.5" thickBot="1" x14ac:dyDescent="0.25">
      <c r="B95" s="28"/>
      <c r="C95" s="28"/>
      <c r="D95" s="564" t="s">
        <v>823</v>
      </c>
      <c r="E95" s="228"/>
      <c r="F95" s="817">
        <f>F93*F94</f>
        <v>0</v>
      </c>
      <c r="G95" s="817">
        <f t="shared" ref="G95:AC95" si="41">G93*G94</f>
        <v>0</v>
      </c>
      <c r="H95" s="817">
        <f t="shared" si="41"/>
        <v>0</v>
      </c>
      <c r="I95" s="817">
        <f t="shared" si="41"/>
        <v>0</v>
      </c>
      <c r="J95" s="817">
        <f t="shared" si="41"/>
        <v>0</v>
      </c>
      <c r="K95" s="817">
        <f t="shared" si="41"/>
        <v>0</v>
      </c>
      <c r="L95" s="817">
        <f t="shared" si="41"/>
        <v>0</v>
      </c>
      <c r="M95" s="817">
        <f t="shared" si="41"/>
        <v>0</v>
      </c>
      <c r="N95" s="817">
        <f t="shared" si="41"/>
        <v>0</v>
      </c>
      <c r="O95" s="817">
        <f t="shared" si="41"/>
        <v>0</v>
      </c>
      <c r="P95" s="817">
        <f t="shared" si="41"/>
        <v>0</v>
      </c>
      <c r="Q95" s="817">
        <f t="shared" si="41"/>
        <v>0</v>
      </c>
      <c r="R95" s="817">
        <f t="shared" si="41"/>
        <v>0</v>
      </c>
      <c r="S95" s="817">
        <f t="shared" si="41"/>
        <v>0</v>
      </c>
      <c r="T95" s="817">
        <f t="shared" si="41"/>
        <v>0</v>
      </c>
      <c r="U95" s="817">
        <f t="shared" si="41"/>
        <v>0</v>
      </c>
      <c r="V95" s="817">
        <f t="shared" si="41"/>
        <v>0</v>
      </c>
      <c r="W95" s="817">
        <f t="shared" si="41"/>
        <v>0</v>
      </c>
      <c r="X95" s="817">
        <f t="shared" si="41"/>
        <v>0</v>
      </c>
      <c r="Y95" s="817">
        <f t="shared" si="41"/>
        <v>0</v>
      </c>
      <c r="Z95" s="817">
        <f t="shared" si="41"/>
        <v>0</v>
      </c>
      <c r="AA95" s="817">
        <f t="shared" si="41"/>
        <v>0</v>
      </c>
      <c r="AB95" s="817">
        <f t="shared" si="41"/>
        <v>0</v>
      </c>
      <c r="AC95" s="817">
        <f t="shared" si="41"/>
        <v>0</v>
      </c>
      <c r="AD95" s="556">
        <f t="shared" si="39"/>
        <v>0</v>
      </c>
      <c r="AE95" s="557">
        <f t="shared" si="40"/>
        <v>0</v>
      </c>
      <c r="AF95" s="522" t="s">
        <v>823</v>
      </c>
      <c r="AG95" s="28"/>
      <c r="AH95" s="28"/>
    </row>
    <row r="96" spans="2:34" x14ac:dyDescent="0.2">
      <c r="B96" s="28"/>
      <c r="C96" s="28"/>
      <c r="D96" s="215" t="s">
        <v>826</v>
      </c>
      <c r="E96" s="63"/>
      <c r="F96" s="815">
        <f>IF(Input!$E$58&gt;0,Input!$E$58,0)</f>
        <v>2.2999999999999998</v>
      </c>
      <c r="G96" s="815">
        <f>IF(Input!$E$58&gt;0,Input!$E$58,0)</f>
        <v>2.2999999999999998</v>
      </c>
      <c r="H96" s="815">
        <f>IF(Input!$E$58&gt;0,Input!$E$58,0)</f>
        <v>2.2999999999999998</v>
      </c>
      <c r="I96" s="815">
        <f>IF(Input!$E$58&gt;0,Input!$E$58,0)</f>
        <v>2.2999999999999998</v>
      </c>
      <c r="J96" s="815">
        <f>IF(Input!$E$58&gt;0,Input!$E$58,0)</f>
        <v>2.2999999999999998</v>
      </c>
      <c r="K96" s="815">
        <f>IF(Input!$E$58&gt;0,Input!$E$58,0)</f>
        <v>2.2999999999999998</v>
      </c>
      <c r="L96" s="815">
        <f>IF(Input!$E$58&gt;0,Input!$E$58,0)</f>
        <v>2.2999999999999998</v>
      </c>
      <c r="M96" s="815">
        <f>IF(Input!$E$58&gt;0,Input!$E$58,0)</f>
        <v>2.2999999999999998</v>
      </c>
      <c r="N96" s="815">
        <f>IF(Input!$E$58&gt;0,Input!$E$58,0)</f>
        <v>2.2999999999999998</v>
      </c>
      <c r="O96" s="815">
        <f>IF(Input!$E$58&gt;0,Input!$E$58,0)</f>
        <v>2.2999999999999998</v>
      </c>
      <c r="P96" s="815">
        <f>IF(Input!$E$58&gt;0,Input!$E$58,0)</f>
        <v>2.2999999999999998</v>
      </c>
      <c r="Q96" s="815">
        <f>IF(Input!$E$58&gt;0,Input!$E$58,0)</f>
        <v>2.2999999999999998</v>
      </c>
      <c r="R96" s="815">
        <f>IF(Input!$F$58&gt;0,Input!$F$58,0)</f>
        <v>2.2999999999999998</v>
      </c>
      <c r="S96" s="815">
        <f>IF(Input!$F$58&gt;0,Input!$F$58,0)</f>
        <v>2.2999999999999998</v>
      </c>
      <c r="T96" s="815">
        <f>IF(Input!$F$58&gt;0,Input!$F$58,0)</f>
        <v>2.2999999999999998</v>
      </c>
      <c r="U96" s="815">
        <f>IF(Input!$F$58&gt;0,Input!$F$58,0)</f>
        <v>2.2999999999999998</v>
      </c>
      <c r="V96" s="815">
        <f>IF(Input!$F$58&gt;0,Input!$F$58,0)</f>
        <v>2.2999999999999998</v>
      </c>
      <c r="W96" s="815">
        <f>IF(Input!$F$58&gt;0,Input!$F$58,0)</f>
        <v>2.2999999999999998</v>
      </c>
      <c r="X96" s="815">
        <f>IF(Input!$F$58&gt;0,Input!$F$58,0)</f>
        <v>2.2999999999999998</v>
      </c>
      <c r="Y96" s="815">
        <f>IF(Input!$F$58&gt;0,Input!$F$58,0)</f>
        <v>2.2999999999999998</v>
      </c>
      <c r="Z96" s="815">
        <f>IF(Input!$F$58&gt;0,Input!$F$58,0)</f>
        <v>2.2999999999999998</v>
      </c>
      <c r="AA96" s="815">
        <f>IF(Input!$F$58&gt;0,Input!$F$58,0)</f>
        <v>2.2999999999999998</v>
      </c>
      <c r="AB96" s="815">
        <f>IF(Input!$F$58&gt;0,Input!$F$58,0)</f>
        <v>2.2999999999999998</v>
      </c>
      <c r="AC96" s="815">
        <f>IF(Input!$F$58&gt;0,Input!$F$58,0)</f>
        <v>2.2999999999999998</v>
      </c>
      <c r="AD96" s="562">
        <f t="shared" si="39"/>
        <v>2.3000000000000003</v>
      </c>
      <c r="AE96" s="563">
        <f t="shared" si="40"/>
        <v>2.3000000000000003</v>
      </c>
      <c r="AF96" s="522" t="s">
        <v>826</v>
      </c>
      <c r="AG96" s="28"/>
      <c r="AH96" s="28"/>
    </row>
    <row r="97" spans="1:54" x14ac:dyDescent="0.2">
      <c r="B97" s="28"/>
      <c r="C97" s="28"/>
      <c r="D97" s="161" t="s">
        <v>827</v>
      </c>
      <c r="E97" s="28"/>
      <c r="F97" s="816">
        <f>IF(Input!$E$56&gt;0,Input!$E$56,0)</f>
        <v>120</v>
      </c>
      <c r="G97" s="816">
        <f>IF(Input!$E$56&gt;0,Input!$E$56,0)</f>
        <v>120</v>
      </c>
      <c r="H97" s="816">
        <f>IF(Input!$E$56&gt;0,Input!$E$56,0)</f>
        <v>120</v>
      </c>
      <c r="I97" s="816">
        <f>IF(Input!$E$56&gt;0,Input!$E$56,0)</f>
        <v>120</v>
      </c>
      <c r="J97" s="816">
        <f>IF(Input!$E$56&gt;0,Input!$E$56,0)</f>
        <v>120</v>
      </c>
      <c r="K97" s="816">
        <f>IF(Input!$E$56&gt;0,Input!$E$56,0)</f>
        <v>120</v>
      </c>
      <c r="L97" s="816">
        <f>IF(Input!$E$56&gt;0,Input!$E$56,0)</f>
        <v>120</v>
      </c>
      <c r="M97" s="816">
        <f>IF(Input!$E$56&gt;0,Input!$E$56,0)</f>
        <v>120</v>
      </c>
      <c r="N97" s="816">
        <f>IF(Input!$E$56&gt;0,Input!$E$56,0)</f>
        <v>120</v>
      </c>
      <c r="O97" s="816">
        <f>IF(Input!$E$56&gt;0,Input!$E$56,0)</f>
        <v>120</v>
      </c>
      <c r="P97" s="816">
        <f>IF(Input!$E$56&gt;0,Input!$E$56,0)</f>
        <v>120</v>
      </c>
      <c r="Q97" s="816">
        <f>IF(Input!$E$56&gt;0,Input!$E$56,0)</f>
        <v>120</v>
      </c>
      <c r="R97" s="816">
        <f>IF(Input!$F$56&gt;0,Input!$F$56,0)</f>
        <v>120</v>
      </c>
      <c r="S97" s="816">
        <f>IF(Input!$F$56&gt;0,Input!$F$56,0)</f>
        <v>120</v>
      </c>
      <c r="T97" s="816">
        <f>IF(Input!$F$56&gt;0,Input!$F$56,0)</f>
        <v>120</v>
      </c>
      <c r="U97" s="816">
        <f>IF(Input!$F$56&gt;0,Input!$F$56,0)</f>
        <v>120</v>
      </c>
      <c r="V97" s="816">
        <f>IF(Input!$F$56&gt;0,Input!$F$56,0)</f>
        <v>120</v>
      </c>
      <c r="W97" s="816">
        <f>IF(Input!$F$56&gt;0,Input!$F$56,0)</f>
        <v>120</v>
      </c>
      <c r="X97" s="816">
        <f>IF(Input!$F$56&gt;0,Input!$F$56,0)</f>
        <v>120</v>
      </c>
      <c r="Y97" s="816">
        <f>IF(Input!$F$56&gt;0,Input!$F$56,0)</f>
        <v>120</v>
      </c>
      <c r="Z97" s="816">
        <f>IF(Input!$F$56&gt;0,Input!$F$56,0)</f>
        <v>120</v>
      </c>
      <c r="AA97" s="816">
        <f>IF(Input!$F$56&gt;0,Input!$F$56,0)</f>
        <v>120</v>
      </c>
      <c r="AB97" s="816">
        <f>IF(Input!$F$56&gt;0,Input!$F$56,0)</f>
        <v>120</v>
      </c>
      <c r="AC97" s="816">
        <f>IF(Input!$F$56&gt;0,Input!$F$56,0)</f>
        <v>120</v>
      </c>
      <c r="AD97" s="560">
        <f t="shared" si="39"/>
        <v>120</v>
      </c>
      <c r="AE97" s="561">
        <f t="shared" si="40"/>
        <v>120</v>
      </c>
      <c r="AF97" s="522" t="s">
        <v>827</v>
      </c>
      <c r="AG97" s="28"/>
      <c r="AH97" s="28"/>
    </row>
    <row r="98" spans="1:54" ht="13.5" thickBot="1" x14ac:dyDescent="0.25">
      <c r="B98" s="28"/>
      <c r="C98" s="28"/>
      <c r="D98" s="564" t="s">
        <v>824</v>
      </c>
      <c r="E98" s="228"/>
      <c r="F98" s="817">
        <f>F96*F97</f>
        <v>276</v>
      </c>
      <c r="G98" s="817">
        <f t="shared" ref="G98:O98" si="42">G96*G97</f>
        <v>276</v>
      </c>
      <c r="H98" s="817">
        <f t="shared" si="42"/>
        <v>276</v>
      </c>
      <c r="I98" s="817">
        <f t="shared" si="42"/>
        <v>276</v>
      </c>
      <c r="J98" s="817">
        <f t="shared" si="42"/>
        <v>276</v>
      </c>
      <c r="K98" s="817">
        <f t="shared" si="42"/>
        <v>276</v>
      </c>
      <c r="L98" s="817">
        <f t="shared" si="42"/>
        <v>276</v>
      </c>
      <c r="M98" s="817">
        <f t="shared" si="42"/>
        <v>276</v>
      </c>
      <c r="N98" s="817">
        <f t="shared" si="42"/>
        <v>276</v>
      </c>
      <c r="O98" s="817">
        <f t="shared" si="42"/>
        <v>276</v>
      </c>
      <c r="P98" s="817">
        <f t="shared" ref="P98:AC98" si="43">P96*P97</f>
        <v>276</v>
      </c>
      <c r="Q98" s="817">
        <f t="shared" si="43"/>
        <v>276</v>
      </c>
      <c r="R98" s="817">
        <f t="shared" si="43"/>
        <v>276</v>
      </c>
      <c r="S98" s="817">
        <f t="shared" si="43"/>
        <v>276</v>
      </c>
      <c r="T98" s="817">
        <f t="shared" si="43"/>
        <v>276</v>
      </c>
      <c r="U98" s="817">
        <f t="shared" si="43"/>
        <v>276</v>
      </c>
      <c r="V98" s="817">
        <f t="shared" si="43"/>
        <v>276</v>
      </c>
      <c r="W98" s="817">
        <f t="shared" si="43"/>
        <v>276</v>
      </c>
      <c r="X98" s="817">
        <f t="shared" si="43"/>
        <v>276</v>
      </c>
      <c r="Y98" s="817">
        <f t="shared" si="43"/>
        <v>276</v>
      </c>
      <c r="Z98" s="817">
        <f t="shared" si="43"/>
        <v>276</v>
      </c>
      <c r="AA98" s="817">
        <f t="shared" si="43"/>
        <v>276</v>
      </c>
      <c r="AB98" s="817">
        <f t="shared" si="43"/>
        <v>276</v>
      </c>
      <c r="AC98" s="817">
        <f t="shared" si="43"/>
        <v>276</v>
      </c>
      <c r="AD98" s="556">
        <f t="shared" si="39"/>
        <v>276</v>
      </c>
      <c r="AE98" s="557">
        <f t="shared" si="40"/>
        <v>276</v>
      </c>
      <c r="AF98" s="522" t="s">
        <v>824</v>
      </c>
      <c r="AG98" s="28"/>
      <c r="AH98" s="28"/>
    </row>
    <row r="99" spans="1:54" x14ac:dyDescent="0.2">
      <c r="B99" s="28"/>
      <c r="C99" s="28"/>
      <c r="D99" s="81"/>
      <c r="E99" s="28"/>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522"/>
      <c r="AG99" s="28"/>
      <c r="AH99" s="28"/>
    </row>
    <row r="100" spans="1:54" x14ac:dyDescent="0.2">
      <c r="B100" s="28"/>
      <c r="C100" s="28"/>
      <c r="D100" s="213"/>
      <c r="E100" s="28"/>
      <c r="F100" s="239"/>
      <c r="G100" s="239"/>
      <c r="H100" s="239"/>
      <c r="I100" s="239"/>
      <c r="J100" s="239"/>
      <c r="K100" s="239"/>
      <c r="L100" s="36"/>
      <c r="M100" s="36"/>
      <c r="N100" s="36"/>
      <c r="O100" s="36"/>
      <c r="P100" s="36"/>
      <c r="Q100" s="36"/>
      <c r="R100" s="36"/>
      <c r="S100" s="28"/>
      <c r="T100" s="28"/>
      <c r="U100" s="28"/>
      <c r="V100" s="28"/>
      <c r="W100" s="28"/>
      <c r="X100" s="28"/>
      <c r="Y100" s="28"/>
      <c r="Z100" s="28"/>
      <c r="AA100" s="28"/>
      <c r="AB100" s="28"/>
      <c r="AC100" s="28"/>
      <c r="AD100" s="887"/>
      <c r="AE100" s="887"/>
      <c r="AF100" s="522"/>
      <c r="AG100" s="28"/>
      <c r="AH100" s="28"/>
    </row>
    <row r="101" spans="1:54" x14ac:dyDescent="0.2">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row>
    <row r="102" spans="1:54" x14ac:dyDescent="0.2">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row>
    <row r="103" spans="1:54" x14ac:dyDescent="0.2">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row>
    <row r="104" spans="1:54" x14ac:dyDescent="0.2">
      <c r="B104" s="28"/>
      <c r="C104" s="28"/>
      <c r="D104" s="28"/>
      <c r="E104" s="28"/>
      <c r="F104" s="28"/>
      <c r="G104" s="28"/>
      <c r="H104" s="28"/>
      <c r="I104" s="28"/>
      <c r="J104" s="28"/>
      <c r="K104" s="28"/>
      <c r="L104" s="28"/>
      <c r="M104" s="28"/>
      <c r="N104" s="28"/>
      <c r="O104" s="28"/>
      <c r="P104" s="28"/>
      <c r="Q104" s="28"/>
      <c r="R104" s="28"/>
      <c r="S104" s="28"/>
    </row>
    <row r="105" spans="1:54" x14ac:dyDescent="0.2">
      <c r="B105" s="28"/>
      <c r="C105" s="28"/>
      <c r="D105" s="28"/>
      <c r="E105" s="28"/>
      <c r="F105" s="28"/>
      <c r="G105" s="28"/>
      <c r="H105" s="28"/>
      <c r="I105" s="28"/>
      <c r="J105" s="28"/>
      <c r="K105" s="28"/>
      <c r="L105" s="28"/>
      <c r="M105" s="28"/>
      <c r="N105" s="28"/>
      <c r="O105" s="28"/>
      <c r="P105" s="28"/>
      <c r="Q105" s="28"/>
      <c r="R105" s="28"/>
      <c r="S105" s="28"/>
    </row>
    <row r="106" spans="1:54" x14ac:dyDescent="0.2">
      <c r="A106" s="28"/>
      <c r="B106" s="28"/>
      <c r="C106" s="28"/>
      <c r="D106" s="28"/>
      <c r="E106" s="28"/>
      <c r="F106" s="28"/>
      <c r="G106" s="28"/>
      <c r="H106" s="28"/>
      <c r="I106" s="28"/>
      <c r="J106" s="28"/>
      <c r="K106" s="28"/>
      <c r="L106" s="28"/>
      <c r="M106" s="28"/>
      <c r="N106" s="28"/>
      <c r="O106" s="28"/>
      <c r="P106" s="28"/>
      <c r="Q106" s="28"/>
    </row>
    <row r="107" spans="1:54" x14ac:dyDescent="0.2">
      <c r="A107" s="28"/>
      <c r="B107" s="88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36"/>
      <c r="AG107" s="36"/>
      <c r="AH107" s="36"/>
      <c r="AI107" s="36"/>
      <c r="AJ107" s="36"/>
      <c r="AK107" s="36"/>
      <c r="AL107" s="36"/>
      <c r="AM107" s="36"/>
      <c r="AN107" s="36"/>
      <c r="AO107" s="36"/>
      <c r="AP107" s="36"/>
      <c r="AQ107" s="36"/>
      <c r="AR107" s="36"/>
      <c r="AS107" s="36"/>
      <c r="AT107" s="36"/>
      <c r="AU107" s="36"/>
      <c r="AV107" s="36"/>
      <c r="AW107" s="36"/>
      <c r="AX107" s="36"/>
      <c r="AY107" s="36"/>
      <c r="AZ107" s="36"/>
      <c r="BA107" s="36"/>
      <c r="BB107" s="36"/>
    </row>
    <row r="108" spans="1:54" ht="16.5" thickBot="1" x14ac:dyDescent="0.3">
      <c r="A108" s="28"/>
      <c r="B108" s="61"/>
      <c r="C108" s="74" t="str">
        <f>Input!$C$10</f>
        <v>Name: Draft Copy 400 Head Ewe Accelerated Operation (45 per month)</v>
      </c>
      <c r="D108" s="28"/>
      <c r="E108" s="650"/>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61"/>
      <c r="AG108" s="61"/>
      <c r="AH108" s="61"/>
      <c r="AI108" s="61"/>
      <c r="AJ108" s="61"/>
      <c r="AK108" s="61"/>
      <c r="AL108" s="61"/>
      <c r="AM108" s="61"/>
      <c r="AN108" s="61"/>
      <c r="AO108" s="61"/>
      <c r="AP108" s="61"/>
      <c r="AQ108" s="61"/>
      <c r="AR108" s="61"/>
      <c r="AS108" s="61"/>
      <c r="AT108" s="61"/>
      <c r="AU108" s="61"/>
      <c r="AV108" s="61"/>
      <c r="AW108" s="61"/>
      <c r="AX108" s="61"/>
      <c r="AY108" s="61"/>
      <c r="AZ108" s="61"/>
      <c r="BA108" s="61"/>
      <c r="BB108" s="61"/>
    </row>
    <row r="109" spans="1:54" ht="13.5" thickBot="1" x14ac:dyDescent="0.25">
      <c r="A109" s="28"/>
      <c r="B109" s="61"/>
      <c r="C109" s="600" t="s">
        <v>81</v>
      </c>
      <c r="D109" s="651"/>
      <c r="E109" s="916"/>
      <c r="F109" s="1136">
        <f t="shared" ref="F109:AC109" si="44">F2</f>
        <v>45658</v>
      </c>
      <c r="G109" s="738">
        <f t="shared" si="44"/>
        <v>45689</v>
      </c>
      <c r="H109" s="738">
        <f t="shared" si="44"/>
        <v>45717</v>
      </c>
      <c r="I109" s="738">
        <f t="shared" si="44"/>
        <v>45748</v>
      </c>
      <c r="J109" s="738">
        <f t="shared" si="44"/>
        <v>45778</v>
      </c>
      <c r="K109" s="738">
        <f t="shared" si="44"/>
        <v>45809</v>
      </c>
      <c r="L109" s="738">
        <f t="shared" si="44"/>
        <v>45839</v>
      </c>
      <c r="M109" s="738">
        <f t="shared" si="44"/>
        <v>45870</v>
      </c>
      <c r="N109" s="738">
        <f t="shared" si="44"/>
        <v>45901</v>
      </c>
      <c r="O109" s="738">
        <f t="shared" si="44"/>
        <v>45931</v>
      </c>
      <c r="P109" s="738">
        <f t="shared" si="44"/>
        <v>45962</v>
      </c>
      <c r="Q109" s="914">
        <f t="shared" si="44"/>
        <v>45992</v>
      </c>
      <c r="R109" s="852">
        <f t="shared" si="44"/>
        <v>46023</v>
      </c>
      <c r="S109" s="851">
        <f t="shared" si="44"/>
        <v>46054</v>
      </c>
      <c r="T109" s="851">
        <f t="shared" si="44"/>
        <v>46082</v>
      </c>
      <c r="U109" s="851">
        <f t="shared" si="44"/>
        <v>46113</v>
      </c>
      <c r="V109" s="851">
        <f t="shared" si="44"/>
        <v>46143</v>
      </c>
      <c r="W109" s="851">
        <f t="shared" si="44"/>
        <v>46174</v>
      </c>
      <c r="X109" s="851">
        <f t="shared" si="44"/>
        <v>46204</v>
      </c>
      <c r="Y109" s="851">
        <f t="shared" si="44"/>
        <v>46235</v>
      </c>
      <c r="Z109" s="851">
        <f t="shared" si="44"/>
        <v>46266</v>
      </c>
      <c r="AA109" s="851">
        <f t="shared" si="44"/>
        <v>46296</v>
      </c>
      <c r="AB109" s="851">
        <f t="shared" si="44"/>
        <v>46327</v>
      </c>
      <c r="AC109" s="1160">
        <f t="shared" si="44"/>
        <v>46357</v>
      </c>
      <c r="AD109" s="956" t="s">
        <v>790</v>
      </c>
      <c r="AE109" s="957" t="s">
        <v>791</v>
      </c>
      <c r="AF109" s="61"/>
      <c r="AG109" s="61"/>
      <c r="AH109" s="61"/>
      <c r="AI109" s="61"/>
      <c r="AJ109" s="61"/>
      <c r="AK109" s="61"/>
      <c r="AL109" s="61"/>
      <c r="AM109" s="61"/>
      <c r="AN109" s="61"/>
      <c r="AO109" s="61"/>
      <c r="AP109" s="61"/>
      <c r="AQ109" s="61"/>
      <c r="AR109" s="61"/>
      <c r="AS109" s="61"/>
      <c r="AT109" s="61"/>
      <c r="AU109" s="61"/>
      <c r="AV109" s="61"/>
      <c r="AW109" s="61"/>
      <c r="AX109" s="61"/>
      <c r="AY109" s="61"/>
      <c r="AZ109" s="61"/>
      <c r="BA109" s="61"/>
      <c r="BB109" s="61"/>
    </row>
    <row r="110" spans="1:54" x14ac:dyDescent="0.2">
      <c r="A110" s="28"/>
      <c r="B110" s="28"/>
      <c r="C110" s="127" t="s">
        <v>578</v>
      </c>
      <c r="D110" s="128"/>
      <c r="E110" s="1143"/>
      <c r="F110" s="1150">
        <f t="shared" ref="F110:AC110" si="45">IF(F28&gt;0,F28*F95,0)</f>
        <v>0</v>
      </c>
      <c r="G110" s="1068">
        <f t="shared" si="45"/>
        <v>0</v>
      </c>
      <c r="H110" s="1068">
        <f t="shared" si="45"/>
        <v>0</v>
      </c>
      <c r="I110" s="1068">
        <f t="shared" si="45"/>
        <v>0</v>
      </c>
      <c r="J110" s="1068">
        <f t="shared" si="45"/>
        <v>0</v>
      </c>
      <c r="K110" s="1068">
        <f t="shared" si="45"/>
        <v>0</v>
      </c>
      <c r="L110" s="1068">
        <f t="shared" si="45"/>
        <v>0</v>
      </c>
      <c r="M110" s="1068">
        <f t="shared" si="45"/>
        <v>0</v>
      </c>
      <c r="N110" s="1068">
        <f t="shared" si="45"/>
        <v>0</v>
      </c>
      <c r="O110" s="1068">
        <f t="shared" si="45"/>
        <v>0</v>
      </c>
      <c r="P110" s="1068">
        <f t="shared" si="45"/>
        <v>0</v>
      </c>
      <c r="Q110" s="1069">
        <f t="shared" si="45"/>
        <v>0</v>
      </c>
      <c r="R110" s="1071">
        <f t="shared" si="45"/>
        <v>0</v>
      </c>
      <c r="S110" s="1068">
        <f t="shared" si="45"/>
        <v>0</v>
      </c>
      <c r="T110" s="1068">
        <f t="shared" si="45"/>
        <v>0</v>
      </c>
      <c r="U110" s="1068">
        <f t="shared" si="45"/>
        <v>0</v>
      </c>
      <c r="V110" s="1068">
        <f t="shared" si="45"/>
        <v>0</v>
      </c>
      <c r="W110" s="1068">
        <f t="shared" si="45"/>
        <v>0</v>
      </c>
      <c r="X110" s="1068">
        <f t="shared" si="45"/>
        <v>0</v>
      </c>
      <c r="Y110" s="1068">
        <f t="shared" si="45"/>
        <v>0</v>
      </c>
      <c r="Z110" s="1068">
        <f t="shared" si="45"/>
        <v>0</v>
      </c>
      <c r="AA110" s="1068">
        <f t="shared" si="45"/>
        <v>0</v>
      </c>
      <c r="AB110" s="1068">
        <f t="shared" si="45"/>
        <v>0</v>
      </c>
      <c r="AC110" s="1072">
        <f t="shared" si="45"/>
        <v>0</v>
      </c>
      <c r="AD110" s="1165">
        <f t="shared" ref="AD110:AD116" si="46">SUM(F110:Q110)</f>
        <v>0</v>
      </c>
      <c r="AE110" s="958">
        <f t="shared" ref="AE110:AE116" si="47">SUM(R110:AC110)</f>
        <v>0</v>
      </c>
      <c r="AF110" s="61"/>
      <c r="AG110" s="61"/>
      <c r="AH110" s="61"/>
      <c r="AL110" s="535"/>
      <c r="AT110" s="535"/>
      <c r="BB110" s="535"/>
    </row>
    <row r="111" spans="1:54" x14ac:dyDescent="0.2">
      <c r="A111" s="28"/>
      <c r="B111" s="61"/>
      <c r="C111" s="116" t="s">
        <v>579</v>
      </c>
      <c r="D111" s="530"/>
      <c r="E111" s="1144"/>
      <c r="F111" s="928">
        <f t="shared" ref="F111:AC111" si="48">IF(F29&gt;0,F29*F98,0)</f>
        <v>19573</v>
      </c>
      <c r="G111" s="696">
        <f t="shared" si="48"/>
        <v>19573</v>
      </c>
      <c r="H111" s="696">
        <f t="shared" si="48"/>
        <v>19573</v>
      </c>
      <c r="I111" s="696">
        <f t="shared" si="48"/>
        <v>19573</v>
      </c>
      <c r="J111" s="696">
        <f t="shared" si="48"/>
        <v>19573</v>
      </c>
      <c r="K111" s="696">
        <f t="shared" si="48"/>
        <v>19573</v>
      </c>
      <c r="L111" s="696">
        <f t="shared" si="48"/>
        <v>19573</v>
      </c>
      <c r="M111" s="696">
        <f t="shared" si="48"/>
        <v>19573</v>
      </c>
      <c r="N111" s="696">
        <f t="shared" si="48"/>
        <v>19573</v>
      </c>
      <c r="O111" s="696">
        <f t="shared" si="48"/>
        <v>19573</v>
      </c>
      <c r="P111" s="696">
        <f t="shared" si="48"/>
        <v>19573</v>
      </c>
      <c r="Q111" s="1151">
        <f t="shared" si="48"/>
        <v>19573</v>
      </c>
      <c r="R111" s="1156">
        <f t="shared" si="48"/>
        <v>19573</v>
      </c>
      <c r="S111" s="565">
        <f t="shared" si="48"/>
        <v>19573</v>
      </c>
      <c r="T111" s="565">
        <f t="shared" si="48"/>
        <v>19573</v>
      </c>
      <c r="U111" s="565">
        <f t="shared" si="48"/>
        <v>19573</v>
      </c>
      <c r="V111" s="565">
        <f t="shared" si="48"/>
        <v>19573</v>
      </c>
      <c r="W111" s="565">
        <f t="shared" si="48"/>
        <v>19573</v>
      </c>
      <c r="X111" s="565">
        <f t="shared" si="48"/>
        <v>19573</v>
      </c>
      <c r="Y111" s="565">
        <f t="shared" si="48"/>
        <v>19573</v>
      </c>
      <c r="Z111" s="565">
        <f t="shared" si="48"/>
        <v>19573</v>
      </c>
      <c r="AA111" s="565">
        <f t="shared" si="48"/>
        <v>19573</v>
      </c>
      <c r="AB111" s="565">
        <f t="shared" si="48"/>
        <v>19573</v>
      </c>
      <c r="AC111" s="1155">
        <f t="shared" si="48"/>
        <v>19573</v>
      </c>
      <c r="AD111" s="1166">
        <f t="shared" si="46"/>
        <v>234876</v>
      </c>
      <c r="AE111" s="959">
        <f t="shared" si="47"/>
        <v>234876</v>
      </c>
      <c r="AF111" s="61"/>
      <c r="AG111" s="61"/>
      <c r="AH111" s="61"/>
      <c r="AJ111" s="239"/>
      <c r="AQ111" s="28"/>
      <c r="AR111" s="239"/>
      <c r="AS111" s="28"/>
      <c r="AT111" s="28"/>
      <c r="AU111" s="28"/>
      <c r="AV111" s="28"/>
      <c r="AW111" s="28"/>
      <c r="AX111" s="28"/>
      <c r="AY111" s="28"/>
      <c r="AZ111" s="239"/>
      <c r="BA111" s="28"/>
      <c r="BB111" s="28"/>
    </row>
    <row r="112" spans="1:54" x14ac:dyDescent="0.2">
      <c r="A112" s="28"/>
      <c r="B112" s="61"/>
      <c r="C112" s="118" t="s">
        <v>419</v>
      </c>
      <c r="D112" s="530"/>
      <c r="E112" s="1144"/>
      <c r="F112" s="928">
        <f>(F17*Input!$E$73)+(F19*Input!$E$77)</f>
        <v>1000</v>
      </c>
      <c r="G112" s="696">
        <f>(G17*Input!$E$73)+(G19*Input!$E$77)</f>
        <v>1000</v>
      </c>
      <c r="H112" s="696">
        <f>(H17*Input!$E$73)+(H19*Input!$E$77)</f>
        <v>1000</v>
      </c>
      <c r="I112" s="696">
        <f>(I17*Input!$E$73)+(I19*Input!$E$77)</f>
        <v>1000</v>
      </c>
      <c r="J112" s="696">
        <f>(J17*Input!$E$73)+(J19*Input!$E$77)</f>
        <v>1000</v>
      </c>
      <c r="K112" s="696">
        <f>(K17*Input!$E$73)+(K19*Input!$E$77)</f>
        <v>1312.5</v>
      </c>
      <c r="L112" s="696">
        <f>(L17*Input!$E$73)+(L19*Input!$E$77)</f>
        <v>1000</v>
      </c>
      <c r="M112" s="696">
        <f>(M17*Input!$E$73)+(M19*Input!$E$77)</f>
        <v>1000</v>
      </c>
      <c r="N112" s="696">
        <f>(N17*Input!$E$73)+(N19*Input!$E$77)</f>
        <v>1000</v>
      </c>
      <c r="O112" s="696">
        <f>(O17*Input!$E$73)+(O19*Input!$E$77)</f>
        <v>1000</v>
      </c>
      <c r="P112" s="696">
        <f>(P17*Input!$E$73)+(P19*Input!$E$77)</f>
        <v>1000</v>
      </c>
      <c r="Q112" s="1151">
        <f>(Q17*Input!$E$73)+(Q19*Input!$E$77)</f>
        <v>1312.5</v>
      </c>
      <c r="R112" s="1156">
        <f>(R17*Input!$F$73)+(R19*Input!$F$77)</f>
        <v>1000</v>
      </c>
      <c r="S112" s="565">
        <f>(S17*Input!$F$73)+(S19*Input!$F$77)</f>
        <v>1000</v>
      </c>
      <c r="T112" s="565">
        <f>(T17*Input!$F$73)+(T19*Input!$F$77)</f>
        <v>1000</v>
      </c>
      <c r="U112" s="565">
        <f>(U17*Input!$F$73)+(U19*Input!$F$77)</f>
        <v>1000</v>
      </c>
      <c r="V112" s="565">
        <f>(V17*Input!$F$73)+(V19*Input!$F$77)</f>
        <v>1000</v>
      </c>
      <c r="W112" s="565">
        <f>(W17*Input!$F$73)+(W19*Input!$F$77)</f>
        <v>1312.5</v>
      </c>
      <c r="X112" s="565">
        <f>(X17*Input!$F$73)+(X19*Input!$F$77)</f>
        <v>1000</v>
      </c>
      <c r="Y112" s="565">
        <f>(Y17*Input!$F$73)+(Y19*Input!$F$77)</f>
        <v>1000</v>
      </c>
      <c r="Z112" s="565">
        <f>(Z17*Input!$F$73)+(Z19*Input!$F$77)</f>
        <v>1000</v>
      </c>
      <c r="AA112" s="565">
        <f>(AA17*Input!$F$73)+(AA19*Input!$F$77)</f>
        <v>1000</v>
      </c>
      <c r="AB112" s="565">
        <f>(AB17*Input!$F$73)+(AB19*Input!$F$77)</f>
        <v>1000</v>
      </c>
      <c r="AC112" s="1155">
        <f>(AC17*Input!$F$73)+(AC19*Input!$F$77)</f>
        <v>1312.5</v>
      </c>
      <c r="AD112" s="1166">
        <f t="shared" si="46"/>
        <v>12625</v>
      </c>
      <c r="AE112" s="959">
        <f t="shared" si="47"/>
        <v>12625</v>
      </c>
      <c r="AF112" s="61"/>
      <c r="AG112" s="61"/>
      <c r="AH112" s="61"/>
      <c r="AQ112" s="28"/>
      <c r="AR112" s="61"/>
      <c r="AS112" s="28"/>
      <c r="AT112" s="28"/>
      <c r="AU112" s="28"/>
      <c r="AV112" s="28"/>
      <c r="AW112" s="28"/>
      <c r="AX112" s="28"/>
      <c r="AY112" s="28"/>
      <c r="AZ112" s="28"/>
      <c r="BA112" s="28"/>
      <c r="BB112" s="61"/>
    </row>
    <row r="113" spans="1:54" x14ac:dyDescent="0.2">
      <c r="A113" s="28"/>
      <c r="B113" s="61"/>
      <c r="C113" s="652" t="s">
        <v>446</v>
      </c>
      <c r="D113" s="653"/>
      <c r="E113" s="1144"/>
      <c r="F113" s="1150">
        <f>((Input!$E$62*Input!$E$63)+(Input!$E$64*Input!$E$65)+(Input!$E$66*Input!$E$67))/12</f>
        <v>0</v>
      </c>
      <c r="G113" s="1070">
        <f>((Input!$E$62*Input!$E$63)+(Input!$E$64*Input!$E$65)+(Input!$E$66*Input!$E$67))/12</f>
        <v>0</v>
      </c>
      <c r="H113" s="1070">
        <f>((Input!$E$62*Input!$E$63)+(Input!$E$64*Input!$E$65)+(Input!$E$66*Input!$E$67))/12</f>
        <v>0</v>
      </c>
      <c r="I113" s="1070">
        <f>((Input!$E$62*Input!$E$63)+(Input!$E$64*Input!$E$65)+(Input!$E$66*Input!$E$67))/12</f>
        <v>0</v>
      </c>
      <c r="J113" s="1070">
        <f>((Input!$E$62*Input!$E$63)+(Input!$E$64*Input!$E$65)+(Input!$E$66*Input!$E$67))/12</f>
        <v>0</v>
      </c>
      <c r="K113" s="1070">
        <f>((Input!$E$62*Input!$E$63)+(Input!$E$64*Input!$E$65)+(Input!$E$66*Input!$E$67))/12</f>
        <v>0</v>
      </c>
      <c r="L113" s="1070">
        <f>((Input!$E$62*Input!$E$63)+(Input!$E$64*Input!$E$65)+(Input!$E$66*Input!$E$67))/12</f>
        <v>0</v>
      </c>
      <c r="M113" s="1070">
        <f>((Input!$E$62*Input!$E$63)+(Input!$E$64*Input!$E$65)+(Input!$E$66*Input!$E$67))/12</f>
        <v>0</v>
      </c>
      <c r="N113" s="1070">
        <f>((Input!$E$62*Input!$E$63)+(Input!$E$64*Input!$E$65)+(Input!$E$66*Input!$E$67))/12</f>
        <v>0</v>
      </c>
      <c r="O113" s="1070">
        <f>((Input!$E$62*Input!$E$63)+(Input!$E$64*Input!$E$65)+(Input!$E$66*Input!$E$67))/12</f>
        <v>0</v>
      </c>
      <c r="P113" s="1070">
        <f>((Input!$E$62*Input!$E$63)+(Input!$E$64*Input!$E$65)+(Input!$E$66*Input!$E$67))/12</f>
        <v>0</v>
      </c>
      <c r="Q113" s="1152">
        <f>((Input!$E$62*Input!$E$63)+(Input!$E$64*Input!$E$65)+(Input!$E$66*Input!$E$67))/12</f>
        <v>0</v>
      </c>
      <c r="R113" s="1157">
        <f>((Input!$F$62*Input!$F$63)+(Input!$F$64*Input!$F$65)+(Input!$F$66*Input!$F$67))/12</f>
        <v>0</v>
      </c>
      <c r="S113" s="1070">
        <f>((Input!$F$62*Input!$F$63)+(Input!$F$64*Input!$F$65)+(Input!$F$66*Input!$F$67))/12</f>
        <v>0</v>
      </c>
      <c r="T113" s="1070">
        <f>((Input!$F$62*Input!$F$63)+(Input!$F$64*Input!$F$65)+(Input!$F$66*Input!$F$67))/12</f>
        <v>0</v>
      </c>
      <c r="U113" s="1070">
        <f>((Input!$F$62*Input!$F$63)+(Input!$F$64*Input!$F$65)+(Input!$F$66*Input!$F$67))/12</f>
        <v>0</v>
      </c>
      <c r="V113" s="1070">
        <f>((Input!$F$62*Input!$F$63)+(Input!$F$64*Input!$F$65)+(Input!$F$66*Input!$F$67))/12</f>
        <v>0</v>
      </c>
      <c r="W113" s="1070">
        <f>((Input!$F$62*Input!$F$63)+(Input!$F$64*Input!$F$65)+(Input!$F$66*Input!$F$67))/12</f>
        <v>0</v>
      </c>
      <c r="X113" s="1070">
        <f>((Input!$F$62*Input!$F$63)+(Input!$F$64*Input!$F$65)+(Input!$F$66*Input!$F$67))/12</f>
        <v>0</v>
      </c>
      <c r="Y113" s="1070">
        <f>((Input!$F$62*Input!$F$63)+(Input!$F$64*Input!$F$65)+(Input!$F$66*Input!$F$67))/12</f>
        <v>0</v>
      </c>
      <c r="Z113" s="1070">
        <f>((Input!$F$62*Input!$F$63)+(Input!$F$64*Input!$F$65)+(Input!$F$66*Input!$F$67))/12</f>
        <v>0</v>
      </c>
      <c r="AA113" s="1070">
        <f>((Input!$F$62*Input!$F$63)+(Input!$F$64*Input!$F$65)+(Input!$F$66*Input!$F$67))/12</f>
        <v>0</v>
      </c>
      <c r="AB113" s="1070">
        <f>((Input!$F$62*Input!$F$63)+(Input!$F$64*Input!$F$65)+(Input!$F$66*Input!$F$67))/12</f>
        <v>0</v>
      </c>
      <c r="AC113" s="1161">
        <f>((Input!$F$62*Input!$F$63)+(Input!$F$64*Input!$F$65)+(Input!$F$66*Input!$F$67))/12</f>
        <v>0</v>
      </c>
      <c r="AD113" s="1166">
        <f t="shared" si="46"/>
        <v>0</v>
      </c>
      <c r="AE113" s="959">
        <f t="shared" si="47"/>
        <v>0</v>
      </c>
      <c r="AF113" s="61"/>
      <c r="AG113" s="61"/>
      <c r="AH113" s="61"/>
      <c r="AJ113" s="61"/>
      <c r="AQ113" s="28"/>
      <c r="AR113" s="61"/>
      <c r="AS113" s="28"/>
      <c r="AT113" s="28"/>
      <c r="AU113" s="28"/>
      <c r="AV113" s="28"/>
      <c r="AW113" s="28"/>
      <c r="AX113" s="61"/>
      <c r="AY113" s="28"/>
      <c r="AZ113" s="28"/>
      <c r="BA113" s="28"/>
      <c r="BB113" s="28"/>
    </row>
    <row r="114" spans="1:54" x14ac:dyDescent="0.2">
      <c r="A114" s="28"/>
      <c r="B114" s="34"/>
      <c r="C114" s="655" t="s">
        <v>294</v>
      </c>
      <c r="D114" s="889"/>
      <c r="E114" s="1145"/>
      <c r="F114" s="1150"/>
      <c r="G114" s="1070"/>
      <c r="H114" s="696"/>
      <c r="I114" s="696">
        <f>Input!$E$84/8</f>
        <v>205</v>
      </c>
      <c r="J114" s="696">
        <f>Input!$E$84/8</f>
        <v>205</v>
      </c>
      <c r="K114" s="696">
        <f>Input!$E$84/8</f>
        <v>205</v>
      </c>
      <c r="L114" s="696">
        <f>Input!$E$84/8</f>
        <v>205</v>
      </c>
      <c r="M114" s="696">
        <f>Input!$E$84/8</f>
        <v>205</v>
      </c>
      <c r="N114" s="696">
        <f>Input!$E$84/8</f>
        <v>205</v>
      </c>
      <c r="O114" s="696">
        <f>Input!$E$84/8</f>
        <v>205</v>
      </c>
      <c r="P114" s="696">
        <f>Input!$E$84/8</f>
        <v>205</v>
      </c>
      <c r="Q114" s="1151"/>
      <c r="R114" s="1156"/>
      <c r="S114" s="1073"/>
      <c r="T114" s="565"/>
      <c r="U114" s="565">
        <f>Input!$F$84/8</f>
        <v>205</v>
      </c>
      <c r="V114" s="565">
        <f>Input!$F$84/8</f>
        <v>205</v>
      </c>
      <c r="W114" s="565">
        <f>Input!$F$84/8</f>
        <v>205</v>
      </c>
      <c r="X114" s="565">
        <f>Input!$F$84/8</f>
        <v>205</v>
      </c>
      <c r="Y114" s="565">
        <f>Input!$F$84/8</f>
        <v>205</v>
      </c>
      <c r="Z114" s="565">
        <f>Input!$F$84/8</f>
        <v>205</v>
      </c>
      <c r="AA114" s="565">
        <f>Input!$F$84/8</f>
        <v>205</v>
      </c>
      <c r="AB114" s="565">
        <f>Input!$F$84/8</f>
        <v>205</v>
      </c>
      <c r="AC114" s="1155"/>
      <c r="AD114" s="1166">
        <f t="shared" si="46"/>
        <v>1640</v>
      </c>
      <c r="AE114" s="959">
        <f t="shared" si="47"/>
        <v>1640</v>
      </c>
      <c r="AG114" s="34"/>
      <c r="AH114" s="34"/>
      <c r="AI114" s="34"/>
      <c r="AJ114" s="34"/>
      <c r="AK114" s="34"/>
      <c r="AL114" s="34"/>
      <c r="AM114" s="34"/>
      <c r="AN114" s="34"/>
      <c r="AO114" s="34"/>
      <c r="AP114" s="34"/>
      <c r="AQ114" s="34"/>
      <c r="AR114" s="34"/>
      <c r="AS114" s="34"/>
      <c r="AT114" s="34"/>
      <c r="AU114" s="34"/>
      <c r="AV114" s="34"/>
      <c r="AW114" s="34"/>
      <c r="AX114" s="34"/>
      <c r="AY114" s="34"/>
      <c r="AZ114" s="34"/>
      <c r="BA114" s="34"/>
      <c r="BB114" s="34"/>
    </row>
    <row r="115" spans="1:54" ht="13.5" thickBot="1" x14ac:dyDescent="0.25">
      <c r="A115" s="28"/>
      <c r="B115" s="890"/>
      <c r="C115" s="654" t="s">
        <v>829</v>
      </c>
      <c r="D115" s="28"/>
      <c r="E115" s="117"/>
      <c r="F115" s="1074">
        <f>(Input!$E$90*Input!$E$91*(Input!$E$93))/12</f>
        <v>0</v>
      </c>
      <c r="G115" s="692">
        <f>(Input!$E$90*Input!$E$91*(Input!$E$93))/12</f>
        <v>0</v>
      </c>
      <c r="H115" s="692">
        <f>(Input!$E$90*Input!$E$91*(Input!$E$93))/12</f>
        <v>0</v>
      </c>
      <c r="I115" s="692">
        <f>(Input!$E$90*Input!$E$91*(Input!$E$93))/12</f>
        <v>0</v>
      </c>
      <c r="J115" s="692">
        <f>(Input!$E$90*Input!$E$91*(Input!$E$93))/12</f>
        <v>0</v>
      </c>
      <c r="K115" s="692">
        <f>(Input!$E$90*Input!$E$91*(Input!$E$93))/12</f>
        <v>0</v>
      </c>
      <c r="L115" s="692">
        <f>(Input!$E$90*Input!$E$91*(Input!$E$93))/12</f>
        <v>0</v>
      </c>
      <c r="M115" s="692">
        <f>(Input!$E$90*Input!$E$91*(Input!$E$93))/12</f>
        <v>0</v>
      </c>
      <c r="N115" s="692">
        <f>(Input!$E$90*Input!$E$91*(Input!$E$93))/12</f>
        <v>0</v>
      </c>
      <c r="O115" s="692">
        <f>(Input!$E$90*Input!$E$91*(Input!$E$93))/12</f>
        <v>0</v>
      </c>
      <c r="P115" s="692">
        <f>(Input!$E$90*Input!$E$91*(Input!$E$93))/12</f>
        <v>0</v>
      </c>
      <c r="Q115" s="1153">
        <f>(Input!$E$90*Input!$E$91*(Input!$E$93))/12</f>
        <v>0</v>
      </c>
      <c r="R115" s="1158">
        <f>(Input!$F$90*Input!$F$91*(Input!$F$93))/12</f>
        <v>0</v>
      </c>
      <c r="S115" s="1075">
        <f>(Input!$F$90*Input!$F$91*(Input!$F$93))/12</f>
        <v>0</v>
      </c>
      <c r="T115" s="1075">
        <f>(Input!$F$90*Input!$F$91*(Input!$F$93))/12</f>
        <v>0</v>
      </c>
      <c r="U115" s="1075">
        <f>(Input!$F$90*Input!$F$91*(Input!$F$93))/12</f>
        <v>0</v>
      </c>
      <c r="V115" s="1075">
        <f>(Input!$F$90*Input!$F$91*(Input!$F$93))/12</f>
        <v>0</v>
      </c>
      <c r="W115" s="1075">
        <f>(Input!$F$90*Input!$F$91*(Input!$F$93))/12</f>
        <v>0</v>
      </c>
      <c r="X115" s="1075">
        <f>(Input!$F$90*Input!$F$91*(Input!$F$93))/12</f>
        <v>0</v>
      </c>
      <c r="Y115" s="1075">
        <f>(Input!$F$90*Input!$F$91*(Input!$F$93))/12</f>
        <v>0</v>
      </c>
      <c r="Z115" s="1075">
        <f>(Input!$F$90*Input!$F$91*(Input!$F$93))/12</f>
        <v>0</v>
      </c>
      <c r="AA115" s="1075">
        <f>(Input!$F$90*Input!$F$91*(Input!$F$93))/12</f>
        <v>0</v>
      </c>
      <c r="AB115" s="1075">
        <f>(Input!$F$90*Input!$F$91*(Input!$F$93))/12</f>
        <v>0</v>
      </c>
      <c r="AC115" s="1153">
        <f>(Input!$F$90*Input!$F$91*(Input!$F$93))/12</f>
        <v>0</v>
      </c>
      <c r="AD115" s="1167">
        <f t="shared" si="46"/>
        <v>0</v>
      </c>
      <c r="AE115" s="960">
        <f t="shared" si="47"/>
        <v>0</v>
      </c>
    </row>
    <row r="116" spans="1:54" ht="13.5" thickBot="1" x14ac:dyDescent="0.25">
      <c r="A116" s="28"/>
      <c r="B116" s="61"/>
      <c r="C116" s="125"/>
      <c r="D116" s="126" t="s">
        <v>83</v>
      </c>
      <c r="E116" s="916"/>
      <c r="F116" s="1137">
        <f t="shared" ref="F116:AC116" si="49">SUM(F110:F115)</f>
        <v>20573</v>
      </c>
      <c r="G116" s="739">
        <f t="shared" si="49"/>
        <v>20573</v>
      </c>
      <c r="H116" s="739">
        <f t="shared" si="49"/>
        <v>20573</v>
      </c>
      <c r="I116" s="739">
        <f t="shared" si="49"/>
        <v>20778</v>
      </c>
      <c r="J116" s="739">
        <f t="shared" si="49"/>
        <v>20778</v>
      </c>
      <c r="K116" s="739">
        <f t="shared" si="49"/>
        <v>21090.5</v>
      </c>
      <c r="L116" s="739">
        <f t="shared" si="49"/>
        <v>20778</v>
      </c>
      <c r="M116" s="739">
        <f t="shared" si="49"/>
        <v>20778</v>
      </c>
      <c r="N116" s="739">
        <f t="shared" si="49"/>
        <v>20778</v>
      </c>
      <c r="O116" s="739">
        <f t="shared" si="49"/>
        <v>20778</v>
      </c>
      <c r="P116" s="739">
        <f t="shared" si="49"/>
        <v>20778</v>
      </c>
      <c r="Q116" s="915">
        <f t="shared" si="49"/>
        <v>20885.5</v>
      </c>
      <c r="R116" s="853">
        <f t="shared" si="49"/>
        <v>20573</v>
      </c>
      <c r="S116" s="850">
        <f t="shared" si="49"/>
        <v>20573</v>
      </c>
      <c r="T116" s="850">
        <f t="shared" si="49"/>
        <v>20573</v>
      </c>
      <c r="U116" s="850">
        <f t="shared" si="49"/>
        <v>20778</v>
      </c>
      <c r="V116" s="850">
        <f t="shared" si="49"/>
        <v>20778</v>
      </c>
      <c r="W116" s="850">
        <f t="shared" si="49"/>
        <v>21090.5</v>
      </c>
      <c r="X116" s="850">
        <f t="shared" si="49"/>
        <v>20778</v>
      </c>
      <c r="Y116" s="850">
        <f t="shared" si="49"/>
        <v>20778</v>
      </c>
      <c r="Z116" s="850">
        <f t="shared" si="49"/>
        <v>20778</v>
      </c>
      <c r="AA116" s="850">
        <f t="shared" si="49"/>
        <v>20778</v>
      </c>
      <c r="AB116" s="850">
        <f t="shared" si="49"/>
        <v>20778</v>
      </c>
      <c r="AC116" s="1162">
        <f t="shared" si="49"/>
        <v>20885.5</v>
      </c>
      <c r="AD116" s="1168">
        <f t="shared" si="46"/>
        <v>249141</v>
      </c>
      <c r="AE116" s="952">
        <f t="shared" si="47"/>
        <v>249141</v>
      </c>
      <c r="AF116" s="34"/>
      <c r="AG116" s="61"/>
      <c r="AH116" s="61"/>
      <c r="AI116" s="61"/>
      <c r="AJ116" s="61"/>
      <c r="AK116" s="61"/>
      <c r="AL116" s="61"/>
      <c r="AM116" s="61"/>
      <c r="AN116" s="61"/>
      <c r="AO116" s="61"/>
      <c r="AP116" s="61"/>
      <c r="AQ116" s="61"/>
      <c r="AR116" s="61"/>
      <c r="AS116" s="61"/>
      <c r="AT116" s="61"/>
      <c r="AU116" s="61"/>
      <c r="AV116" s="61"/>
      <c r="AW116" s="61"/>
      <c r="AX116" s="61"/>
      <c r="AY116" s="61"/>
      <c r="AZ116" s="61"/>
      <c r="BA116" s="61"/>
      <c r="BB116" s="61"/>
    </row>
    <row r="117" spans="1:54" ht="13.5" thickBot="1" x14ac:dyDescent="0.25">
      <c r="A117" s="28"/>
      <c r="B117" s="61"/>
      <c r="C117" s="115" t="s">
        <v>216</v>
      </c>
      <c r="D117" s="79"/>
      <c r="E117" s="916"/>
      <c r="F117" s="892"/>
      <c r="G117" s="651"/>
      <c r="H117" s="651"/>
      <c r="I117" s="651"/>
      <c r="J117" s="651"/>
      <c r="K117" s="651"/>
      <c r="L117" s="651"/>
      <c r="M117" s="891"/>
      <c r="N117" s="651"/>
      <c r="O117" s="651"/>
      <c r="P117" s="651"/>
      <c r="Q117" s="916"/>
      <c r="R117" s="892"/>
      <c r="S117" s="79"/>
      <c r="T117" s="79"/>
      <c r="U117" s="79"/>
      <c r="V117" s="79"/>
      <c r="W117" s="79"/>
      <c r="X117" s="79"/>
      <c r="Y117" s="79"/>
      <c r="Z117" s="79"/>
      <c r="AA117" s="79"/>
      <c r="AB117" s="79"/>
      <c r="AC117" s="916"/>
      <c r="AD117" s="226" t="s">
        <v>790</v>
      </c>
      <c r="AE117" s="526" t="s">
        <v>791</v>
      </c>
      <c r="AG117" s="61"/>
      <c r="AH117" s="61"/>
      <c r="AI117" s="61"/>
      <c r="AJ117" s="61"/>
      <c r="AK117" s="61"/>
      <c r="AL117" s="61"/>
      <c r="AM117" s="61"/>
      <c r="AN117" s="61"/>
      <c r="AO117" s="61"/>
      <c r="AP117" s="61"/>
      <c r="AQ117" s="61"/>
      <c r="AR117" s="61"/>
      <c r="AS117" s="61"/>
      <c r="AT117" s="61"/>
      <c r="AU117" s="61"/>
      <c r="AV117" s="61"/>
      <c r="AW117" s="61"/>
      <c r="AX117" s="61"/>
      <c r="AY117" s="61"/>
      <c r="AZ117" s="61"/>
      <c r="BA117" s="61"/>
      <c r="BB117" s="61"/>
    </row>
    <row r="118" spans="1:54" x14ac:dyDescent="0.2">
      <c r="A118" s="28"/>
      <c r="B118" s="61"/>
      <c r="C118" s="893" t="s">
        <v>711</v>
      </c>
      <c r="D118" s="894"/>
      <c r="E118" s="1145"/>
      <c r="F118" s="1138">
        <f>F65+(F86-F87)</f>
        <v>8791.8254451846406</v>
      </c>
      <c r="G118" s="1121">
        <f>G65+(G86-G87)</f>
        <v>8335.6165646418631</v>
      </c>
      <c r="H118" s="1121">
        <f>H65+(H86-H87)</f>
        <v>8791.8254451846406</v>
      </c>
      <c r="I118" s="1121">
        <f t="shared" ref="I118:AC118" si="50">I65+(I86-I87)</f>
        <v>8639.7558183370493</v>
      </c>
      <c r="J118" s="1121">
        <f t="shared" si="50"/>
        <v>8791.8254451846406</v>
      </c>
      <c r="K118" s="1121">
        <f t="shared" si="50"/>
        <v>8577.0501819915553</v>
      </c>
      <c r="L118" s="1121">
        <f t="shared" si="50"/>
        <v>8727.029620960966</v>
      </c>
      <c r="M118" s="1121">
        <f t="shared" si="50"/>
        <v>8727.029620960966</v>
      </c>
      <c r="N118" s="1121">
        <f t="shared" si="50"/>
        <v>8577.0501819915553</v>
      </c>
      <c r="O118" s="1121">
        <f t="shared" si="50"/>
        <v>8727.029620960966</v>
      </c>
      <c r="P118" s="1121">
        <f t="shared" si="50"/>
        <v>8639.7558183370493</v>
      </c>
      <c r="Q118" s="1154">
        <f t="shared" si="50"/>
        <v>8791.8254451846406</v>
      </c>
      <c r="R118" s="919">
        <f t="shared" si="50"/>
        <v>8791.8254451846406</v>
      </c>
      <c r="S118" s="1121">
        <f t="shared" si="50"/>
        <v>8335.6165646418631</v>
      </c>
      <c r="T118" s="1123">
        <f t="shared" si="50"/>
        <v>8791.8254451846406</v>
      </c>
      <c r="U118" s="1121">
        <f t="shared" si="50"/>
        <v>8639.7558183370493</v>
      </c>
      <c r="V118" s="1121">
        <f t="shared" si="50"/>
        <v>8791.8254451846406</v>
      </c>
      <c r="W118" s="1121">
        <f t="shared" si="50"/>
        <v>8577.0501819915553</v>
      </c>
      <c r="X118" s="1121">
        <f t="shared" si="50"/>
        <v>8727.029620960966</v>
      </c>
      <c r="Y118" s="1121">
        <f t="shared" si="50"/>
        <v>8727.029620960966</v>
      </c>
      <c r="Z118" s="1121">
        <f t="shared" si="50"/>
        <v>8577.0501819915553</v>
      </c>
      <c r="AA118" s="1121">
        <f t="shared" si="50"/>
        <v>8727.029620960966</v>
      </c>
      <c r="AB118" s="1121">
        <f t="shared" si="50"/>
        <v>8639.7558183370493</v>
      </c>
      <c r="AC118" s="1154">
        <f t="shared" si="50"/>
        <v>8791.8254451846406</v>
      </c>
      <c r="AD118" s="1169">
        <f t="shared" ref="AD118:AD139" si="51">SUM(F118:Q118)</f>
        <v>104117.61920892053</v>
      </c>
      <c r="AE118" s="949">
        <f t="shared" ref="AE118:AE136" si="52">SUM(R118:AC118)</f>
        <v>104117.61920892053</v>
      </c>
      <c r="AF118" s="61"/>
      <c r="AG118" s="61"/>
      <c r="AH118" s="61"/>
      <c r="AI118" s="61"/>
      <c r="AJ118" s="61"/>
      <c r="AK118" s="61"/>
      <c r="AL118" s="61"/>
      <c r="AM118" s="61"/>
      <c r="AN118" s="61"/>
      <c r="AO118" s="61"/>
      <c r="AP118" s="61"/>
      <c r="AQ118" s="61"/>
      <c r="AR118" s="61"/>
      <c r="AS118" s="61"/>
      <c r="AT118" s="61"/>
      <c r="AU118" s="61"/>
      <c r="AV118" s="61"/>
      <c r="AW118" s="61"/>
      <c r="AX118" s="61"/>
      <c r="AY118" s="61"/>
      <c r="AZ118" s="61"/>
      <c r="BA118" s="61"/>
      <c r="BB118" s="61"/>
    </row>
    <row r="119" spans="1:54" x14ac:dyDescent="0.2">
      <c r="A119" s="28"/>
      <c r="B119" s="61"/>
      <c r="C119" s="895" t="s">
        <v>810</v>
      </c>
      <c r="D119" s="128"/>
      <c r="E119" s="1143"/>
      <c r="F119" s="928">
        <f>(F31*Input!$E$320)+(Input!$E$316/12)</f>
        <v>83.333333333333329</v>
      </c>
      <c r="G119" s="1122">
        <f>(G31*Input!$E$320)+(Input!$E$316/12)</f>
        <v>83.333333333333329</v>
      </c>
      <c r="H119" s="1122">
        <f>(H31*Input!$E$320)+(Input!$E$316/12)</f>
        <v>83.333333333333329</v>
      </c>
      <c r="I119" s="1122">
        <f>(I31*Input!$E$320)+(Input!$E$316/12)</f>
        <v>83.333333333333329</v>
      </c>
      <c r="J119" s="1122">
        <f>(J31*Input!$E$320)+(Input!$E$316/12)</f>
        <v>83.333333333333329</v>
      </c>
      <c r="K119" s="1122">
        <f>(K31*Input!$E$320)+(Input!$E$316/12)</f>
        <v>83.333333333333329</v>
      </c>
      <c r="L119" s="1122">
        <f>(L31*Input!$E$320)+(Input!$E$316/12)</f>
        <v>83.333333333333329</v>
      </c>
      <c r="M119" s="1122">
        <f>(M31*Input!$E$320)+(Input!$E$316/12)</f>
        <v>83.333333333333329</v>
      </c>
      <c r="N119" s="1122">
        <f>(N31*Input!$E$320)+(Input!$E$316/12)</f>
        <v>83.333333333333329</v>
      </c>
      <c r="O119" s="1122">
        <f>(O31*Input!$E$320)+(Input!$E$316/12)</f>
        <v>83.333333333333329</v>
      </c>
      <c r="P119" s="1122">
        <f>(P31*Input!$E$320)+(Input!$E$316/12)</f>
        <v>83.333333333333329</v>
      </c>
      <c r="Q119" s="1155">
        <f>(Q31*Input!$E$320)+(Input!$E$316/12)</f>
        <v>83.333333333333329</v>
      </c>
      <c r="R119" s="1156">
        <f>(R31*Input!$F$320)+(Input!$F$316/12)</f>
        <v>85</v>
      </c>
      <c r="S119" s="1122">
        <f>(S31*Input!$F$320)+(Input!$F$316/12)</f>
        <v>85</v>
      </c>
      <c r="T119" s="1124">
        <f>(T31*Input!$F$320)+(Input!$F$316/12)</f>
        <v>85</v>
      </c>
      <c r="U119" s="1122">
        <f>(U31*Input!$F$320)+(Input!$F$316/12)</f>
        <v>85</v>
      </c>
      <c r="V119" s="1122">
        <f>(V31*Input!$F$320)+(Input!$F$316/12)</f>
        <v>85</v>
      </c>
      <c r="W119" s="1122">
        <f>(W31*Input!$F$320)+(Input!$F$316/12)</f>
        <v>85</v>
      </c>
      <c r="X119" s="1122">
        <f>(X31*Input!$F$320)+(Input!$F$316/12)</f>
        <v>85</v>
      </c>
      <c r="Y119" s="1122">
        <f>(Y31*Input!$F$320)+(Input!$F$316/12)</f>
        <v>85</v>
      </c>
      <c r="Z119" s="1122">
        <f>(Z31*Input!$F$320)+(Input!$F$316/12)</f>
        <v>85</v>
      </c>
      <c r="AA119" s="1122">
        <f>(AA31*Input!$F$320)+(Input!$F$316/12)</f>
        <v>85</v>
      </c>
      <c r="AB119" s="1122">
        <f>(AB31*Input!$F$320)+(Input!$F$316/12)</f>
        <v>85</v>
      </c>
      <c r="AC119" s="1155">
        <f>(AC31*Input!$F$320)+(Input!$F$316/12)</f>
        <v>85</v>
      </c>
      <c r="AD119" s="1170">
        <f t="shared" si="51"/>
        <v>1000.0000000000001</v>
      </c>
      <c r="AE119" s="950">
        <f t="shared" si="52"/>
        <v>1020</v>
      </c>
      <c r="AF119" s="61"/>
      <c r="AG119" s="61"/>
      <c r="AH119" s="61"/>
      <c r="AI119" s="61"/>
      <c r="AJ119" s="61"/>
      <c r="AK119" s="61"/>
      <c r="AL119" s="61"/>
      <c r="AM119" s="61"/>
      <c r="AN119" s="61"/>
      <c r="AO119" s="61"/>
      <c r="AP119" s="61"/>
      <c r="AQ119" s="61"/>
      <c r="AR119" s="61"/>
      <c r="AS119" s="61"/>
      <c r="AT119" s="61"/>
      <c r="AU119" s="61"/>
      <c r="AV119" s="61"/>
      <c r="AW119" s="61"/>
      <c r="AX119" s="61"/>
      <c r="AY119" s="61"/>
      <c r="AZ119" s="61"/>
      <c r="BA119" s="61"/>
      <c r="BB119" s="61"/>
    </row>
    <row r="120" spans="1:54" x14ac:dyDescent="0.2">
      <c r="A120" s="28"/>
      <c r="B120" s="61"/>
      <c r="C120" s="118" t="s">
        <v>84</v>
      </c>
      <c r="D120" s="894"/>
      <c r="E120" s="1145"/>
      <c r="F120" s="928">
        <f>(Input!$E$305)/12</f>
        <v>478.68333333333334</v>
      </c>
      <c r="G120" s="1122">
        <f>(Input!$E$305)/12</f>
        <v>478.68333333333334</v>
      </c>
      <c r="H120" s="1122">
        <f>(Input!$E$305)/12</f>
        <v>478.68333333333334</v>
      </c>
      <c r="I120" s="1122">
        <f>(Input!$E$305)/12</f>
        <v>478.68333333333334</v>
      </c>
      <c r="J120" s="1122">
        <f>(Input!$E$305)/12</f>
        <v>478.68333333333334</v>
      </c>
      <c r="K120" s="1122">
        <f>(Input!$E$305)/12</f>
        <v>478.68333333333334</v>
      </c>
      <c r="L120" s="1122">
        <f>(Input!$E$305)/12</f>
        <v>478.68333333333334</v>
      </c>
      <c r="M120" s="1122">
        <f>(Input!$E$305)/12</f>
        <v>478.68333333333334</v>
      </c>
      <c r="N120" s="1122">
        <f>(Input!$E$305)/12</f>
        <v>478.68333333333334</v>
      </c>
      <c r="O120" s="1122">
        <f>(Input!$E$305)/12</f>
        <v>478.68333333333334</v>
      </c>
      <c r="P120" s="1122">
        <f>(Input!$E$305)/12</f>
        <v>478.68333333333334</v>
      </c>
      <c r="Q120" s="1155">
        <f>(Input!$E$305)/12</f>
        <v>478.68333333333334</v>
      </c>
      <c r="R120" s="1156">
        <f>(Input!$F$305)/12</f>
        <v>488.25700000000006</v>
      </c>
      <c r="S120" s="1122">
        <f>(Input!$F$305)/12</f>
        <v>488.25700000000006</v>
      </c>
      <c r="T120" s="1124">
        <f>(Input!$F$305)/12</f>
        <v>488.25700000000006</v>
      </c>
      <c r="U120" s="1122">
        <f>(Input!$F$305)/12</f>
        <v>488.25700000000006</v>
      </c>
      <c r="V120" s="1122">
        <f>(Input!$F$305)/12</f>
        <v>488.25700000000006</v>
      </c>
      <c r="W120" s="1122">
        <f>(Input!$F$305)/12</f>
        <v>488.25700000000006</v>
      </c>
      <c r="X120" s="1122">
        <f>(Input!$F$305)/12</f>
        <v>488.25700000000006</v>
      </c>
      <c r="Y120" s="1122">
        <f>(Input!$F$305)/12</f>
        <v>488.25700000000006</v>
      </c>
      <c r="Z120" s="1122">
        <f>(Input!$F$305)/12</f>
        <v>488.25700000000006</v>
      </c>
      <c r="AA120" s="1122">
        <f>(Input!$F$305)/12</f>
        <v>488.25700000000006</v>
      </c>
      <c r="AB120" s="1122">
        <f>(Input!$F$305)/12</f>
        <v>488.25700000000006</v>
      </c>
      <c r="AC120" s="1155">
        <f>(Input!$F$305)/12</f>
        <v>488.25700000000006</v>
      </c>
      <c r="AD120" s="1170">
        <f t="shared" si="51"/>
        <v>5744.2</v>
      </c>
      <c r="AE120" s="950">
        <f t="shared" si="52"/>
        <v>5859.0839999999989</v>
      </c>
      <c r="AF120" s="61"/>
      <c r="AG120" s="61"/>
      <c r="AH120" s="61"/>
      <c r="AM120" s="61"/>
      <c r="AN120" s="61"/>
      <c r="AO120" s="61"/>
      <c r="AU120" s="61"/>
      <c r="AV120" s="61"/>
      <c r="AW120" s="61"/>
    </row>
    <row r="121" spans="1:54" x14ac:dyDescent="0.2">
      <c r="A121" s="28"/>
      <c r="B121" s="61"/>
      <c r="C121" s="655" t="s">
        <v>224</v>
      </c>
      <c r="D121" s="889"/>
      <c r="E121" s="1145"/>
      <c r="F121" s="928">
        <f>F23*(Input!$E$311)</f>
        <v>1057.5</v>
      </c>
      <c r="G121" s="1122">
        <f>G23*(Input!$E$311)</f>
        <v>1057.5</v>
      </c>
      <c r="H121" s="1122">
        <f>H23*(Input!$E$311)</f>
        <v>1057.5</v>
      </c>
      <c r="I121" s="1122">
        <f>I23*(Input!$E$311)</f>
        <v>1057.5</v>
      </c>
      <c r="J121" s="1122">
        <f>J23*(Input!$E$311)</f>
        <v>1057.5</v>
      </c>
      <c r="K121" s="1122">
        <f>K23*(Input!$E$311)</f>
        <v>1057.5</v>
      </c>
      <c r="L121" s="1122">
        <f>L23*(Input!$E$311)</f>
        <v>1057.5</v>
      </c>
      <c r="M121" s="1122">
        <f>M23*(Input!$E$311)</f>
        <v>1057.5</v>
      </c>
      <c r="N121" s="1122">
        <f>N23*(Input!$E$311)</f>
        <v>1057.5</v>
      </c>
      <c r="O121" s="1122">
        <f>O23*(Input!$E$311)</f>
        <v>1057.5</v>
      </c>
      <c r="P121" s="1122">
        <f>P23*(Input!$E$311)</f>
        <v>1057.5</v>
      </c>
      <c r="Q121" s="1151">
        <f>Q23*(Input!$E$311)</f>
        <v>1057.5</v>
      </c>
      <c r="R121" s="1156">
        <f>R23*(Input!$F$311)</f>
        <v>1078.6499999999999</v>
      </c>
      <c r="S121" s="1122">
        <f>(Input!$F$313)/12</f>
        <v>1078.6499999999999</v>
      </c>
      <c r="T121" s="1122">
        <f>(Input!$F$313)/12</f>
        <v>1078.6499999999999</v>
      </c>
      <c r="U121" s="1122">
        <f>(Input!$F$313)/12</f>
        <v>1078.6499999999999</v>
      </c>
      <c r="V121" s="1122">
        <f>(Input!$F$313)/12</f>
        <v>1078.6499999999999</v>
      </c>
      <c r="W121" s="1122">
        <f>(Input!$F$313)/12</f>
        <v>1078.6499999999999</v>
      </c>
      <c r="X121" s="1122">
        <f>(Input!$F$313)/12</f>
        <v>1078.6499999999999</v>
      </c>
      <c r="Y121" s="1122">
        <f>(Input!$F$313)/12</f>
        <v>1078.6499999999999</v>
      </c>
      <c r="Z121" s="1122">
        <f>(Input!$F$313)/12</f>
        <v>1078.6499999999999</v>
      </c>
      <c r="AA121" s="1122">
        <f>(Input!$F$313)/12</f>
        <v>1078.6499999999999</v>
      </c>
      <c r="AB121" s="1122">
        <f>(Input!$F$313)/12</f>
        <v>1078.6499999999999</v>
      </c>
      <c r="AC121" s="1151">
        <f>(Input!$F$313)/12</f>
        <v>1078.6499999999999</v>
      </c>
      <c r="AD121" s="1170">
        <f t="shared" si="51"/>
        <v>12690</v>
      </c>
      <c r="AE121" s="950">
        <f t="shared" si="52"/>
        <v>12943.799999999997</v>
      </c>
      <c r="AF121" s="61"/>
      <c r="AG121" s="61"/>
      <c r="AH121" s="61"/>
      <c r="AM121" s="61"/>
      <c r="AN121" s="61"/>
      <c r="AO121" s="61"/>
      <c r="AU121" s="61"/>
      <c r="AV121" s="61"/>
      <c r="AW121" s="61"/>
    </row>
    <row r="122" spans="1:54" x14ac:dyDescent="0.2">
      <c r="A122" s="28"/>
      <c r="B122" s="61"/>
      <c r="C122" s="895" t="s">
        <v>943</v>
      </c>
      <c r="D122" s="128"/>
      <c r="E122" s="1143"/>
      <c r="F122" s="925">
        <f>(F4*Input!$E$26)+(F13*Input!$E$33)+F87</f>
        <v>308.88996743202915</v>
      </c>
      <c r="G122" s="1122">
        <f>(G4*Input!$E$26)+(G13*Input!$E$33)+G87</f>
        <v>308.8899674320291</v>
      </c>
      <c r="H122" s="1122">
        <f>(H4*Input!$E$26)+(H13*Input!$E$33)+H87</f>
        <v>308.88996743202915</v>
      </c>
      <c r="I122" s="1122">
        <f>(I4*Input!$E$26)+(I13*Input!$E$33)+I87</f>
        <v>308.8899674320291</v>
      </c>
      <c r="J122" s="1122">
        <f>(J4*Input!$E$26)+(J13*Input!$E$33)+J87</f>
        <v>308.88996743202915</v>
      </c>
      <c r="K122" s="1122">
        <f>(K4*Input!$E$26)+(K13*Input!$E$33)+K87</f>
        <v>1228.8899674320289</v>
      </c>
      <c r="L122" s="1122">
        <f>(L4*Input!$E$26)+(L13*Input!$E$33)+L87</f>
        <v>308.88996743202915</v>
      </c>
      <c r="M122" s="1122">
        <f>(M4*Input!$E$26)+(M13*Input!$E$33)+M87</f>
        <v>308.88996743202915</v>
      </c>
      <c r="N122" s="1122">
        <f>(N4*Input!$E$26)+(N13*Input!$E$33)+N87</f>
        <v>308.8899674320291</v>
      </c>
      <c r="O122" s="1122">
        <f>(O4*Input!$E$26)+(O13*Input!$E$33)+O87</f>
        <v>308.88996743202915</v>
      </c>
      <c r="P122" s="1122">
        <f>(P4*Input!$E$26)+(P13*Input!$E$33)+P87</f>
        <v>308.8899674320291</v>
      </c>
      <c r="Q122" s="1151">
        <f>(Q4*Input!$E$26)+(Q13*Input!$E$33)+Q87</f>
        <v>1228.8899674320292</v>
      </c>
      <c r="R122" s="1156">
        <f>(R4*Input!$E$26)+(R13*Input!$E$33)+R87</f>
        <v>308.88996743202915</v>
      </c>
      <c r="S122" s="1122">
        <f>(S4*Input!$E$26)+(S13*Input!$E$33)+S87</f>
        <v>308.8899674320291</v>
      </c>
      <c r="T122" s="1122">
        <f>(T4*Input!$E$26)+(T13*Input!$E$33)+T87</f>
        <v>308.88996743202915</v>
      </c>
      <c r="U122" s="1122">
        <f>(U4*Input!$E$26)+(U13*Input!$E$33)+U87</f>
        <v>308.8899674320291</v>
      </c>
      <c r="V122" s="1122">
        <f>(V4*Input!$E$26)+(V13*Input!$E$33)+V87</f>
        <v>308.88996743202915</v>
      </c>
      <c r="W122" s="1122">
        <f>(W4*Input!$E$26)+(W13*Input!$E$33)+W87</f>
        <v>1228.8899674320289</v>
      </c>
      <c r="X122" s="1122">
        <f>(X4*Input!$E$26)+(X13*Input!$E$33)+X87</f>
        <v>308.88996743202915</v>
      </c>
      <c r="Y122" s="1122">
        <f>(Y4*Input!$E$26)+(Y13*Input!$E$33)+Y87</f>
        <v>308.88996743202915</v>
      </c>
      <c r="Z122" s="1122">
        <f>(Z4*Input!$E$26)+(Z13*Input!$E$33)+Z87</f>
        <v>308.8899674320291</v>
      </c>
      <c r="AA122" s="1122">
        <f>(AA4*Input!$E$26)+(AA13*Input!$E$33)+AA87</f>
        <v>308.88996743202915</v>
      </c>
      <c r="AB122" s="1122">
        <f>(AB4*Input!$E$26)+(AB13*Input!$E$33)+AB87</f>
        <v>308.8899674320291</v>
      </c>
      <c r="AC122" s="1151">
        <f>(AC4*Input!$E$26)+(AC13*Input!$E$33)+AC87</f>
        <v>1228.8899674320292</v>
      </c>
      <c r="AD122" s="1170">
        <f t="shared" si="51"/>
        <v>5546.6796091843498</v>
      </c>
      <c r="AE122" s="950">
        <f t="shared" si="52"/>
        <v>5546.6796091843498</v>
      </c>
      <c r="AF122" s="61"/>
      <c r="AG122" s="61"/>
      <c r="AH122" s="61"/>
      <c r="AI122" s="61"/>
      <c r="AJ122" s="61"/>
      <c r="AK122" s="61"/>
      <c r="AL122" s="61"/>
      <c r="AM122" s="61"/>
      <c r="AN122" s="61"/>
      <c r="AO122" s="61"/>
      <c r="AP122" s="61"/>
      <c r="AQ122" s="61"/>
      <c r="AR122" s="61"/>
      <c r="AS122" s="61"/>
      <c r="AT122" s="61"/>
      <c r="AU122" s="61"/>
      <c r="AV122" s="61"/>
      <c r="AW122" s="61"/>
      <c r="AX122" s="61"/>
      <c r="AY122" s="61"/>
      <c r="AZ122" s="61"/>
      <c r="BA122" s="61"/>
      <c r="BB122" s="61"/>
    </row>
    <row r="123" spans="1:54" x14ac:dyDescent="0.2">
      <c r="A123" s="28"/>
      <c r="B123" s="61"/>
      <c r="C123" s="118" t="s">
        <v>293</v>
      </c>
      <c r="D123" s="894"/>
      <c r="E123" s="1145"/>
      <c r="F123" s="928">
        <f>(Input!$E$325+Input!$E$326+Input!$E$329+Input!$E$330)/12</f>
        <v>225</v>
      </c>
      <c r="G123" s="1122">
        <f>(Input!$E$325+Input!$E$326+Input!$E$329+Input!$E$330)/12</f>
        <v>225</v>
      </c>
      <c r="H123" s="1122">
        <f>(Input!$E$325+Input!$E$326+Input!$E$329+Input!$E$330)/12</f>
        <v>225</v>
      </c>
      <c r="I123" s="1122">
        <f>(Input!$E$325+Input!$E$326+Input!$E$329+Input!$E$330)/12</f>
        <v>225</v>
      </c>
      <c r="J123" s="1122">
        <f>(Input!$E$325+Input!$E$326+Input!$E$329+Input!$E$330)/12</f>
        <v>225</v>
      </c>
      <c r="K123" s="1122">
        <f>(Input!$E$325+Input!$E$326+Input!$E$329+Input!$E$330)/12</f>
        <v>225</v>
      </c>
      <c r="L123" s="1122">
        <f>(Input!$E$325+Input!$E$326+Input!$E$329+Input!$E$330)/12</f>
        <v>225</v>
      </c>
      <c r="M123" s="1122">
        <f>(Input!$E$325+Input!$E$326+Input!$E$329+Input!$E$330)/12</f>
        <v>225</v>
      </c>
      <c r="N123" s="1122">
        <f>(Input!$F$325+Input!$F$326+Input!$F$329+Input!$F$330)/12</f>
        <v>226.66666666666666</v>
      </c>
      <c r="O123" s="1122">
        <f>(Input!$F$325+Input!$F$326+Input!$F$329+Input!$F$330)/12</f>
        <v>226.66666666666666</v>
      </c>
      <c r="P123" s="1122">
        <f>(Input!$F$325+Input!$F$326+Input!$F$329+Input!$F$330)/12</f>
        <v>226.66666666666666</v>
      </c>
      <c r="Q123" s="1151">
        <f>(Input!$F$325+Input!$F$326+Input!$F$329+Input!$F$330)/12</f>
        <v>226.66666666666666</v>
      </c>
      <c r="R123" s="1156">
        <f>(Input!$F$325+Input!$F$326+Input!$F$329+Input!$F$330)/12</f>
        <v>226.66666666666666</v>
      </c>
      <c r="S123" s="1122">
        <f>(Input!$F$325+Input!$F$326+Input!$F$329+Input!$F$330)/12</f>
        <v>226.66666666666666</v>
      </c>
      <c r="T123" s="1122">
        <f>(Input!$F$325+Input!$F$326+Input!$F$329+Input!$F$330)/12</f>
        <v>226.66666666666666</v>
      </c>
      <c r="U123" s="1122">
        <f>(Input!$F$325+Input!$F$326+Input!$F$329+Input!$F$330)/12</f>
        <v>226.66666666666666</v>
      </c>
      <c r="V123" s="1122">
        <f>(Input!$G$325+Input!$G$326+Input!$G$329+Input!$G$330)/12</f>
        <v>228.36666666666665</v>
      </c>
      <c r="W123" s="1122">
        <f>(Input!$G$325+Input!$G$326+Input!$G$329+Input!$G$330)/12</f>
        <v>228.36666666666665</v>
      </c>
      <c r="X123" s="1122">
        <f>(Input!$G$325+Input!$G$326+Input!$G$329+Input!$G$330)/12</f>
        <v>228.36666666666665</v>
      </c>
      <c r="Y123" s="1122">
        <f>(Input!$G$325+Input!$G$326+Input!$G$329+Input!$G$330)/12</f>
        <v>228.36666666666665</v>
      </c>
      <c r="Z123" s="1122">
        <f>(Input!$G$325+Input!$G$326+Input!$G$329+Input!$G$330)/12</f>
        <v>228.36666666666665</v>
      </c>
      <c r="AA123" s="1122">
        <f>(Input!$G$325+Input!$G$326+Input!$G$329+Input!$G$330)/12</f>
        <v>228.36666666666665</v>
      </c>
      <c r="AB123" s="1122">
        <f>(Input!$G$325+Input!$G$326+Input!$G$329+Input!$G$330)/12</f>
        <v>228.36666666666665</v>
      </c>
      <c r="AC123" s="1151">
        <f>(Input!$G$325+Input!$G$326+Input!$G$329+Input!$G$330)/12</f>
        <v>228.36666666666665</v>
      </c>
      <c r="AD123" s="1170">
        <f t="shared" si="51"/>
        <v>2706.6666666666665</v>
      </c>
      <c r="AE123" s="950">
        <f t="shared" si="52"/>
        <v>2733.6</v>
      </c>
      <c r="AF123" s="61"/>
      <c r="AL123" s="61"/>
      <c r="AT123" s="61"/>
      <c r="BB123" s="61"/>
    </row>
    <row r="124" spans="1:54" x14ac:dyDescent="0.2">
      <c r="A124" s="28"/>
      <c r="B124" s="28"/>
      <c r="C124" s="118" t="s">
        <v>85</v>
      </c>
      <c r="D124" s="894"/>
      <c r="E124" s="1145"/>
      <c r="F124" s="928">
        <f>Input!$E$337/12</f>
        <v>2526.6666666666665</v>
      </c>
      <c r="G124" s="1122">
        <f>Input!$E$337/12</f>
        <v>2526.6666666666665</v>
      </c>
      <c r="H124" s="1122">
        <f>Input!$E$337/12</f>
        <v>2526.6666666666665</v>
      </c>
      <c r="I124" s="1122">
        <f>Input!$E$337/12</f>
        <v>2526.6666666666665</v>
      </c>
      <c r="J124" s="1122">
        <f>Input!$E$337/12</f>
        <v>2526.6666666666665</v>
      </c>
      <c r="K124" s="1122">
        <f>Input!$E$337/12</f>
        <v>2526.6666666666665</v>
      </c>
      <c r="L124" s="1122">
        <f>Input!$E$337/12</f>
        <v>2526.6666666666665</v>
      </c>
      <c r="M124" s="1122">
        <f>Input!$E$337/12</f>
        <v>2526.6666666666665</v>
      </c>
      <c r="N124" s="1122">
        <f>Input!$E$337/12</f>
        <v>2526.6666666666665</v>
      </c>
      <c r="O124" s="1122">
        <f>Input!$E$337/12</f>
        <v>2526.6666666666665</v>
      </c>
      <c r="P124" s="1122">
        <f>Input!$E$337/12</f>
        <v>2526.6666666666665</v>
      </c>
      <c r="Q124" s="1151">
        <f>Input!$E$337/12</f>
        <v>2526.6666666666665</v>
      </c>
      <c r="R124" s="1156">
        <f>Input!$F$337/12</f>
        <v>2577.1999999999998</v>
      </c>
      <c r="S124" s="1122">
        <f>Input!$F$337/12</f>
        <v>2577.1999999999998</v>
      </c>
      <c r="T124" s="1122">
        <f>Input!$F$337/12</f>
        <v>2577.1999999999998</v>
      </c>
      <c r="U124" s="1122">
        <f>Input!$F$337/12</f>
        <v>2577.1999999999998</v>
      </c>
      <c r="V124" s="1122">
        <f>Input!$F$337/12</f>
        <v>2577.1999999999998</v>
      </c>
      <c r="W124" s="1122">
        <f>Input!$F$337/12</f>
        <v>2577.1999999999998</v>
      </c>
      <c r="X124" s="1122">
        <f>Input!$F$337/12</f>
        <v>2577.1999999999998</v>
      </c>
      <c r="Y124" s="1122">
        <f>Input!$F$337/12</f>
        <v>2577.1999999999998</v>
      </c>
      <c r="Z124" s="1122">
        <f>Input!$F$337/12</f>
        <v>2577.1999999999998</v>
      </c>
      <c r="AA124" s="1122">
        <f>Input!$F$337/12</f>
        <v>2577.1999999999998</v>
      </c>
      <c r="AB124" s="1122">
        <f>Input!$F$337/12</f>
        <v>2577.1999999999998</v>
      </c>
      <c r="AC124" s="1151">
        <f>Input!$F$337/12</f>
        <v>2577.1999999999998</v>
      </c>
      <c r="AD124" s="1170">
        <f t="shared" si="51"/>
        <v>30320.000000000004</v>
      </c>
      <c r="AE124" s="950">
        <f t="shared" si="52"/>
        <v>30926.400000000005</v>
      </c>
      <c r="AF124" s="61"/>
      <c r="AG124" s="55"/>
      <c r="AH124" s="535"/>
      <c r="AI124" s="535"/>
      <c r="AJ124" s="535"/>
      <c r="AK124" s="535"/>
      <c r="AL124" s="535"/>
      <c r="AM124" s="535"/>
      <c r="AN124" s="535"/>
      <c r="AO124" s="535"/>
      <c r="AP124" s="535"/>
      <c r="AQ124" s="535"/>
      <c r="AR124" s="535"/>
      <c r="AS124" s="535"/>
      <c r="AT124" s="535"/>
      <c r="AU124" s="535"/>
      <c r="AV124" s="535"/>
      <c r="AW124" s="535"/>
      <c r="AX124" s="535"/>
      <c r="AY124" s="535"/>
      <c r="AZ124" s="535"/>
      <c r="BA124" s="535"/>
      <c r="BB124" s="535"/>
    </row>
    <row r="125" spans="1:54" x14ac:dyDescent="0.2">
      <c r="A125" s="28"/>
      <c r="B125" s="28"/>
      <c r="C125" s="118" t="s">
        <v>158</v>
      </c>
      <c r="D125" s="894"/>
      <c r="E125" s="1145"/>
      <c r="F125" s="928">
        <f>Input!$E$344/12</f>
        <v>300</v>
      </c>
      <c r="G125" s="1122">
        <f>Input!$E$344/12</f>
        <v>300</v>
      </c>
      <c r="H125" s="1122">
        <f>Input!$E$344/12</f>
        <v>300</v>
      </c>
      <c r="I125" s="1122">
        <f>Input!$E$344/12</f>
        <v>300</v>
      </c>
      <c r="J125" s="1122">
        <f>Input!$E$344/12</f>
        <v>300</v>
      </c>
      <c r="K125" s="1122">
        <f>Input!$E$344/12</f>
        <v>300</v>
      </c>
      <c r="L125" s="1122">
        <f>Input!$E$344/12</f>
        <v>300</v>
      </c>
      <c r="M125" s="1122">
        <f>Input!$E$344/12</f>
        <v>300</v>
      </c>
      <c r="N125" s="1122">
        <f>Input!$E$344/12</f>
        <v>300</v>
      </c>
      <c r="O125" s="1122">
        <f>Input!$E$344/12</f>
        <v>300</v>
      </c>
      <c r="P125" s="1122">
        <f>Input!$E$344/12</f>
        <v>300</v>
      </c>
      <c r="Q125" s="1151">
        <f>Input!$E$344/12</f>
        <v>300</v>
      </c>
      <c r="R125" s="1156">
        <f>Input!$F$344/12</f>
        <v>306</v>
      </c>
      <c r="S125" s="1122">
        <f>Input!$F$344/12</f>
        <v>306</v>
      </c>
      <c r="T125" s="1122">
        <f>Input!$F$344/12</f>
        <v>306</v>
      </c>
      <c r="U125" s="1122">
        <f>Input!$F$344/12</f>
        <v>306</v>
      </c>
      <c r="V125" s="1122">
        <f>Input!$F$344/12</f>
        <v>306</v>
      </c>
      <c r="W125" s="1122">
        <f>Input!$F$344/12</f>
        <v>306</v>
      </c>
      <c r="X125" s="1122">
        <f>Input!$F$344/12</f>
        <v>306</v>
      </c>
      <c r="Y125" s="1122">
        <f>Input!$F$344/12</f>
        <v>306</v>
      </c>
      <c r="Z125" s="1122">
        <f>Input!$F$344/12</f>
        <v>306</v>
      </c>
      <c r="AA125" s="1122">
        <f>Input!$F$344/12</f>
        <v>306</v>
      </c>
      <c r="AB125" s="1122">
        <f>Input!$F$344/12</f>
        <v>306</v>
      </c>
      <c r="AC125" s="1151">
        <f>Input!$F$344/12</f>
        <v>306</v>
      </c>
      <c r="AD125" s="1170">
        <f t="shared" si="51"/>
        <v>3600</v>
      </c>
      <c r="AE125" s="950">
        <f t="shared" si="52"/>
        <v>3672</v>
      </c>
    </row>
    <row r="126" spans="1:54" x14ac:dyDescent="0.2">
      <c r="A126" s="28"/>
      <c r="B126" s="61"/>
      <c r="C126" s="118" t="s">
        <v>159</v>
      </c>
      <c r="D126" s="894"/>
      <c r="E126" s="1145"/>
      <c r="F126" s="928">
        <f>(Input!$E$347+Input!$E$349)/12</f>
        <v>433.33333333333331</v>
      </c>
      <c r="G126" s="1122">
        <f>(Input!$E$347+Input!$E$349)/12</f>
        <v>433.33333333333331</v>
      </c>
      <c r="H126" s="1122">
        <f>(Input!$E$347+Input!$E$349)/12</f>
        <v>433.33333333333331</v>
      </c>
      <c r="I126" s="1122">
        <f>(Input!$E$347+Input!$E$349)/12</f>
        <v>433.33333333333331</v>
      </c>
      <c r="J126" s="1122">
        <f>(Input!$E$347+Input!$E$349)/12</f>
        <v>433.33333333333331</v>
      </c>
      <c r="K126" s="1122">
        <f>(Input!$E$347+Input!$E$349)/12</f>
        <v>433.33333333333331</v>
      </c>
      <c r="L126" s="1122">
        <f>(Input!$E$347+Input!$E$349)/12</f>
        <v>433.33333333333331</v>
      </c>
      <c r="M126" s="1122">
        <f>(Input!$E$347+Input!$E$349)/12</f>
        <v>433.33333333333331</v>
      </c>
      <c r="N126" s="1122">
        <f>(Input!$E$347+Input!$E$349)/12</f>
        <v>433.33333333333331</v>
      </c>
      <c r="O126" s="1122">
        <f>(Input!$E$347+Input!$E$349)/12</f>
        <v>433.33333333333331</v>
      </c>
      <c r="P126" s="1122">
        <f>(Input!$E$347+Input!$E$349)/12</f>
        <v>433.33333333333331</v>
      </c>
      <c r="Q126" s="1155">
        <f>(Input!$E$347+Input!$E$349)/12</f>
        <v>433.33333333333331</v>
      </c>
      <c r="R126" s="1156">
        <f>(Input!$F$347+Input!$F$349)/12</f>
        <v>442</v>
      </c>
      <c r="S126" s="62">
        <f>(Input!$F$347+Input!$F$349)/12</f>
        <v>442</v>
      </c>
      <c r="T126" s="1124">
        <f>(Input!$F$347+Input!$F$349)/12</f>
        <v>442</v>
      </c>
      <c r="U126" s="1122">
        <f>(Input!$F$347+Input!$F$349)/12</f>
        <v>442</v>
      </c>
      <c r="V126" s="1122">
        <f>(Input!$F$347+Input!$F$349)/12</f>
        <v>442</v>
      </c>
      <c r="W126" s="1122">
        <f>(Input!$F$347+Input!$F$349)/12</f>
        <v>442</v>
      </c>
      <c r="X126" s="1122">
        <f>(Input!$F$347+Input!$F$349)/12</f>
        <v>442</v>
      </c>
      <c r="Y126" s="1122">
        <f>(Input!$F$347+Input!$F$349)/12</f>
        <v>442</v>
      </c>
      <c r="Z126" s="1122">
        <f>(Input!$F$347+Input!$F$349)/12</f>
        <v>442</v>
      </c>
      <c r="AA126" s="1122">
        <f>(Input!$F$347+Input!$F$349)/12</f>
        <v>442</v>
      </c>
      <c r="AB126" s="1122">
        <f>(Input!$F$347+Input!$F$349)/12</f>
        <v>442</v>
      </c>
      <c r="AC126" s="1155">
        <f>(Input!$F$347+Input!$F$349)/12</f>
        <v>442</v>
      </c>
      <c r="AD126" s="1170">
        <f t="shared" si="51"/>
        <v>5200</v>
      </c>
      <c r="AE126" s="950">
        <f t="shared" si="52"/>
        <v>5304</v>
      </c>
      <c r="AF126" s="55"/>
    </row>
    <row r="127" spans="1:54" x14ac:dyDescent="0.2">
      <c r="A127" s="28"/>
      <c r="B127" s="61"/>
      <c r="C127" s="118" t="s">
        <v>483</v>
      </c>
      <c r="D127" s="894"/>
      <c r="E127" s="1145"/>
      <c r="F127" s="928">
        <f>(Input!$E$353+Input!$E$355)/12</f>
        <v>375</v>
      </c>
      <c r="G127" s="696">
        <f>(Input!$E$353+Input!$E$355)/12</f>
        <v>375</v>
      </c>
      <c r="H127" s="696">
        <f>(Input!$E$353+Input!$E$355)/12</f>
        <v>375</v>
      </c>
      <c r="I127" s="696">
        <f>(Input!$E$353+Input!$E$355)/12</f>
        <v>375</v>
      </c>
      <c r="J127" s="696">
        <f>(Input!$E$353+Input!$E$355)/12</f>
        <v>375</v>
      </c>
      <c r="K127" s="696">
        <f>(Input!$E$353+Input!$E$355)/12</f>
        <v>375</v>
      </c>
      <c r="L127" s="696">
        <f>(Input!$E$353+Input!$E$355)/12</f>
        <v>375</v>
      </c>
      <c r="M127" s="696">
        <f>(Input!$E$353+Input!$E$355)/12</f>
        <v>375</v>
      </c>
      <c r="N127" s="696">
        <f>(Input!$E$353+Input!$E$355)/12</f>
        <v>375</v>
      </c>
      <c r="O127" s="696">
        <f>(Input!$E$353+Input!$E$355)/12</f>
        <v>375</v>
      </c>
      <c r="P127" s="696">
        <f>(Input!$E$353+Input!$E$355)/12</f>
        <v>375</v>
      </c>
      <c r="Q127" s="1155">
        <f>(Input!$E$353+Input!$E$355)/12</f>
        <v>375</v>
      </c>
      <c r="R127" s="1156">
        <f>(Input!$F$353+Input!$F$355)/12</f>
        <v>382.5</v>
      </c>
      <c r="S127" s="62">
        <f>(Input!$F$353+Input!$F$355)/12</f>
        <v>382.5</v>
      </c>
      <c r="T127" s="1124">
        <f>(Input!$F$353+Input!$F$355)/12</f>
        <v>382.5</v>
      </c>
      <c r="U127" s="1122">
        <f>(Input!$F$353+Input!$F$355)/12</f>
        <v>382.5</v>
      </c>
      <c r="V127" s="1122">
        <f>(Input!$F$353+Input!$F$355)/12</f>
        <v>382.5</v>
      </c>
      <c r="W127" s="1122">
        <f>(Input!$F$353+Input!$F$355)/12</f>
        <v>382.5</v>
      </c>
      <c r="X127" s="1122">
        <f>(Input!$F$353+Input!$F$355)/12</f>
        <v>382.5</v>
      </c>
      <c r="Y127" s="1122">
        <f>(Input!$F$353+Input!$F$355)/12</f>
        <v>382.5</v>
      </c>
      <c r="Z127" s="1122">
        <f>(Input!$F$353+Input!$F$355)/12</f>
        <v>382.5</v>
      </c>
      <c r="AA127" s="1122">
        <f>(Input!$F$353+Input!$F$355)/12</f>
        <v>382.5</v>
      </c>
      <c r="AB127" s="1122">
        <f>(Input!$F$353+Input!$F$355)/12</f>
        <v>382.5</v>
      </c>
      <c r="AC127" s="1155">
        <f>(Input!$F$353+Input!$F$355)/12</f>
        <v>382.5</v>
      </c>
      <c r="AD127" s="1170">
        <f t="shared" si="51"/>
        <v>4500</v>
      </c>
      <c r="AE127" s="950">
        <f t="shared" si="52"/>
        <v>4590</v>
      </c>
      <c r="AG127" s="61"/>
      <c r="AR127" s="61"/>
      <c r="BB127" s="61"/>
    </row>
    <row r="128" spans="1:54" x14ac:dyDescent="0.2">
      <c r="A128" s="28"/>
      <c r="B128" s="61"/>
      <c r="C128" s="118" t="s">
        <v>944</v>
      </c>
      <c r="D128" s="894"/>
      <c r="E128" s="1145"/>
      <c r="F128" s="928">
        <f>((F28+F29)*(Input!$E$360+Input!$E$365+Input!$E$370))+(F17+F19)*(Input!$E$361+Input!$E$366+Input!$E$371)</f>
        <v>1548.7</v>
      </c>
      <c r="G128" s="696">
        <f>((G28+G29)*(Input!$E$360+Input!$E$365+Input!$E$370))+(G17+G19)*(Input!$E$361+Input!$E$366+Input!$E$371)</f>
        <v>1548.7</v>
      </c>
      <c r="H128" s="696">
        <f>((H28+H29)*(Input!$E$360+Input!$E$365+Input!$E$370))+(H17+H19)*(Input!$E$361+Input!$E$366+Input!$E$371)</f>
        <v>1548.7</v>
      </c>
      <c r="I128" s="696">
        <f>((I28+I29)*(Input!$E$360+Input!$E$365+Input!$E$370))+(I17+I19)*(Input!$E$361+Input!$E$366+Input!$E$371)</f>
        <v>1548.7</v>
      </c>
      <c r="J128" s="696">
        <f>((J28+J29)*(Input!$E$360+Input!$E$365+Input!$E$370))+(J17+J19)*(Input!$E$361+Input!$E$366+Input!$E$371)</f>
        <v>1548.7</v>
      </c>
      <c r="K128" s="696">
        <f>((K28+K29)*(Input!$E$360+Input!$E$365+Input!$E$370))+(K17+K19)*(Input!$E$361+Input!$E$366+Input!$E$371)</f>
        <v>1569.1000000000001</v>
      </c>
      <c r="L128" s="696">
        <f>((L28+L29)*(Input!$E$360+Input!$E$365+Input!$E$370))+(L17+L19)*(Input!$E$361+Input!$E$366+Input!$E$371)</f>
        <v>1548.7</v>
      </c>
      <c r="M128" s="696">
        <f>((M28+M29)*(Input!$E$360+Input!$E$365+Input!$E$370))+(M17+M19)*(Input!$E$361+Input!$E$366+Input!$E$371)</f>
        <v>1548.7</v>
      </c>
      <c r="N128" s="696">
        <f>((N28+N29)*(Input!$E$360+Input!$E$365+Input!$E$370))+(N17+N19)*(Input!$E$361+Input!$E$366+Input!$E$371)</f>
        <v>1548.7</v>
      </c>
      <c r="O128" s="696">
        <f>((O28+O29)*(Input!$E$360+Input!$E$365+Input!$E$370))+(O17+O19)*(Input!$E$361+Input!$E$366+Input!$E$371)</f>
        <v>1548.7</v>
      </c>
      <c r="P128" s="696">
        <f>((P28+P29)*(Input!$E$360+Input!$E$365+Input!$E$370))+(P17+P19)*(Input!$E$361+Input!$E$366+Input!$E$371)</f>
        <v>1548.7</v>
      </c>
      <c r="Q128" s="1155">
        <f>((Q28+Q29)*(Input!$E$360+Input!$E$365+Input!$E$370))+(Q17+Q19)*(Input!$E$361+Input!$E$366+Input!$E$371)</f>
        <v>1569.1000000000001</v>
      </c>
      <c r="R128" s="1156">
        <f>((R28+R29)*(Input!$F$360+Input!$F$365+Input!$F$370))+(R17+R19)*(Input!$F$361+Input!$F$366+Input!$F$371)</f>
        <v>1566.92</v>
      </c>
      <c r="S128" s="62">
        <f>((S28+S29)*(Input!$F$360+Input!$F$365+Input!$F$370))+(S17+S19)*(Input!$F$361+Input!$F$366+Input!$F$371)</f>
        <v>1566.92</v>
      </c>
      <c r="T128" s="1124">
        <f>((T28+T29)*(Input!$F$360+Input!$F$365+Input!$F$370))+(T17+T19)*(Input!$F$361+Input!$F$366+Input!$F$371)</f>
        <v>1566.92</v>
      </c>
      <c r="U128" s="1122">
        <f>((U28+U29)*(Input!$F$360+Input!$F$365+Input!$F$370))+(U17+U19)*(Input!$F$361+Input!$F$366+Input!$F$371)</f>
        <v>1566.92</v>
      </c>
      <c r="V128" s="1122">
        <f>((V28+V29)*(Input!$F$360+Input!$F$365+Input!$F$370))+(V17+V19)*(Input!$F$361+Input!$F$366+Input!$F$371)</f>
        <v>1566.92</v>
      </c>
      <c r="W128" s="1122">
        <f>((W28+W29)*(Input!$F$360+Input!$F$365+Input!$F$370))+(W17+W19)*(Input!$F$361+Input!$F$366+Input!$F$371)</f>
        <v>1587.56</v>
      </c>
      <c r="X128" s="1122">
        <f>((X28+X29)*(Input!$F$360+Input!$F$365+Input!$F$370))+(X17+X19)*(Input!$F$361+Input!$F$366+Input!$F$371)</f>
        <v>1566.92</v>
      </c>
      <c r="Y128" s="1122">
        <f>((Y28+Y29)*(Input!$F$360+Input!$F$365+Input!$F$370))+(Y17+Y19)*(Input!$F$361+Input!$F$366+Input!$F$371)</f>
        <v>1566.92</v>
      </c>
      <c r="Z128" s="1122">
        <f>((Z28+Z29)*(Input!$F$360+Input!$F$365+Input!$F$370))+(Z17+Z19)*(Input!$F$361+Input!$F$366+Input!$F$371)</f>
        <v>1566.92</v>
      </c>
      <c r="AA128" s="1122">
        <f>((AA28+AA29)*(Input!$F$360+Input!$F$365+Input!$F$370))+(AA17+AA19)*(Input!$F$361+Input!$F$366+Input!$F$371)</f>
        <v>1566.92</v>
      </c>
      <c r="AB128" s="1122">
        <f>((AB28+AB29)*(Input!$F$360+Input!$F$365+Input!$F$370))+(AB17+AB19)*(Input!$F$361+Input!$F$366+Input!$F$371)</f>
        <v>1566.92</v>
      </c>
      <c r="AC128" s="1155">
        <f>((AC28+AC29)*(Input!$F$360+Input!$F$365+Input!$F$370))+(AC17+AC19)*(Input!$F$361+Input!$F$366+Input!$F$371)</f>
        <v>1587.56</v>
      </c>
      <c r="AD128" s="1170">
        <f t="shared" si="51"/>
        <v>18625.2</v>
      </c>
      <c r="AE128" s="950">
        <f t="shared" si="52"/>
        <v>18844.320000000003</v>
      </c>
    </row>
    <row r="129" spans="1:54" x14ac:dyDescent="0.2">
      <c r="A129" s="28"/>
      <c r="B129" s="28"/>
      <c r="C129" s="118" t="s">
        <v>312</v>
      </c>
      <c r="D129" s="894"/>
      <c r="E129" s="1145"/>
      <c r="F129" s="928">
        <v>0</v>
      </c>
      <c r="G129" s="696">
        <v>0</v>
      </c>
      <c r="H129" s="696">
        <v>0</v>
      </c>
      <c r="I129" s="696">
        <f>I23*Input!$E$85</f>
        <v>270</v>
      </c>
      <c r="J129" s="696">
        <f>J23*Input!$E$85</f>
        <v>270</v>
      </c>
      <c r="K129" s="696">
        <f>K23*Input!$E$85</f>
        <v>270</v>
      </c>
      <c r="L129" s="696">
        <f>L23*Input!$E$85</f>
        <v>270</v>
      </c>
      <c r="M129" s="696">
        <f>M23*Input!$E$85</f>
        <v>270</v>
      </c>
      <c r="N129" s="696">
        <f>N23*Input!$E$85</f>
        <v>270</v>
      </c>
      <c r="O129" s="696">
        <f>O23*Input!$E$85</f>
        <v>270</v>
      </c>
      <c r="P129" s="696">
        <f>P23*Input!$E$85</f>
        <v>270</v>
      </c>
      <c r="Q129" s="1155">
        <v>0</v>
      </c>
      <c r="R129" s="1156">
        <v>0</v>
      </c>
      <c r="S129" s="62">
        <v>0</v>
      </c>
      <c r="T129" s="1125">
        <v>0</v>
      </c>
      <c r="U129" s="1122">
        <f>U23*Input!$F$85</f>
        <v>270</v>
      </c>
      <c r="V129" s="1122">
        <f>V23*Input!$F$85</f>
        <v>270</v>
      </c>
      <c r="W129" s="1122">
        <f>W23*Input!$F$85</f>
        <v>270</v>
      </c>
      <c r="X129" s="1122">
        <f>X23*Input!$F$85</f>
        <v>270</v>
      </c>
      <c r="Y129" s="1122">
        <f>Y23*Input!$F$85</f>
        <v>270</v>
      </c>
      <c r="Z129" s="1122">
        <f>Z23*Input!$F$85</f>
        <v>270</v>
      </c>
      <c r="AA129" s="1122">
        <f>AA23*Input!$F$85</f>
        <v>270</v>
      </c>
      <c r="AB129" s="1122">
        <f>AB23*Input!$F$85</f>
        <v>270</v>
      </c>
      <c r="AC129" s="1145"/>
      <c r="AD129" s="1170">
        <f t="shared" si="51"/>
        <v>2160</v>
      </c>
      <c r="AE129" s="950">
        <f t="shared" si="52"/>
        <v>2160</v>
      </c>
      <c r="AG129" s="55"/>
      <c r="AH129" s="61"/>
      <c r="AI129" s="61"/>
      <c r="AJ129" s="61"/>
      <c r="AK129" s="61"/>
      <c r="AL129" s="61"/>
      <c r="AM129" s="535"/>
      <c r="AN129" s="61"/>
      <c r="AO129" s="61"/>
      <c r="AP129" s="61"/>
      <c r="AQ129" s="61"/>
      <c r="AR129" s="61"/>
      <c r="AS129" s="535"/>
      <c r="AT129" s="61"/>
      <c r="AU129" s="61"/>
      <c r="AV129" s="61"/>
      <c r="AW129" s="61"/>
      <c r="AX129" s="61"/>
      <c r="AY129" s="535"/>
      <c r="AZ129" s="61"/>
      <c r="BA129" s="61"/>
      <c r="BB129" s="61"/>
    </row>
    <row r="130" spans="1:54" x14ac:dyDescent="0.2">
      <c r="A130" s="28"/>
      <c r="B130" s="61"/>
      <c r="C130" s="893" t="s">
        <v>321</v>
      </c>
      <c r="D130" s="894"/>
      <c r="E130" s="1145"/>
      <c r="F130" s="928">
        <f>Input!$E$96/12</f>
        <v>0</v>
      </c>
      <c r="G130" s="696">
        <f>Input!$E$96/12</f>
        <v>0</v>
      </c>
      <c r="H130" s="696">
        <f>Input!$E$96/12</f>
        <v>0</v>
      </c>
      <c r="I130" s="696">
        <f>Input!$E$96/12</f>
        <v>0</v>
      </c>
      <c r="J130" s="696">
        <f>Input!$E$96/12</f>
        <v>0</v>
      </c>
      <c r="K130" s="696">
        <f>Input!$E$96/12</f>
        <v>0</v>
      </c>
      <c r="L130" s="696">
        <f>Input!$E$96/12</f>
        <v>0</v>
      </c>
      <c r="M130" s="696">
        <f>Input!$E$96/12</f>
        <v>0</v>
      </c>
      <c r="N130" s="696">
        <f>Input!$E$96/12</f>
        <v>0</v>
      </c>
      <c r="O130" s="696">
        <f>Input!$E$96/12</f>
        <v>0</v>
      </c>
      <c r="P130" s="696">
        <f>Input!$E$96/12</f>
        <v>0</v>
      </c>
      <c r="Q130" s="1155">
        <f>Input!$E$96/12</f>
        <v>0</v>
      </c>
      <c r="R130" s="1159">
        <f>Input!$F$96/12</f>
        <v>0</v>
      </c>
      <c r="S130" s="929">
        <f>Input!$F$96/12</f>
        <v>0</v>
      </c>
      <c r="T130" s="1120">
        <f>Input!$F$96/12</f>
        <v>0</v>
      </c>
      <c r="U130" s="1122">
        <f>Input!$F$96/12</f>
        <v>0</v>
      </c>
      <c r="V130" s="1122">
        <f>Input!$F$96/12</f>
        <v>0</v>
      </c>
      <c r="W130" s="1122">
        <f>Input!$F$96/12</f>
        <v>0</v>
      </c>
      <c r="X130" s="1122">
        <f>Input!$F$96/12</f>
        <v>0</v>
      </c>
      <c r="Y130" s="1122">
        <f>Input!$F$96/12</f>
        <v>0</v>
      </c>
      <c r="Z130" s="1122">
        <f>Input!$F$96/12</f>
        <v>0</v>
      </c>
      <c r="AA130" s="1122">
        <f>Input!$F$96/12</f>
        <v>0</v>
      </c>
      <c r="AB130" s="1122">
        <f>Input!$F$96/12</f>
        <v>0</v>
      </c>
      <c r="AC130" s="1155">
        <f>Input!$F$96/12</f>
        <v>0</v>
      </c>
      <c r="AD130" s="1170">
        <f t="shared" si="51"/>
        <v>0</v>
      </c>
      <c r="AE130" s="950">
        <f t="shared" si="52"/>
        <v>0</v>
      </c>
      <c r="AG130" s="61"/>
      <c r="AH130" s="61"/>
      <c r="AI130" s="61"/>
      <c r="AJ130" s="61"/>
      <c r="AK130" s="61"/>
      <c r="AL130" s="61"/>
      <c r="AM130" s="61"/>
      <c r="AN130" s="61"/>
      <c r="AO130" s="61"/>
      <c r="AP130" s="61"/>
      <c r="AQ130" s="61"/>
      <c r="AR130" s="61"/>
      <c r="AS130" s="61"/>
      <c r="AT130" s="61"/>
      <c r="AU130" s="61"/>
      <c r="AV130" s="61"/>
      <c r="AW130" s="61"/>
      <c r="AX130" s="61"/>
      <c r="AY130" s="61"/>
      <c r="AZ130" s="61"/>
      <c r="BA130" s="61"/>
      <c r="BB130" s="61"/>
    </row>
    <row r="131" spans="1:54" x14ac:dyDescent="0.2">
      <c r="A131" s="28"/>
      <c r="B131" s="61"/>
      <c r="C131" s="118" t="s">
        <v>427</v>
      </c>
      <c r="D131" s="894"/>
      <c r="E131" s="1145"/>
      <c r="F131" s="1150">
        <v>0</v>
      </c>
      <c r="G131" s="696">
        <f>Input!$E$377</f>
        <v>1500</v>
      </c>
      <c r="H131" s="696">
        <v>0</v>
      </c>
      <c r="I131" s="696">
        <f>Input!$E$375</f>
        <v>2000</v>
      </c>
      <c r="J131" s="696">
        <v>0</v>
      </c>
      <c r="K131" s="696">
        <v>0</v>
      </c>
      <c r="L131" s="696">
        <v>0</v>
      </c>
      <c r="M131" s="696">
        <v>0</v>
      </c>
      <c r="N131" s="696">
        <f>Input!$E$376</f>
        <v>2200</v>
      </c>
      <c r="O131" s="696">
        <v>0</v>
      </c>
      <c r="P131" s="696">
        <v>0</v>
      </c>
      <c r="Q131" s="650">
        <v>0</v>
      </c>
      <c r="R131" s="1157">
        <v>0</v>
      </c>
      <c r="S131" s="930">
        <f>Input!$F$377</f>
        <v>1530</v>
      </c>
      <c r="T131" s="1124">
        <v>0</v>
      </c>
      <c r="U131" s="1122">
        <f>Input!$F$375</f>
        <v>2040</v>
      </c>
      <c r="V131" s="1122">
        <v>0</v>
      </c>
      <c r="W131" s="1122">
        <v>0</v>
      </c>
      <c r="X131" s="1122">
        <v>0</v>
      </c>
      <c r="Y131" s="1122">
        <v>0</v>
      </c>
      <c r="Z131" s="1122">
        <f>Input!$F$376</f>
        <v>2244</v>
      </c>
      <c r="AA131" s="640">
        <v>0</v>
      </c>
      <c r="AB131" s="640">
        <v>0</v>
      </c>
      <c r="AC131" s="650">
        <v>0</v>
      </c>
      <c r="AD131" s="1170">
        <f t="shared" si="51"/>
        <v>5700</v>
      </c>
      <c r="AE131" s="950">
        <f t="shared" si="52"/>
        <v>5814</v>
      </c>
      <c r="AF131" s="61"/>
      <c r="AG131" s="61"/>
      <c r="AH131" s="61"/>
      <c r="AI131" s="61"/>
      <c r="AJ131" s="61"/>
      <c r="AK131" s="61"/>
      <c r="AL131" s="61"/>
      <c r="AM131" s="61"/>
      <c r="AN131" s="61"/>
      <c r="AO131" s="61"/>
      <c r="AP131" s="61"/>
      <c r="AQ131" s="61"/>
      <c r="AR131" s="61"/>
      <c r="AS131" s="61"/>
      <c r="AT131" s="61"/>
      <c r="AU131" s="61"/>
      <c r="AV131" s="61"/>
      <c r="AW131" s="61"/>
      <c r="AX131" s="61"/>
      <c r="AY131" s="61"/>
      <c r="AZ131" s="61"/>
      <c r="BA131" s="61"/>
      <c r="BB131" s="61"/>
    </row>
    <row r="132" spans="1:54" x14ac:dyDescent="0.2">
      <c r="A132" s="28"/>
      <c r="B132" s="34"/>
      <c r="C132" s="127" t="s">
        <v>98</v>
      </c>
      <c r="D132" s="128"/>
      <c r="E132" s="1143"/>
      <c r="F132" s="928">
        <f>(Input!$E$380+Input!$E$383)/12</f>
        <v>133.04166666666666</v>
      </c>
      <c r="G132" s="696">
        <f>(Input!$E$380+Input!$E$383)/12</f>
        <v>133.04166666666666</v>
      </c>
      <c r="H132" s="696">
        <f>(Input!$E$380+Input!$E$383)/12</f>
        <v>133.04166666666666</v>
      </c>
      <c r="I132" s="696">
        <f>(Input!$E$380+Input!$E$383)/12</f>
        <v>133.04166666666666</v>
      </c>
      <c r="J132" s="696">
        <f>(Input!$E$380+Input!$E$383)/12</f>
        <v>133.04166666666666</v>
      </c>
      <c r="K132" s="696">
        <f>(Input!$E$380+Input!$E$383)/12</f>
        <v>133.04166666666666</v>
      </c>
      <c r="L132" s="696">
        <f>(Input!$E$380+Input!$E$383)/12</f>
        <v>133.04166666666666</v>
      </c>
      <c r="M132" s="696">
        <f>(Input!$E$380+Input!$E$383)/12</f>
        <v>133.04166666666666</v>
      </c>
      <c r="N132" s="696">
        <f>(Input!$E$380+Input!$E$383)/12</f>
        <v>133.04166666666666</v>
      </c>
      <c r="O132" s="696">
        <f>(Input!$E$380+Input!$E$383)/12</f>
        <v>133.04166666666666</v>
      </c>
      <c r="P132" s="696">
        <f>(Input!$E$380+Input!$E$383)/12</f>
        <v>133.04166666666666</v>
      </c>
      <c r="Q132" s="1155">
        <f>(Input!$E$380+Input!$E$383)/12</f>
        <v>133.04166666666666</v>
      </c>
      <c r="R132" s="1156">
        <f>(Input!$F$380+Input!$F$383)/12</f>
        <v>133.97916666666666</v>
      </c>
      <c r="S132" s="62">
        <f>(Input!$F$380+Input!$F$383)/12</f>
        <v>133.97916666666666</v>
      </c>
      <c r="T132" s="62">
        <f>(Input!$F$380+Input!$F$383)/12</f>
        <v>133.97916666666666</v>
      </c>
      <c r="U132" s="62">
        <f>(Input!$F$380+Input!$F$383)/12</f>
        <v>133.97916666666666</v>
      </c>
      <c r="V132" s="62">
        <f>(Input!$F$380+Input!$F$383)/12</f>
        <v>133.97916666666666</v>
      </c>
      <c r="W132" s="62">
        <f>(Input!$F$380+Input!$F$383)/12</f>
        <v>133.97916666666666</v>
      </c>
      <c r="X132" s="62">
        <f>(Input!$F$380+Input!$F$383)/12</f>
        <v>133.97916666666666</v>
      </c>
      <c r="Y132" s="62">
        <f>(Input!$F$380+Input!$F$383)/12</f>
        <v>133.97916666666666</v>
      </c>
      <c r="Z132" s="62">
        <f>(Input!$F$380+Input!$F$383)/12</f>
        <v>133.97916666666666</v>
      </c>
      <c r="AA132" s="62">
        <f>(Input!$F$380+Input!$F$383)/12</f>
        <v>133.97916666666666</v>
      </c>
      <c r="AB132" s="62">
        <f>(Input!$F$380+Input!$F$383)/12</f>
        <v>133.97916666666666</v>
      </c>
      <c r="AC132" s="1151">
        <f>(Input!$F$380+Input!$F$383)/12</f>
        <v>133.97916666666666</v>
      </c>
      <c r="AD132" s="1170">
        <f t="shared" si="51"/>
        <v>1596.5000000000002</v>
      </c>
      <c r="AE132" s="950">
        <f t="shared" si="52"/>
        <v>1607.7500000000002</v>
      </c>
      <c r="AF132" s="61"/>
      <c r="AG132" s="190"/>
      <c r="AH132" s="190"/>
      <c r="AI132" s="190"/>
      <c r="AJ132" s="190"/>
      <c r="AK132" s="190"/>
      <c r="AL132" s="190"/>
      <c r="AM132" s="190"/>
      <c r="AN132" s="190"/>
      <c r="AO132" s="190"/>
      <c r="AP132" s="190"/>
      <c r="AQ132" s="190"/>
      <c r="AR132" s="190"/>
      <c r="AS132" s="190"/>
      <c r="AT132" s="190"/>
      <c r="AU132" s="190"/>
      <c r="AV132" s="190"/>
      <c r="AW132" s="190"/>
      <c r="AX132" s="190"/>
      <c r="AY132" s="190"/>
      <c r="AZ132" s="190"/>
      <c r="BA132" s="190"/>
      <c r="BB132" s="190"/>
    </row>
    <row r="133" spans="1:54" ht="13.5" thickBot="1" x14ac:dyDescent="0.25">
      <c r="A133" s="28"/>
      <c r="B133" s="61"/>
      <c r="C133" s="896" t="s">
        <v>168</v>
      </c>
      <c r="D133" s="530"/>
      <c r="E133" s="1144"/>
      <c r="F133" s="931">
        <f>IF(F152&lt;0,((F152*Input!$E$410)*-1)/12,0)</f>
        <v>33.879111970729177</v>
      </c>
      <c r="G133" s="940">
        <f>IF(G152&lt;0,((G152*Input!$E$410)*-1)/12,0)</f>
        <v>27.142953590266586</v>
      </c>
      <c r="H133" s="940">
        <f>IF(H152&lt;0,((H152*Input!$E$410)*-1)/12,0)</f>
        <v>18.218196714308817</v>
      </c>
      <c r="I133" s="940">
        <f>IF(I152&lt;0,((I152*Input!$E$410)*-1)/12,0)</f>
        <v>13.687201538926987</v>
      </c>
      <c r="J133" s="940">
        <f>IF(J152&lt;0,((J152*Input!$E$410)*-1)/12,0)</f>
        <v>4.8698285128622691</v>
      </c>
      <c r="K133" s="940">
        <f>IF(K152&lt;0,((K152*Input!$E$410)*-1)/12,0)</f>
        <v>0</v>
      </c>
      <c r="L133" s="940">
        <f>IF(L152&lt;0,((L152*Input!$E$410)*-1)/12,0)</f>
        <v>0</v>
      </c>
      <c r="M133" s="940">
        <f>IF(M152&lt;0,((M152*Input!$E$410)*-1)/12,0)</f>
        <v>0</v>
      </c>
      <c r="N133" s="940">
        <f>IF(N152&lt;0,((N152*Input!$E$410)*-1)/12,0)</f>
        <v>0</v>
      </c>
      <c r="O133" s="940">
        <f>IF(O152&lt;0,((O152*Input!$E$410)*-1)/12,0)</f>
        <v>0</v>
      </c>
      <c r="P133" s="940">
        <f>IF(P152&lt;0,((P152*Input!$E$410)*-1)/12,0)</f>
        <v>0</v>
      </c>
      <c r="Q133" s="650">
        <f>IF(Q152&lt;0,((Q152*Input!$E$410)*-1)/12,0)</f>
        <v>0</v>
      </c>
      <c r="R133" s="931">
        <f>IF(R152&lt;0,((R152*Input!$E$410)*-1)/12,0)</f>
        <v>0</v>
      </c>
      <c r="S133" s="940">
        <f>IF(S152&lt;0,((S152*Input!$E$410)*-1)/12,0)</f>
        <v>0</v>
      </c>
      <c r="T133" s="940">
        <f>IF(T152&lt;0,((T152*Input!$E$410)*-1)/12,0)</f>
        <v>0</v>
      </c>
      <c r="U133" s="940">
        <f>IF(U152&lt;0,((U152*Input!$E$410)*-1)/12,0)</f>
        <v>0</v>
      </c>
      <c r="V133" s="940">
        <f>IF(V152&lt;0,((V152*Input!$E$410)*-1)/12,0)</f>
        <v>0</v>
      </c>
      <c r="W133" s="940">
        <f>IF(W152&lt;0,((W152*Input!$E$410)*-1)/12,0)</f>
        <v>0</v>
      </c>
      <c r="X133" s="940">
        <f>IF(X152&lt;0,((X152*Input!$E$410)*-1)/12,0)</f>
        <v>0</v>
      </c>
      <c r="Y133" s="940">
        <f>IF(Y152&lt;0,((Y152*Input!$E$410)*-1)/12,0)</f>
        <v>0</v>
      </c>
      <c r="Z133" s="940">
        <f>IF(Z152&lt;0,((Z152*Input!$E$410)*-1)/12,0)</f>
        <v>0</v>
      </c>
      <c r="AA133" s="940">
        <f>IF(AA152&lt;0,((AA152*Input!$E$410)*-1)/12,0)</f>
        <v>0</v>
      </c>
      <c r="AB133" s="940">
        <f>IF(AB152&lt;0,((AB152*Input!$E$410)*-1)/12,0)</f>
        <v>0</v>
      </c>
      <c r="AC133" s="650">
        <f>IF(AC152&lt;0,((AC152*Input!$E$410)*-1)/12,0)</f>
        <v>0</v>
      </c>
      <c r="AD133" s="1171">
        <f t="shared" si="51"/>
        <v>97.797292327093842</v>
      </c>
      <c r="AE133" s="951">
        <f t="shared" si="52"/>
        <v>0</v>
      </c>
      <c r="AF133" s="61"/>
      <c r="AG133" s="55"/>
      <c r="AH133" s="55"/>
      <c r="AI133" s="55"/>
      <c r="AJ133" s="55"/>
      <c r="AK133" s="55"/>
      <c r="AL133" s="55"/>
      <c r="AM133" s="55"/>
      <c r="AN133" s="55"/>
      <c r="AO133" s="55"/>
      <c r="AP133" s="55"/>
      <c r="AQ133" s="55"/>
      <c r="AR133" s="55"/>
      <c r="AS133" s="55"/>
      <c r="AT133" s="55"/>
      <c r="AU133" s="55"/>
      <c r="AV133" s="55"/>
      <c r="AW133" s="55"/>
      <c r="AX133" s="55"/>
      <c r="AY133" s="55"/>
      <c r="AZ133" s="55"/>
      <c r="BA133" s="55"/>
      <c r="BB133" s="55"/>
    </row>
    <row r="134" spans="1:54" ht="13.5" thickBot="1" x14ac:dyDescent="0.25">
      <c r="A134" s="28"/>
      <c r="B134" s="61"/>
      <c r="C134" s="897" t="s">
        <v>105</v>
      </c>
      <c r="D134" s="898"/>
      <c r="E134" s="1146"/>
      <c r="F134" s="1137">
        <f t="shared" ref="F134:AC134" si="53">SUM(F118:F133)</f>
        <v>16295.852857920732</v>
      </c>
      <c r="G134" s="739">
        <f t="shared" si="53"/>
        <v>17332.907818997497</v>
      </c>
      <c r="H134" s="739">
        <f t="shared" si="53"/>
        <v>16280.191942664313</v>
      </c>
      <c r="I134" s="739">
        <f t="shared" si="53"/>
        <v>18393.591320641339</v>
      </c>
      <c r="J134" s="739">
        <f t="shared" si="53"/>
        <v>16536.84357446287</v>
      </c>
      <c r="K134" s="739">
        <f t="shared" si="53"/>
        <v>17257.598482756919</v>
      </c>
      <c r="L134" s="739">
        <f t="shared" si="53"/>
        <v>16467.177921726328</v>
      </c>
      <c r="M134" s="739">
        <f t="shared" si="53"/>
        <v>16467.177921726328</v>
      </c>
      <c r="N134" s="739">
        <f t="shared" si="53"/>
        <v>18518.865149423586</v>
      </c>
      <c r="O134" s="739">
        <f t="shared" si="53"/>
        <v>16468.844588392996</v>
      </c>
      <c r="P134" s="739">
        <f t="shared" si="53"/>
        <v>16381.570785769078</v>
      </c>
      <c r="Q134" s="915">
        <f t="shared" si="53"/>
        <v>17204.040412616669</v>
      </c>
      <c r="R134" s="947">
        <f t="shared" si="53"/>
        <v>16387.888245950002</v>
      </c>
      <c r="S134" s="948">
        <f t="shared" si="53"/>
        <v>17461.679365407228</v>
      </c>
      <c r="T134" s="948">
        <f t="shared" si="53"/>
        <v>16387.888245950002</v>
      </c>
      <c r="U134" s="948">
        <f t="shared" si="53"/>
        <v>18545.818619102411</v>
      </c>
      <c r="V134" s="948">
        <f t="shared" si="53"/>
        <v>16659.588245950003</v>
      </c>
      <c r="W134" s="948">
        <f t="shared" si="53"/>
        <v>17385.45298275692</v>
      </c>
      <c r="X134" s="948">
        <f t="shared" si="53"/>
        <v>16594.792421726332</v>
      </c>
      <c r="Y134" s="948">
        <f t="shared" si="53"/>
        <v>16594.792421726332</v>
      </c>
      <c r="Z134" s="948">
        <f t="shared" si="53"/>
        <v>18688.812982756917</v>
      </c>
      <c r="AA134" s="948">
        <f t="shared" si="53"/>
        <v>16594.792421726332</v>
      </c>
      <c r="AB134" s="948">
        <f t="shared" si="53"/>
        <v>16507.518619102411</v>
      </c>
      <c r="AC134" s="1163">
        <f t="shared" si="53"/>
        <v>17330.228245950006</v>
      </c>
      <c r="AD134" s="1172">
        <f t="shared" si="51"/>
        <v>203604.66277709865</v>
      </c>
      <c r="AE134" s="952">
        <f t="shared" si="52"/>
        <v>205139.25281810487</v>
      </c>
      <c r="AF134" s="190"/>
      <c r="AG134" s="55"/>
      <c r="AH134" s="55"/>
      <c r="AI134" s="55"/>
      <c r="AJ134" s="55"/>
      <c r="AK134" s="55"/>
      <c r="AL134" s="55"/>
      <c r="AM134" s="55"/>
      <c r="AN134" s="55"/>
      <c r="AO134" s="55"/>
      <c r="AP134" s="55"/>
      <c r="AQ134" s="55"/>
      <c r="AR134" s="55"/>
      <c r="AS134" s="55"/>
      <c r="AT134" s="55"/>
      <c r="AU134" s="55"/>
      <c r="AV134" s="55"/>
      <c r="AW134" s="55"/>
      <c r="AX134" s="55"/>
      <c r="AY134" s="55"/>
      <c r="AZ134" s="55"/>
      <c r="BA134" s="55"/>
      <c r="BB134" s="55"/>
    </row>
    <row r="135" spans="1:54" x14ac:dyDescent="0.2">
      <c r="A135" s="28"/>
      <c r="B135" s="34"/>
      <c r="C135" s="118" t="s">
        <v>110</v>
      </c>
      <c r="D135" s="894"/>
      <c r="E135" s="1145"/>
      <c r="F135" s="928">
        <f>Depreciation!$E$9/12</f>
        <v>729.16666666666663</v>
      </c>
      <c r="G135" s="899">
        <f>Depreciation!$E$9/12</f>
        <v>729.16666666666663</v>
      </c>
      <c r="H135" s="899">
        <f>Depreciation!$E$9/12</f>
        <v>729.16666666666663</v>
      </c>
      <c r="I135" s="899">
        <f>Depreciation!$E$9/12</f>
        <v>729.16666666666663</v>
      </c>
      <c r="J135" s="899">
        <f>Depreciation!$E$9/12</f>
        <v>729.16666666666663</v>
      </c>
      <c r="K135" s="899">
        <f>Depreciation!$E$9/12</f>
        <v>729.16666666666663</v>
      </c>
      <c r="L135" s="899">
        <f>Depreciation!$E$9/12</f>
        <v>729.16666666666663</v>
      </c>
      <c r="M135" s="899">
        <f>Depreciation!$E$9/12</f>
        <v>729.16666666666663</v>
      </c>
      <c r="N135" s="899">
        <f>Depreciation!$G$9/12</f>
        <v>671.875</v>
      </c>
      <c r="O135" s="899">
        <f>Depreciation!$G$9/12</f>
        <v>671.875</v>
      </c>
      <c r="P135" s="899">
        <f>Depreciation!$G$9/12</f>
        <v>671.875</v>
      </c>
      <c r="Q135" s="917">
        <f>Depreciation!$G$9/12</f>
        <v>671.875</v>
      </c>
      <c r="R135" s="919">
        <f>Depreciation!$G$9/12</f>
        <v>671.875</v>
      </c>
      <c r="S135" s="899">
        <f>Depreciation!$G$9/12</f>
        <v>671.875</v>
      </c>
      <c r="T135" s="899">
        <f>Depreciation!$G$9/12</f>
        <v>671.875</v>
      </c>
      <c r="U135" s="899">
        <f>Depreciation!$G$9/12</f>
        <v>671.875</v>
      </c>
      <c r="V135" s="899">
        <f>Depreciation!$I$9/12</f>
        <v>619.53125</v>
      </c>
      <c r="W135" s="899">
        <f>Depreciation!$I$9/12</f>
        <v>619.53125</v>
      </c>
      <c r="X135" s="899">
        <f>Depreciation!$I$9/12</f>
        <v>619.53125</v>
      </c>
      <c r="Y135" s="899">
        <f>Depreciation!$I$9/12</f>
        <v>619.53125</v>
      </c>
      <c r="Z135" s="899">
        <f>Depreciation!$I$9/12</f>
        <v>619.53125</v>
      </c>
      <c r="AA135" s="899">
        <f>Depreciation!$I$9/12</f>
        <v>619.53125</v>
      </c>
      <c r="AB135" s="899">
        <f>Depreciation!$I$9/12</f>
        <v>619.53125</v>
      </c>
      <c r="AC135" s="917">
        <f>Depreciation!$I$9/12</f>
        <v>619.53125</v>
      </c>
      <c r="AD135" s="1173">
        <f t="shared" si="51"/>
        <v>8520.8333333333339</v>
      </c>
      <c r="AE135" s="945">
        <f t="shared" si="52"/>
        <v>7643.75</v>
      </c>
      <c r="AF135" s="55"/>
      <c r="AG135" s="190"/>
      <c r="AH135" s="190"/>
      <c r="AI135" s="190"/>
      <c r="AJ135" s="190"/>
      <c r="AK135" s="190"/>
      <c r="AL135" s="190"/>
      <c r="AM135" s="190"/>
      <c r="AN135" s="190"/>
      <c r="AO135" s="190"/>
      <c r="AP135" s="190"/>
      <c r="AQ135" s="190"/>
      <c r="AR135" s="190"/>
      <c r="AS135" s="190"/>
      <c r="AT135" s="190"/>
      <c r="AU135" s="190"/>
      <c r="AV135" s="190"/>
      <c r="AW135" s="190"/>
      <c r="AX135" s="190"/>
      <c r="AY135" s="190"/>
      <c r="AZ135" s="190"/>
      <c r="BA135" s="190"/>
      <c r="BB135" s="190"/>
    </row>
    <row r="136" spans="1:54" ht="13.5" thickBot="1" x14ac:dyDescent="0.25">
      <c r="A136" s="28"/>
      <c r="B136" s="34"/>
      <c r="C136" s="896" t="s">
        <v>111</v>
      </c>
      <c r="D136" s="530"/>
      <c r="E136" s="1144"/>
      <c r="F136" s="1150"/>
      <c r="G136" s="900"/>
      <c r="H136" s="900"/>
      <c r="I136" s="900"/>
      <c r="J136" s="900"/>
      <c r="K136" s="900"/>
      <c r="L136" s="900"/>
      <c r="M136" s="900"/>
      <c r="N136" s="900"/>
      <c r="O136" s="900"/>
      <c r="P136" s="900"/>
      <c r="Q136" s="1152">
        <f>Financing!$D$40</f>
        <v>4975</v>
      </c>
      <c r="R136" s="1157"/>
      <c r="S136" s="900"/>
      <c r="T136" s="900"/>
      <c r="U136" s="900"/>
      <c r="V136" s="900"/>
      <c r="W136" s="900"/>
      <c r="X136" s="900"/>
      <c r="Y136" s="900"/>
      <c r="Z136" s="900"/>
      <c r="AA136" s="900"/>
      <c r="AB136" s="900"/>
      <c r="AC136" s="1152">
        <f>Financing!$D$41</f>
        <v>4630.7679951278697</v>
      </c>
      <c r="AD136" s="1174">
        <f t="shared" si="51"/>
        <v>4975</v>
      </c>
      <c r="AE136" s="946">
        <f t="shared" si="52"/>
        <v>4630.7679951278697</v>
      </c>
      <c r="AF136" s="55"/>
      <c r="AG136" s="190"/>
      <c r="AH136" s="190"/>
      <c r="AI136" s="190"/>
      <c r="AJ136" s="190"/>
      <c r="AK136" s="190"/>
      <c r="AL136" s="190"/>
      <c r="AM136" s="190"/>
      <c r="AN136" s="190"/>
      <c r="AO136" s="190"/>
      <c r="AP136" s="190"/>
      <c r="AQ136" s="190"/>
      <c r="AR136" s="190"/>
      <c r="AS136" s="190"/>
      <c r="AT136" s="190"/>
      <c r="AU136" s="190"/>
      <c r="AV136" s="190"/>
      <c r="AW136" s="190"/>
      <c r="AX136" s="190"/>
      <c r="AY136" s="190"/>
      <c r="AZ136" s="190"/>
      <c r="BA136" s="190"/>
      <c r="BB136" s="190"/>
    </row>
    <row r="137" spans="1:54" ht="13.5" thickBot="1" x14ac:dyDescent="0.25">
      <c r="A137" s="28"/>
      <c r="B137" s="34"/>
      <c r="C137" s="897" t="s">
        <v>115</v>
      </c>
      <c r="D137" s="79"/>
      <c r="E137" s="916"/>
      <c r="F137" s="1139">
        <f>F135+F136</f>
        <v>729.16666666666663</v>
      </c>
      <c r="G137" s="739">
        <f>G135+G136</f>
        <v>729.16666666666663</v>
      </c>
      <c r="H137" s="739">
        <f t="shared" ref="H137:P137" si="54">H135+H136</f>
        <v>729.16666666666663</v>
      </c>
      <c r="I137" s="739">
        <f t="shared" si="54"/>
        <v>729.16666666666663</v>
      </c>
      <c r="J137" s="739">
        <f t="shared" si="54"/>
        <v>729.16666666666663</v>
      </c>
      <c r="K137" s="739">
        <f t="shared" si="54"/>
        <v>729.16666666666663</v>
      </c>
      <c r="L137" s="739">
        <f t="shared" si="54"/>
        <v>729.16666666666663</v>
      </c>
      <c r="M137" s="739">
        <f t="shared" si="54"/>
        <v>729.16666666666663</v>
      </c>
      <c r="N137" s="739">
        <f t="shared" si="54"/>
        <v>671.875</v>
      </c>
      <c r="O137" s="739">
        <f t="shared" si="54"/>
        <v>671.875</v>
      </c>
      <c r="P137" s="739">
        <f t="shared" si="54"/>
        <v>671.875</v>
      </c>
      <c r="Q137" s="915">
        <f t="shared" ref="Q137:AC137" si="55">Q135+Q136</f>
        <v>5646.875</v>
      </c>
      <c r="R137" s="947">
        <f t="shared" si="55"/>
        <v>671.875</v>
      </c>
      <c r="S137" s="948">
        <f t="shared" si="55"/>
        <v>671.875</v>
      </c>
      <c r="T137" s="948">
        <f t="shared" si="55"/>
        <v>671.875</v>
      </c>
      <c r="U137" s="948">
        <f t="shared" si="55"/>
        <v>671.875</v>
      </c>
      <c r="V137" s="948">
        <f t="shared" si="55"/>
        <v>619.53125</v>
      </c>
      <c r="W137" s="948">
        <f t="shared" si="55"/>
        <v>619.53125</v>
      </c>
      <c r="X137" s="948">
        <f t="shared" si="55"/>
        <v>619.53125</v>
      </c>
      <c r="Y137" s="948">
        <f t="shared" si="55"/>
        <v>619.53125</v>
      </c>
      <c r="Z137" s="948">
        <f t="shared" si="55"/>
        <v>619.53125</v>
      </c>
      <c r="AA137" s="948">
        <f t="shared" si="55"/>
        <v>619.53125</v>
      </c>
      <c r="AB137" s="948">
        <f t="shared" si="55"/>
        <v>619.53125</v>
      </c>
      <c r="AC137" s="1163">
        <f t="shared" si="55"/>
        <v>5250.2992451278697</v>
      </c>
      <c r="AD137" s="1175">
        <f t="shared" si="51"/>
        <v>13495.833333333334</v>
      </c>
      <c r="AE137" s="953">
        <f t="shared" ref="AE137:AE142" si="56">SUM(R137:AC137)</f>
        <v>12274.51799512787</v>
      </c>
      <c r="AF137" s="190"/>
      <c r="AG137" s="190"/>
      <c r="AH137" s="190"/>
      <c r="AI137" s="190"/>
      <c r="AJ137" s="190"/>
      <c r="AK137" s="190"/>
      <c r="AL137" s="190"/>
      <c r="AM137" s="190"/>
      <c r="AN137" s="190"/>
      <c r="AO137" s="190"/>
      <c r="AP137" s="190"/>
      <c r="AQ137" s="190"/>
      <c r="AR137" s="190"/>
      <c r="AS137" s="190"/>
      <c r="AT137" s="190"/>
      <c r="AU137" s="190"/>
      <c r="AV137" s="190"/>
      <c r="AW137" s="190"/>
      <c r="AX137" s="190"/>
      <c r="AY137" s="190"/>
      <c r="AZ137" s="190"/>
      <c r="BA137" s="190"/>
      <c r="BB137" s="190"/>
    </row>
    <row r="138" spans="1:54" ht="13.5" thickBot="1" x14ac:dyDescent="0.25">
      <c r="A138" s="28"/>
      <c r="B138" s="890"/>
      <c r="C138" s="115"/>
      <c r="D138" s="126" t="s">
        <v>116</v>
      </c>
      <c r="E138" s="1146"/>
      <c r="F138" s="1139">
        <f t="shared" ref="F138:Q138" si="57">F134+F137</f>
        <v>17025.019524587398</v>
      </c>
      <c r="G138" s="739">
        <f t="shared" si="57"/>
        <v>18062.074485664165</v>
      </c>
      <c r="H138" s="739">
        <f t="shared" si="57"/>
        <v>17009.358609330979</v>
      </c>
      <c r="I138" s="739">
        <f t="shared" si="57"/>
        <v>19122.757987308007</v>
      </c>
      <c r="J138" s="739">
        <f t="shared" si="57"/>
        <v>17266.010241129537</v>
      </c>
      <c r="K138" s="739">
        <f t="shared" si="57"/>
        <v>17986.765149423587</v>
      </c>
      <c r="L138" s="739">
        <f t="shared" si="57"/>
        <v>17196.344588392996</v>
      </c>
      <c r="M138" s="739">
        <f t="shared" si="57"/>
        <v>17196.344588392996</v>
      </c>
      <c r="N138" s="739">
        <f t="shared" si="57"/>
        <v>19190.740149423586</v>
      </c>
      <c r="O138" s="739">
        <f t="shared" si="57"/>
        <v>17140.719588392996</v>
      </c>
      <c r="P138" s="739">
        <f t="shared" si="57"/>
        <v>17053.44578576908</v>
      </c>
      <c r="Q138" s="915">
        <f t="shared" si="57"/>
        <v>22850.915412616669</v>
      </c>
      <c r="R138" s="947">
        <f>R134+R137</f>
        <v>17059.763245950002</v>
      </c>
      <c r="S138" s="948">
        <f>S134+S137</f>
        <v>18133.554365407228</v>
      </c>
      <c r="T138" s="948">
        <f>T134+T137</f>
        <v>17059.763245950002</v>
      </c>
      <c r="U138" s="948">
        <f>U134+U137</f>
        <v>19217.693619102411</v>
      </c>
      <c r="V138" s="948">
        <f>V134+V137</f>
        <v>17279.119495950003</v>
      </c>
      <c r="W138" s="948">
        <f t="shared" ref="W138:AC138" si="58">W134+W137</f>
        <v>18004.98423275692</v>
      </c>
      <c r="X138" s="948">
        <f t="shared" si="58"/>
        <v>17214.323671726332</v>
      </c>
      <c r="Y138" s="948">
        <f t="shared" si="58"/>
        <v>17214.323671726332</v>
      </c>
      <c r="Z138" s="948">
        <f t="shared" si="58"/>
        <v>19308.344232756917</v>
      </c>
      <c r="AA138" s="948">
        <f t="shared" si="58"/>
        <v>17214.323671726332</v>
      </c>
      <c r="AB138" s="948">
        <f t="shared" si="58"/>
        <v>17127.049869102411</v>
      </c>
      <c r="AC138" s="1163">
        <f t="shared" si="58"/>
        <v>22580.527491077875</v>
      </c>
      <c r="AD138" s="1168">
        <f t="shared" si="51"/>
        <v>217100.49611043202</v>
      </c>
      <c r="AE138" s="952">
        <f t="shared" si="56"/>
        <v>217413.77081323272</v>
      </c>
      <c r="AF138" s="190"/>
      <c r="AG138" s="65"/>
      <c r="AH138" s="65"/>
      <c r="AI138" s="65"/>
      <c r="AJ138" s="65"/>
      <c r="AK138" s="65"/>
      <c r="AL138" s="65"/>
      <c r="AM138" s="65"/>
      <c r="AN138" s="65"/>
      <c r="AO138" s="65"/>
      <c r="AP138" s="65"/>
      <c r="AQ138" s="65"/>
      <c r="AR138" s="65"/>
      <c r="AS138" s="65"/>
      <c r="AT138" s="65"/>
      <c r="AU138" s="65"/>
      <c r="AV138" s="65"/>
      <c r="AW138" s="65"/>
      <c r="AX138" s="65"/>
      <c r="AY138" s="65"/>
      <c r="AZ138" s="65"/>
      <c r="BA138" s="65"/>
      <c r="BB138" s="65"/>
    </row>
    <row r="139" spans="1:54" ht="13.5" thickBot="1" x14ac:dyDescent="0.25">
      <c r="A139" s="28"/>
      <c r="B139" s="34"/>
      <c r="C139" s="115"/>
      <c r="D139" s="60" t="s">
        <v>117</v>
      </c>
      <c r="E139" s="1146"/>
      <c r="F139" s="1140">
        <f t="shared" ref="F139:AC139" si="59">F116-F138</f>
        <v>3547.9804754126017</v>
      </c>
      <c r="G139" s="941">
        <f t="shared" si="59"/>
        <v>2510.925514335835</v>
      </c>
      <c r="H139" s="941">
        <f t="shared" si="59"/>
        <v>3563.6413906690213</v>
      </c>
      <c r="I139" s="941">
        <f t="shared" si="59"/>
        <v>1655.2420126919933</v>
      </c>
      <c r="J139" s="941">
        <f t="shared" si="59"/>
        <v>3511.9897588704625</v>
      </c>
      <c r="K139" s="941">
        <f t="shared" si="59"/>
        <v>3103.734850576413</v>
      </c>
      <c r="L139" s="941">
        <f t="shared" si="59"/>
        <v>3581.6554116070038</v>
      </c>
      <c r="M139" s="941">
        <f t="shared" si="59"/>
        <v>3581.6554116070038</v>
      </c>
      <c r="N139" s="941">
        <f t="shared" si="59"/>
        <v>1587.2598505764145</v>
      </c>
      <c r="O139" s="941">
        <f t="shared" si="59"/>
        <v>3637.2804116070038</v>
      </c>
      <c r="P139" s="941">
        <f t="shared" si="59"/>
        <v>3724.5542142309205</v>
      </c>
      <c r="Q139" s="942">
        <f t="shared" si="59"/>
        <v>-1965.4154126166686</v>
      </c>
      <c r="R139" s="947">
        <f t="shared" si="59"/>
        <v>3513.2367540499981</v>
      </c>
      <c r="S139" s="948">
        <f t="shared" si="59"/>
        <v>2439.445634592772</v>
      </c>
      <c r="T139" s="948">
        <f t="shared" si="59"/>
        <v>3513.2367540499981</v>
      </c>
      <c r="U139" s="948">
        <f t="shared" si="59"/>
        <v>1560.3063808975894</v>
      </c>
      <c r="V139" s="948">
        <f t="shared" si="59"/>
        <v>3498.8805040499974</v>
      </c>
      <c r="W139" s="948">
        <f t="shared" si="59"/>
        <v>3085.5157672430796</v>
      </c>
      <c r="X139" s="948">
        <f t="shared" si="59"/>
        <v>3563.6763282736683</v>
      </c>
      <c r="Y139" s="948">
        <f t="shared" si="59"/>
        <v>3563.6763282736683</v>
      </c>
      <c r="Z139" s="948">
        <f t="shared" si="59"/>
        <v>1469.6557672430827</v>
      </c>
      <c r="AA139" s="948">
        <f t="shared" si="59"/>
        <v>3563.6763282736683</v>
      </c>
      <c r="AB139" s="948">
        <f t="shared" si="59"/>
        <v>3650.9501308975887</v>
      </c>
      <c r="AC139" s="1163">
        <f t="shared" si="59"/>
        <v>-1695.0274910778753</v>
      </c>
      <c r="AD139" s="901">
        <f t="shared" si="51"/>
        <v>32040.503889568005</v>
      </c>
      <c r="AE139" s="954">
        <f t="shared" si="56"/>
        <v>31727.229186767239</v>
      </c>
      <c r="AF139" s="190"/>
      <c r="AG139" s="55"/>
      <c r="AH139" s="55"/>
      <c r="AI139" s="55"/>
      <c r="AJ139" s="55"/>
      <c r="AK139" s="55"/>
      <c r="AL139" s="55"/>
      <c r="AM139" s="55"/>
      <c r="AN139" s="55"/>
      <c r="AO139" s="55"/>
      <c r="AP139" s="55"/>
      <c r="AQ139" s="55"/>
      <c r="AR139" s="55"/>
      <c r="AS139" s="55"/>
      <c r="AT139" s="55"/>
      <c r="AU139" s="55"/>
      <c r="AV139" s="55"/>
      <c r="AW139" s="55"/>
      <c r="AX139" s="55"/>
      <c r="AY139" s="55"/>
      <c r="AZ139" s="55"/>
      <c r="BA139" s="55"/>
      <c r="BB139" s="55"/>
    </row>
    <row r="140" spans="1:54" ht="13.5" thickBot="1" x14ac:dyDescent="0.25">
      <c r="A140" s="28"/>
      <c r="B140" s="61"/>
      <c r="C140" s="564"/>
      <c r="D140" s="902" t="s">
        <v>217</v>
      </c>
      <c r="E140" s="117"/>
      <c r="F140" s="903">
        <f t="shared" ref="F140:AC140" si="60">F109</f>
        <v>45658</v>
      </c>
      <c r="G140" s="904">
        <f t="shared" si="60"/>
        <v>45689</v>
      </c>
      <c r="H140" s="904">
        <f t="shared" si="60"/>
        <v>45717</v>
      </c>
      <c r="I140" s="904">
        <f t="shared" si="60"/>
        <v>45748</v>
      </c>
      <c r="J140" s="904">
        <f t="shared" si="60"/>
        <v>45778</v>
      </c>
      <c r="K140" s="904">
        <f t="shared" si="60"/>
        <v>45809</v>
      </c>
      <c r="L140" s="904">
        <f t="shared" si="60"/>
        <v>45839</v>
      </c>
      <c r="M140" s="904">
        <f t="shared" si="60"/>
        <v>45870</v>
      </c>
      <c r="N140" s="904">
        <f t="shared" si="60"/>
        <v>45901</v>
      </c>
      <c r="O140" s="904">
        <f t="shared" si="60"/>
        <v>45931</v>
      </c>
      <c r="P140" s="904">
        <f t="shared" si="60"/>
        <v>45962</v>
      </c>
      <c r="Q140" s="918">
        <f t="shared" si="60"/>
        <v>45992</v>
      </c>
      <c r="R140" s="905">
        <f t="shared" si="60"/>
        <v>46023</v>
      </c>
      <c r="S140" s="906">
        <f t="shared" si="60"/>
        <v>46054</v>
      </c>
      <c r="T140" s="906">
        <f t="shared" si="60"/>
        <v>46082</v>
      </c>
      <c r="U140" s="906">
        <f t="shared" si="60"/>
        <v>46113</v>
      </c>
      <c r="V140" s="906">
        <f t="shared" si="60"/>
        <v>46143</v>
      </c>
      <c r="W140" s="906">
        <f t="shared" si="60"/>
        <v>46174</v>
      </c>
      <c r="X140" s="906">
        <f t="shared" si="60"/>
        <v>46204</v>
      </c>
      <c r="Y140" s="906">
        <f t="shared" si="60"/>
        <v>46235</v>
      </c>
      <c r="Z140" s="906">
        <f t="shared" si="60"/>
        <v>46266</v>
      </c>
      <c r="AA140" s="906">
        <f t="shared" si="60"/>
        <v>46296</v>
      </c>
      <c r="AB140" s="906">
        <f t="shared" si="60"/>
        <v>46327</v>
      </c>
      <c r="AC140" s="907">
        <f t="shared" si="60"/>
        <v>46357</v>
      </c>
      <c r="AD140" s="1176" t="s">
        <v>790</v>
      </c>
      <c r="AE140" s="955" t="s">
        <v>791</v>
      </c>
      <c r="AF140" s="65"/>
      <c r="AG140" s="55"/>
      <c r="AH140" s="55"/>
      <c r="AI140" s="55"/>
      <c r="AJ140" s="55"/>
      <c r="AK140" s="55"/>
      <c r="AL140" s="55"/>
      <c r="AM140" s="55"/>
      <c r="AN140" s="55"/>
      <c r="AO140" s="55"/>
      <c r="AP140" s="55"/>
      <c r="AQ140" s="55"/>
      <c r="AR140" s="55"/>
      <c r="AS140" s="55"/>
      <c r="AT140" s="55"/>
      <c r="AU140" s="55"/>
      <c r="AV140" s="55"/>
      <c r="AW140" s="55"/>
      <c r="AX140" s="55"/>
      <c r="AY140" s="55"/>
      <c r="AZ140" s="55"/>
      <c r="BA140" s="55"/>
      <c r="BB140" s="55"/>
    </row>
    <row r="141" spans="1:54" x14ac:dyDescent="0.2">
      <c r="A141" s="28"/>
      <c r="B141" s="61"/>
      <c r="C141" s="487" t="s">
        <v>117</v>
      </c>
      <c r="D141" s="488"/>
      <c r="E141" s="1147"/>
      <c r="F141" s="1141">
        <f t="shared" ref="F141:Q141" si="61">F139</f>
        <v>3547.9804754126017</v>
      </c>
      <c r="G141" s="926">
        <f t="shared" si="61"/>
        <v>2510.925514335835</v>
      </c>
      <c r="H141" s="926">
        <f t="shared" si="61"/>
        <v>3563.6413906690213</v>
      </c>
      <c r="I141" s="926">
        <f t="shared" si="61"/>
        <v>1655.2420126919933</v>
      </c>
      <c r="J141" s="926">
        <f t="shared" si="61"/>
        <v>3511.9897588704625</v>
      </c>
      <c r="K141" s="926">
        <f t="shared" si="61"/>
        <v>3103.734850576413</v>
      </c>
      <c r="L141" s="926">
        <f t="shared" si="61"/>
        <v>3581.6554116070038</v>
      </c>
      <c r="M141" s="899">
        <f t="shared" si="61"/>
        <v>3581.6554116070038</v>
      </c>
      <c r="N141" s="899">
        <f t="shared" si="61"/>
        <v>1587.2598505764145</v>
      </c>
      <c r="O141" s="899">
        <f t="shared" si="61"/>
        <v>3637.2804116070038</v>
      </c>
      <c r="P141" s="899">
        <f t="shared" si="61"/>
        <v>3724.5542142309205</v>
      </c>
      <c r="Q141" s="917">
        <f t="shared" si="61"/>
        <v>-1965.4154126166686</v>
      </c>
      <c r="R141" s="919">
        <f>R139</f>
        <v>3513.2367540499981</v>
      </c>
      <c r="S141" s="899">
        <f>S139</f>
        <v>2439.445634592772</v>
      </c>
      <c r="T141" s="899">
        <f>T139</f>
        <v>3513.2367540499981</v>
      </c>
      <c r="U141" s="899">
        <f>U139</f>
        <v>1560.3063808975894</v>
      </c>
      <c r="V141" s="899">
        <f>V139</f>
        <v>3498.8805040499974</v>
      </c>
      <c r="W141" s="899">
        <f t="shared" ref="W141:AC141" si="62">W139</f>
        <v>3085.5157672430796</v>
      </c>
      <c r="X141" s="899">
        <f t="shared" si="62"/>
        <v>3563.6763282736683</v>
      </c>
      <c r="Y141" s="899">
        <f t="shared" si="62"/>
        <v>3563.6763282736683</v>
      </c>
      <c r="Z141" s="899">
        <f t="shared" si="62"/>
        <v>1469.6557672430827</v>
      </c>
      <c r="AA141" s="899">
        <f t="shared" si="62"/>
        <v>3563.6763282736683</v>
      </c>
      <c r="AB141" s="899">
        <f t="shared" si="62"/>
        <v>3650.9501308975887</v>
      </c>
      <c r="AC141" s="917">
        <f t="shared" si="62"/>
        <v>-1695.0274910778753</v>
      </c>
      <c r="AD141" s="943">
        <f>SUM(F141:Q141)</f>
        <v>32040.503889568005</v>
      </c>
      <c r="AE141" s="944">
        <f t="shared" si="56"/>
        <v>31727.229186767239</v>
      </c>
      <c r="AF141" s="55"/>
      <c r="AG141" s="55"/>
      <c r="AH141" s="55"/>
      <c r="AI141" s="55"/>
      <c r="AJ141" s="55"/>
      <c r="AK141" s="55"/>
      <c r="AL141" s="55"/>
      <c r="AM141" s="55"/>
      <c r="AN141" s="55"/>
      <c r="AO141" s="55"/>
      <c r="AP141" s="55"/>
      <c r="AQ141" s="55"/>
      <c r="AR141" s="55"/>
      <c r="AS141" s="55"/>
      <c r="AT141" s="55"/>
      <c r="AU141" s="55"/>
      <c r="AV141" s="55"/>
      <c r="AW141" s="55"/>
      <c r="AX141" s="55"/>
      <c r="AY141" s="55"/>
      <c r="AZ141" s="55"/>
      <c r="BA141" s="55"/>
      <c r="BB141" s="55"/>
    </row>
    <row r="142" spans="1:54" x14ac:dyDescent="0.2">
      <c r="A142" s="28"/>
      <c r="B142" s="61"/>
      <c r="C142" s="118" t="s">
        <v>118</v>
      </c>
      <c r="D142" s="894"/>
      <c r="E142" s="1145"/>
      <c r="F142" s="928">
        <f>F135</f>
        <v>729.16666666666663</v>
      </c>
      <c r="G142" s="927">
        <f t="shared" ref="G142:AC142" si="63">G135</f>
        <v>729.16666666666663</v>
      </c>
      <c r="H142" s="927">
        <f t="shared" si="63"/>
        <v>729.16666666666663</v>
      </c>
      <c r="I142" s="927">
        <f t="shared" si="63"/>
        <v>729.16666666666663</v>
      </c>
      <c r="J142" s="927">
        <f t="shared" si="63"/>
        <v>729.16666666666663</v>
      </c>
      <c r="K142" s="927">
        <f t="shared" si="63"/>
        <v>729.16666666666663</v>
      </c>
      <c r="L142" s="927">
        <f t="shared" si="63"/>
        <v>729.16666666666663</v>
      </c>
      <c r="M142" s="927">
        <f t="shared" si="63"/>
        <v>729.16666666666663</v>
      </c>
      <c r="N142" s="927">
        <f t="shared" si="63"/>
        <v>671.875</v>
      </c>
      <c r="O142" s="927">
        <f t="shared" si="63"/>
        <v>671.875</v>
      </c>
      <c r="P142" s="927">
        <f t="shared" si="63"/>
        <v>671.875</v>
      </c>
      <c r="Q142" s="1151">
        <f t="shared" si="63"/>
        <v>671.875</v>
      </c>
      <c r="R142" s="1156">
        <f t="shared" si="63"/>
        <v>671.875</v>
      </c>
      <c r="S142" s="62">
        <f t="shared" si="63"/>
        <v>671.875</v>
      </c>
      <c r="T142" s="62">
        <f t="shared" si="63"/>
        <v>671.875</v>
      </c>
      <c r="U142" s="62">
        <f t="shared" si="63"/>
        <v>671.875</v>
      </c>
      <c r="V142" s="62">
        <f t="shared" si="63"/>
        <v>619.53125</v>
      </c>
      <c r="W142" s="62">
        <f t="shared" si="63"/>
        <v>619.53125</v>
      </c>
      <c r="X142" s="62">
        <f t="shared" si="63"/>
        <v>619.53125</v>
      </c>
      <c r="Y142" s="62">
        <f t="shared" si="63"/>
        <v>619.53125</v>
      </c>
      <c r="Z142" s="62">
        <f t="shared" si="63"/>
        <v>619.53125</v>
      </c>
      <c r="AA142" s="62">
        <f t="shared" si="63"/>
        <v>619.53125</v>
      </c>
      <c r="AB142" s="62">
        <f t="shared" si="63"/>
        <v>619.53125</v>
      </c>
      <c r="AC142" s="1151">
        <f t="shared" si="63"/>
        <v>619.53125</v>
      </c>
      <c r="AD142" s="1173">
        <f>SUM(F142:Q142)</f>
        <v>8520.8333333333339</v>
      </c>
      <c r="AE142" s="945">
        <f t="shared" si="56"/>
        <v>7643.75</v>
      </c>
      <c r="AF142" s="55"/>
      <c r="AG142" s="55"/>
      <c r="AH142" s="55"/>
      <c r="AI142" s="55"/>
      <c r="AJ142" s="55"/>
      <c r="AK142" s="55"/>
      <c r="AL142" s="55"/>
      <c r="AM142" s="55"/>
      <c r="AN142" s="55"/>
      <c r="AO142" s="55"/>
      <c r="AP142" s="744"/>
      <c r="AQ142" s="55"/>
      <c r="AR142" s="55"/>
      <c r="AS142" s="55"/>
      <c r="AT142" s="55"/>
      <c r="AU142" s="55"/>
      <c r="AV142" s="55"/>
      <c r="AW142" s="55"/>
      <c r="AX142" s="55"/>
      <c r="AY142" s="55"/>
      <c r="AZ142" s="55"/>
      <c r="BA142" s="55"/>
      <c r="BB142" s="744"/>
    </row>
    <row r="143" spans="1:54" x14ac:dyDescent="0.2">
      <c r="B143" s="34"/>
      <c r="C143" s="116" t="s">
        <v>322</v>
      </c>
      <c r="D143" s="28"/>
      <c r="E143" s="117"/>
      <c r="F143" s="928">
        <f>Input!$E$427</f>
        <v>0</v>
      </c>
      <c r="G143" s="62">
        <v>0</v>
      </c>
      <c r="H143" s="62">
        <v>0</v>
      </c>
      <c r="I143" s="62">
        <v>0</v>
      </c>
      <c r="J143" s="62">
        <v>0</v>
      </c>
      <c r="K143" s="62">
        <v>0</v>
      </c>
      <c r="L143" s="62">
        <v>0</v>
      </c>
      <c r="M143" s="62">
        <v>0</v>
      </c>
      <c r="N143" s="62">
        <v>0</v>
      </c>
      <c r="O143" s="62">
        <v>0</v>
      </c>
      <c r="P143" s="62">
        <v>0</v>
      </c>
      <c r="Q143" s="1151">
        <v>0</v>
      </c>
      <c r="R143" s="1156">
        <v>1</v>
      </c>
      <c r="S143" s="62">
        <v>2</v>
      </c>
      <c r="T143" s="62">
        <v>3</v>
      </c>
      <c r="U143" s="62">
        <v>4</v>
      </c>
      <c r="V143" s="62">
        <v>5</v>
      </c>
      <c r="W143" s="62">
        <v>6</v>
      </c>
      <c r="X143" s="62">
        <v>7</v>
      </c>
      <c r="Y143" s="62">
        <v>8</v>
      </c>
      <c r="Z143" s="62">
        <v>9</v>
      </c>
      <c r="AA143" s="62">
        <v>10</v>
      </c>
      <c r="AB143" s="62">
        <v>11</v>
      </c>
      <c r="AC143" s="1151">
        <v>12</v>
      </c>
      <c r="AD143" s="1173">
        <f>SUM(F143:Q143)</f>
        <v>0</v>
      </c>
      <c r="AE143" s="945">
        <f>SUM(R143:AC143)</f>
        <v>78</v>
      </c>
      <c r="AF143" s="55"/>
      <c r="AG143" s="55"/>
      <c r="AH143" s="55"/>
      <c r="AI143" s="55"/>
      <c r="AJ143" s="55"/>
      <c r="AK143" s="55"/>
      <c r="AL143" s="55"/>
      <c r="AM143" s="55"/>
      <c r="AN143" s="55"/>
      <c r="AO143" s="55"/>
      <c r="AP143" s="55"/>
      <c r="AQ143" s="55"/>
      <c r="AR143" s="55"/>
      <c r="AS143" s="55"/>
      <c r="AT143" s="55"/>
      <c r="AU143" s="55"/>
      <c r="AV143" s="55"/>
      <c r="AW143" s="55"/>
      <c r="AX143" s="55"/>
      <c r="AY143" s="55"/>
      <c r="AZ143" s="55"/>
      <c r="BA143" s="55"/>
      <c r="BB143" s="55"/>
    </row>
    <row r="144" spans="1:54" ht="13.5" thickBot="1" x14ac:dyDescent="0.25">
      <c r="B144" s="34"/>
      <c r="C144" s="489" t="s">
        <v>119</v>
      </c>
      <c r="D144" s="124"/>
      <c r="E144" s="1148"/>
      <c r="F144" s="1142">
        <v>0</v>
      </c>
      <c r="G144" s="909">
        <v>0</v>
      </c>
      <c r="H144" s="909">
        <v>0</v>
      </c>
      <c r="I144" s="909">
        <v>0</v>
      </c>
      <c r="J144" s="909">
        <v>0</v>
      </c>
      <c r="K144" s="909">
        <v>0</v>
      </c>
      <c r="L144" s="909">
        <v>0</v>
      </c>
      <c r="M144" s="909">
        <v>0</v>
      </c>
      <c r="N144" s="909">
        <v>0</v>
      </c>
      <c r="O144" s="909">
        <v>0</v>
      </c>
      <c r="P144" s="909">
        <v>0</v>
      </c>
      <c r="Q144" s="910">
        <f>Financing!$E$40</f>
        <v>6110.4843232559124</v>
      </c>
      <c r="R144" s="908">
        <f>Financing!F40</f>
        <v>0</v>
      </c>
      <c r="S144" s="909">
        <f>Financing!G40</f>
        <v>0</v>
      </c>
      <c r="T144" s="909">
        <f>Financing!H40</f>
        <v>0</v>
      </c>
      <c r="U144" s="909">
        <f>Financing!I40</f>
        <v>0</v>
      </c>
      <c r="V144" s="909">
        <f>Financing!J40</f>
        <v>0</v>
      </c>
      <c r="W144" s="909">
        <f>Financing!K40</f>
        <v>0</v>
      </c>
      <c r="X144" s="909">
        <f>Financing!L40</f>
        <v>0</v>
      </c>
      <c r="Y144" s="909">
        <f>Financing!M40</f>
        <v>0</v>
      </c>
      <c r="Z144" s="909">
        <f>Financing!N40</f>
        <v>0</v>
      </c>
      <c r="AA144" s="909">
        <f>Financing!O40</f>
        <v>0</v>
      </c>
      <c r="AB144" s="909">
        <f>Financing!P40</f>
        <v>0</v>
      </c>
      <c r="AC144" s="910">
        <f>Financing!$E$41</f>
        <v>6454.7163281280427</v>
      </c>
      <c r="AD144" s="1174">
        <f>SUM(F144:Q144)</f>
        <v>6110.4843232559124</v>
      </c>
      <c r="AE144" s="946">
        <f>SUM(R144:AC144)</f>
        <v>6454.7163281280427</v>
      </c>
      <c r="AF144" s="55"/>
      <c r="AG144" s="190"/>
      <c r="AH144" s="190"/>
      <c r="AI144" s="190"/>
      <c r="AJ144" s="190"/>
      <c r="AK144" s="190"/>
      <c r="AL144" s="190"/>
      <c r="AM144" s="190"/>
      <c r="AN144" s="190"/>
      <c r="AO144" s="190"/>
      <c r="AP144" s="190"/>
      <c r="AQ144" s="190"/>
      <c r="AR144" s="190"/>
      <c r="AS144" s="190"/>
      <c r="AT144" s="190"/>
      <c r="AU144" s="190"/>
      <c r="AV144" s="190"/>
      <c r="AW144" s="190"/>
      <c r="AX144" s="190"/>
      <c r="AY144" s="190"/>
      <c r="AZ144" s="190"/>
      <c r="BA144" s="190"/>
      <c r="BB144" s="190"/>
    </row>
    <row r="145" spans="2:54" ht="13.5" thickBot="1" x14ac:dyDescent="0.25">
      <c r="B145" s="28"/>
      <c r="C145" s="564" t="s">
        <v>120</v>
      </c>
      <c r="D145" s="228"/>
      <c r="E145" s="1149"/>
      <c r="F145" s="1140">
        <f t="shared" ref="F145:AC145" si="64">F141+F142+F143-F144</f>
        <v>4277.1471420792686</v>
      </c>
      <c r="G145" s="941">
        <f t="shared" si="64"/>
        <v>3240.0921810025015</v>
      </c>
      <c r="H145" s="941">
        <f t="shared" si="64"/>
        <v>4292.8080573356883</v>
      </c>
      <c r="I145" s="941">
        <f t="shared" si="64"/>
        <v>2384.4086793586598</v>
      </c>
      <c r="J145" s="941">
        <f t="shared" si="64"/>
        <v>4241.1564255371295</v>
      </c>
      <c r="K145" s="941">
        <f t="shared" si="64"/>
        <v>3832.9015172430795</v>
      </c>
      <c r="L145" s="941">
        <f t="shared" si="64"/>
        <v>4310.8220782736707</v>
      </c>
      <c r="M145" s="941">
        <f t="shared" si="64"/>
        <v>4310.8220782736707</v>
      </c>
      <c r="N145" s="941">
        <f t="shared" si="64"/>
        <v>2259.1348505764145</v>
      </c>
      <c r="O145" s="941">
        <f t="shared" si="64"/>
        <v>4309.1554116070038</v>
      </c>
      <c r="P145" s="941">
        <f t="shared" si="64"/>
        <v>4396.4292142309205</v>
      </c>
      <c r="Q145" s="942">
        <f t="shared" si="64"/>
        <v>-7404.024735872581</v>
      </c>
      <c r="R145" s="911">
        <f t="shared" si="64"/>
        <v>4186.1117540499981</v>
      </c>
      <c r="S145" s="912">
        <f t="shared" si="64"/>
        <v>3113.320634592772</v>
      </c>
      <c r="T145" s="912">
        <f t="shared" si="64"/>
        <v>4188.1117540499981</v>
      </c>
      <c r="U145" s="912">
        <f t="shared" si="64"/>
        <v>2236.1813808975894</v>
      </c>
      <c r="V145" s="912">
        <f t="shared" si="64"/>
        <v>4123.4117540499974</v>
      </c>
      <c r="W145" s="912">
        <f t="shared" si="64"/>
        <v>3711.0470172430796</v>
      </c>
      <c r="X145" s="912">
        <f t="shared" si="64"/>
        <v>4190.2075782736683</v>
      </c>
      <c r="Y145" s="912">
        <f t="shared" si="64"/>
        <v>4191.2075782736683</v>
      </c>
      <c r="Z145" s="912">
        <f t="shared" si="64"/>
        <v>2098.1870172430827</v>
      </c>
      <c r="AA145" s="912">
        <f t="shared" si="64"/>
        <v>4193.2075782736683</v>
      </c>
      <c r="AB145" s="912">
        <f t="shared" si="64"/>
        <v>4281.4813808975887</v>
      </c>
      <c r="AC145" s="1164">
        <f t="shared" si="64"/>
        <v>-7518.212569205918</v>
      </c>
      <c r="AD145" s="1168">
        <f>SUM(F145:Q145)</f>
        <v>34450.852899645426</v>
      </c>
      <c r="AE145" s="952">
        <f>SUM(R145:AC145)</f>
        <v>32994.262858639195</v>
      </c>
      <c r="AF145" s="55"/>
    </row>
    <row r="146" spans="2:54" ht="13.5" thickBot="1" x14ac:dyDescent="0.25">
      <c r="B146" s="28"/>
      <c r="C146" s="115" t="s">
        <v>348</v>
      </c>
      <c r="D146" s="79"/>
      <c r="E146" s="916"/>
      <c r="F146" s="1140">
        <f>$E$148+F145</f>
        <v>4277.1471420792686</v>
      </c>
      <c r="G146" s="941">
        <f t="shared" ref="G146:AC146" si="65">F146+G145</f>
        <v>7517.2393230817706</v>
      </c>
      <c r="H146" s="941">
        <f t="shared" si="65"/>
        <v>11810.047380417458</v>
      </c>
      <c r="I146" s="941">
        <f t="shared" si="65"/>
        <v>14194.456059776117</v>
      </c>
      <c r="J146" s="941">
        <f t="shared" si="65"/>
        <v>18435.612485313246</v>
      </c>
      <c r="K146" s="941">
        <f t="shared" si="65"/>
        <v>22268.514002556327</v>
      </c>
      <c r="L146" s="941">
        <f t="shared" si="65"/>
        <v>26579.336080829999</v>
      </c>
      <c r="M146" s="941">
        <f t="shared" si="65"/>
        <v>30890.15815910367</v>
      </c>
      <c r="N146" s="941">
        <f t="shared" si="65"/>
        <v>33149.293009680085</v>
      </c>
      <c r="O146" s="941">
        <f t="shared" si="65"/>
        <v>37458.448421287088</v>
      </c>
      <c r="P146" s="941">
        <f t="shared" si="65"/>
        <v>41854.877635518009</v>
      </c>
      <c r="Q146" s="942">
        <f t="shared" si="65"/>
        <v>34450.852899645426</v>
      </c>
      <c r="R146" s="911">
        <f t="shared" si="65"/>
        <v>38636.964653695424</v>
      </c>
      <c r="S146" s="912">
        <f t="shared" si="65"/>
        <v>41750.2852882882</v>
      </c>
      <c r="T146" s="912">
        <f t="shared" si="65"/>
        <v>45938.397042338198</v>
      </c>
      <c r="U146" s="912">
        <f t="shared" si="65"/>
        <v>48174.578423235784</v>
      </c>
      <c r="V146" s="912">
        <f t="shared" si="65"/>
        <v>52297.990177285785</v>
      </c>
      <c r="W146" s="912">
        <f t="shared" si="65"/>
        <v>56009.037194528864</v>
      </c>
      <c r="X146" s="912">
        <f t="shared" si="65"/>
        <v>60199.244772802529</v>
      </c>
      <c r="Y146" s="912">
        <f t="shared" si="65"/>
        <v>64390.452351076194</v>
      </c>
      <c r="Z146" s="912">
        <f t="shared" si="65"/>
        <v>66488.639368319273</v>
      </c>
      <c r="AA146" s="912">
        <f t="shared" si="65"/>
        <v>70681.846946592937</v>
      </c>
      <c r="AB146" s="912">
        <f t="shared" si="65"/>
        <v>74963.328327490526</v>
      </c>
      <c r="AC146" s="1164">
        <f t="shared" si="65"/>
        <v>67445.115758284606</v>
      </c>
      <c r="AD146" s="1177"/>
      <c r="AE146" s="890"/>
      <c r="AF146" s="190"/>
    </row>
    <row r="147" spans="2:54" x14ac:dyDescent="0.2">
      <c r="B147" s="28"/>
      <c r="C147" s="216" t="s">
        <v>106</v>
      </c>
      <c r="D147" s="28"/>
      <c r="E147" s="939">
        <f>Input!$E$410</f>
        <v>0.05</v>
      </c>
      <c r="F147" s="28"/>
      <c r="G147" s="28"/>
      <c r="H147" s="28"/>
      <c r="I147" s="28"/>
      <c r="J147" s="28"/>
      <c r="K147" s="28"/>
      <c r="L147" s="28"/>
      <c r="M147" s="28"/>
      <c r="N147" s="28"/>
      <c r="O147" s="81" t="s">
        <v>885</v>
      </c>
      <c r="P147" s="28"/>
      <c r="Q147" s="913">
        <f>AVERAGE(F146:Q146)</f>
        <v>23573.831883274037</v>
      </c>
      <c r="R147" s="61"/>
      <c r="S147" s="28"/>
      <c r="T147" s="28"/>
      <c r="U147" s="28"/>
      <c r="V147" s="28"/>
      <c r="W147" s="28"/>
      <c r="X147" s="28"/>
      <c r="Y147" s="28"/>
      <c r="Z147" s="28"/>
      <c r="AA147" s="81" t="s">
        <v>885</v>
      </c>
      <c r="AB147" s="28"/>
      <c r="AC147" s="913">
        <f>AVERAGE(R146:AC146)</f>
        <v>57247.990025328181</v>
      </c>
      <c r="AD147" s="28"/>
      <c r="AE147" s="28"/>
    </row>
    <row r="148" spans="2:54" x14ac:dyDescent="0.2">
      <c r="C148" t="s">
        <v>421</v>
      </c>
      <c r="E148" s="938">
        <f>Input!$E$388-Input!$E$402</f>
        <v>0</v>
      </c>
      <c r="F148" s="740">
        <f t="shared" ref="F148:AC148" si="66">F109</f>
        <v>45658</v>
      </c>
      <c r="G148" s="740">
        <f t="shared" si="66"/>
        <v>45689</v>
      </c>
      <c r="H148" s="740">
        <f t="shared" si="66"/>
        <v>45717</v>
      </c>
      <c r="I148" s="740">
        <f t="shared" si="66"/>
        <v>45748</v>
      </c>
      <c r="J148" s="740">
        <f t="shared" si="66"/>
        <v>45778</v>
      </c>
      <c r="K148" s="740">
        <f t="shared" si="66"/>
        <v>45809</v>
      </c>
      <c r="L148" s="740">
        <f t="shared" si="66"/>
        <v>45839</v>
      </c>
      <c r="M148" s="740">
        <f t="shared" si="66"/>
        <v>45870</v>
      </c>
      <c r="N148" s="740">
        <f t="shared" si="66"/>
        <v>45901</v>
      </c>
      <c r="O148" s="740">
        <f t="shared" si="66"/>
        <v>45931</v>
      </c>
      <c r="P148" s="740">
        <f t="shared" si="66"/>
        <v>45962</v>
      </c>
      <c r="Q148" s="740">
        <f t="shared" si="66"/>
        <v>45992</v>
      </c>
      <c r="R148" s="745">
        <f t="shared" si="66"/>
        <v>46023</v>
      </c>
      <c r="S148" s="745">
        <f t="shared" si="66"/>
        <v>46054</v>
      </c>
      <c r="T148" s="745">
        <f t="shared" si="66"/>
        <v>46082</v>
      </c>
      <c r="U148" s="745">
        <f t="shared" si="66"/>
        <v>46113</v>
      </c>
      <c r="V148" s="745">
        <f t="shared" si="66"/>
        <v>46143</v>
      </c>
      <c r="W148" s="745">
        <f t="shared" si="66"/>
        <v>46174</v>
      </c>
      <c r="X148" s="745">
        <f t="shared" si="66"/>
        <v>46204</v>
      </c>
      <c r="Y148" s="745">
        <f t="shared" si="66"/>
        <v>46235</v>
      </c>
      <c r="Z148" s="745">
        <f t="shared" si="66"/>
        <v>46266</v>
      </c>
      <c r="AA148" s="745">
        <f t="shared" si="66"/>
        <v>46296</v>
      </c>
      <c r="AB148" s="745">
        <f t="shared" si="66"/>
        <v>46327</v>
      </c>
      <c r="AC148" s="745">
        <f t="shared" si="66"/>
        <v>46357</v>
      </c>
    </row>
    <row r="149" spans="2:54" x14ac:dyDescent="0.2">
      <c r="C149" t="s">
        <v>181</v>
      </c>
      <c r="F149" s="741">
        <f t="shared" ref="F149:AC149" si="67">F116</f>
        <v>20573</v>
      </c>
      <c r="G149" s="741">
        <f t="shared" si="67"/>
        <v>20573</v>
      </c>
      <c r="H149" s="741">
        <f t="shared" si="67"/>
        <v>20573</v>
      </c>
      <c r="I149" s="741">
        <f t="shared" si="67"/>
        <v>20778</v>
      </c>
      <c r="J149" s="741">
        <f t="shared" si="67"/>
        <v>20778</v>
      </c>
      <c r="K149" s="741">
        <f t="shared" si="67"/>
        <v>21090.5</v>
      </c>
      <c r="L149" s="741">
        <f t="shared" si="67"/>
        <v>20778</v>
      </c>
      <c r="M149" s="741">
        <f t="shared" si="67"/>
        <v>20778</v>
      </c>
      <c r="N149" s="741">
        <f t="shared" si="67"/>
        <v>20778</v>
      </c>
      <c r="O149" s="741">
        <f t="shared" si="67"/>
        <v>20778</v>
      </c>
      <c r="P149" s="741">
        <f t="shared" si="67"/>
        <v>20778</v>
      </c>
      <c r="Q149" s="741">
        <f t="shared" si="67"/>
        <v>20885.5</v>
      </c>
      <c r="R149" s="746">
        <f t="shared" si="67"/>
        <v>20573</v>
      </c>
      <c r="S149" s="746">
        <f t="shared" si="67"/>
        <v>20573</v>
      </c>
      <c r="T149" s="746">
        <f t="shared" si="67"/>
        <v>20573</v>
      </c>
      <c r="U149" s="746">
        <f t="shared" si="67"/>
        <v>20778</v>
      </c>
      <c r="V149" s="746">
        <f t="shared" si="67"/>
        <v>20778</v>
      </c>
      <c r="W149" s="746">
        <f t="shared" si="67"/>
        <v>21090.5</v>
      </c>
      <c r="X149" s="746">
        <f t="shared" si="67"/>
        <v>20778</v>
      </c>
      <c r="Y149" s="746">
        <f t="shared" si="67"/>
        <v>20778</v>
      </c>
      <c r="Z149" s="746">
        <f t="shared" si="67"/>
        <v>20778</v>
      </c>
      <c r="AA149" s="746">
        <f t="shared" si="67"/>
        <v>20778</v>
      </c>
      <c r="AB149" s="746">
        <f t="shared" si="67"/>
        <v>20778</v>
      </c>
      <c r="AC149" s="746">
        <f t="shared" si="67"/>
        <v>20885.5</v>
      </c>
      <c r="AD149" s="55"/>
      <c r="AE149" s="55"/>
      <c r="AF149" s="55"/>
      <c r="AG149" s="55"/>
      <c r="AH149" s="55"/>
      <c r="AI149" s="55"/>
      <c r="AJ149" s="55"/>
      <c r="AK149" s="55"/>
      <c r="AL149" s="55"/>
      <c r="AM149" s="55"/>
      <c r="AN149" s="55"/>
      <c r="AO149" s="55"/>
      <c r="AP149" s="55"/>
      <c r="AQ149" s="55"/>
      <c r="AR149" s="55"/>
      <c r="AS149" s="55"/>
      <c r="AT149" s="55"/>
      <c r="AU149" s="55"/>
      <c r="AV149" s="55"/>
      <c r="AW149" s="55"/>
      <c r="AX149" s="55"/>
      <c r="AY149" s="55"/>
      <c r="AZ149" s="55"/>
      <c r="BA149" s="55"/>
      <c r="BB149" s="55"/>
    </row>
    <row r="150" spans="2:54" x14ac:dyDescent="0.2">
      <c r="C150" s="657" t="s">
        <v>808</v>
      </c>
      <c r="F150" s="742">
        <f>SUM(F118:F132)+F136-F143+F144</f>
        <v>16261.973745950003</v>
      </c>
      <c r="G150" s="742">
        <f t="shared" ref="G150:AC150" si="68">SUM(G118:G132)+G136-G143+G144</f>
        <v>17305.764865407229</v>
      </c>
      <c r="H150" s="742">
        <f t="shared" si="68"/>
        <v>16261.973745950003</v>
      </c>
      <c r="I150" s="742">
        <f t="shared" si="68"/>
        <v>18379.904119102412</v>
      </c>
      <c r="J150" s="742">
        <f t="shared" si="68"/>
        <v>16531.973745950007</v>
      </c>
      <c r="K150" s="742">
        <f t="shared" si="68"/>
        <v>17257.598482756919</v>
      </c>
      <c r="L150" s="742">
        <f t="shared" si="68"/>
        <v>16467.177921726328</v>
      </c>
      <c r="M150" s="742">
        <f t="shared" si="68"/>
        <v>16467.177921726328</v>
      </c>
      <c r="N150" s="742">
        <f t="shared" si="68"/>
        <v>18518.865149423586</v>
      </c>
      <c r="O150" s="742">
        <f t="shared" si="68"/>
        <v>16468.844588392996</v>
      </c>
      <c r="P150" s="742">
        <f t="shared" si="68"/>
        <v>16381.570785769078</v>
      </c>
      <c r="Q150" s="742">
        <f t="shared" si="68"/>
        <v>28289.524735872583</v>
      </c>
      <c r="R150" s="747">
        <f t="shared" si="68"/>
        <v>16386.888245950002</v>
      </c>
      <c r="S150" s="747">
        <f t="shared" si="68"/>
        <v>17459.679365407228</v>
      </c>
      <c r="T150" s="747">
        <f t="shared" si="68"/>
        <v>16384.888245950002</v>
      </c>
      <c r="U150" s="747">
        <f t="shared" si="68"/>
        <v>18541.818619102411</v>
      </c>
      <c r="V150" s="747">
        <f t="shared" si="68"/>
        <v>16654.588245950003</v>
      </c>
      <c r="W150" s="747">
        <f t="shared" si="68"/>
        <v>17379.45298275692</v>
      </c>
      <c r="X150" s="747">
        <f t="shared" si="68"/>
        <v>16587.792421726332</v>
      </c>
      <c r="Y150" s="747">
        <f t="shared" si="68"/>
        <v>16586.792421726332</v>
      </c>
      <c r="Z150" s="747">
        <f t="shared" si="68"/>
        <v>18679.812982756917</v>
      </c>
      <c r="AA150" s="747">
        <f t="shared" si="68"/>
        <v>16584.792421726332</v>
      </c>
      <c r="AB150" s="747">
        <f t="shared" si="68"/>
        <v>16496.518619102411</v>
      </c>
      <c r="AC150" s="747">
        <f t="shared" si="68"/>
        <v>28403.71256920592</v>
      </c>
      <c r="AD150" s="441"/>
      <c r="AE150" s="441"/>
      <c r="AF150" s="441"/>
      <c r="AG150" s="441"/>
      <c r="AH150" s="441"/>
      <c r="AI150" s="441"/>
      <c r="AJ150" s="441"/>
      <c r="AK150" s="441"/>
      <c r="AL150" s="441"/>
      <c r="AM150" s="441"/>
      <c r="AN150" s="441"/>
      <c r="AO150" s="441"/>
      <c r="AP150" s="441"/>
      <c r="AQ150" s="441"/>
      <c r="AR150" s="441"/>
      <c r="AS150" s="441"/>
      <c r="AT150" s="441"/>
      <c r="AU150" s="441"/>
      <c r="AV150" s="441"/>
      <c r="AW150" s="441"/>
      <c r="AX150" s="441"/>
      <c r="AY150" s="441"/>
      <c r="AZ150" s="441"/>
      <c r="BA150" s="441"/>
      <c r="BB150" s="441"/>
    </row>
    <row r="151" spans="2:54" x14ac:dyDescent="0.2">
      <c r="C151" t="s">
        <v>182</v>
      </c>
      <c r="F151" s="743">
        <f t="shared" ref="F151:AC151" si="69">F149-F150</f>
        <v>4311.0262540499971</v>
      </c>
      <c r="G151" s="743">
        <f t="shared" si="69"/>
        <v>3267.2351345927709</v>
      </c>
      <c r="H151" s="743">
        <f t="shared" si="69"/>
        <v>4311.0262540499971</v>
      </c>
      <c r="I151" s="743">
        <f t="shared" si="69"/>
        <v>2398.0958808975884</v>
      </c>
      <c r="J151" s="743">
        <f t="shared" si="69"/>
        <v>4246.0262540499934</v>
      </c>
      <c r="K151" s="743">
        <f t="shared" si="69"/>
        <v>3832.9015172430809</v>
      </c>
      <c r="L151" s="743">
        <f t="shared" si="69"/>
        <v>4310.8220782736717</v>
      </c>
      <c r="M151" s="743">
        <f t="shared" si="69"/>
        <v>4310.8220782736717</v>
      </c>
      <c r="N151" s="743">
        <f t="shared" si="69"/>
        <v>2259.1348505764145</v>
      </c>
      <c r="O151" s="743">
        <f t="shared" si="69"/>
        <v>4309.1554116070038</v>
      </c>
      <c r="P151" s="743">
        <f t="shared" si="69"/>
        <v>4396.4292142309223</v>
      </c>
      <c r="Q151" s="743">
        <f t="shared" si="69"/>
        <v>-7404.0247358725828</v>
      </c>
      <c r="R151" s="748">
        <f t="shared" si="69"/>
        <v>4186.1117540499981</v>
      </c>
      <c r="S151" s="748">
        <f t="shared" si="69"/>
        <v>3113.320634592772</v>
      </c>
      <c r="T151" s="748">
        <f t="shared" si="69"/>
        <v>4188.1117540499981</v>
      </c>
      <c r="U151" s="748">
        <f t="shared" si="69"/>
        <v>2236.1813808975894</v>
      </c>
      <c r="V151" s="748">
        <f t="shared" si="69"/>
        <v>4123.4117540499974</v>
      </c>
      <c r="W151" s="748">
        <f t="shared" si="69"/>
        <v>3711.0470172430796</v>
      </c>
      <c r="X151" s="748">
        <f t="shared" si="69"/>
        <v>4190.2075782736683</v>
      </c>
      <c r="Y151" s="748">
        <f t="shared" si="69"/>
        <v>4191.2075782736683</v>
      </c>
      <c r="Z151" s="748">
        <f t="shared" si="69"/>
        <v>2098.1870172430827</v>
      </c>
      <c r="AA151" s="748">
        <f t="shared" si="69"/>
        <v>4193.2075782736683</v>
      </c>
      <c r="AB151" s="748">
        <f t="shared" si="69"/>
        <v>4281.4813808975887</v>
      </c>
      <c r="AC151" s="748">
        <f t="shared" si="69"/>
        <v>-7518.2125692059199</v>
      </c>
      <c r="AD151" s="55"/>
      <c r="AE151" s="55"/>
      <c r="AF151" s="55"/>
      <c r="AG151" s="55"/>
      <c r="AH151" s="55"/>
      <c r="AI151" s="55"/>
      <c r="AJ151" s="55"/>
      <c r="AK151" s="55"/>
      <c r="AL151" s="55"/>
      <c r="AM151" s="55"/>
      <c r="AN151" s="55"/>
      <c r="AO151" s="55"/>
      <c r="AP151" s="55"/>
      <c r="AQ151" s="55"/>
      <c r="AR151" s="55"/>
      <c r="AS151" s="55"/>
      <c r="AT151" s="55"/>
      <c r="AU151" s="55"/>
      <c r="AV151" s="55"/>
      <c r="AW151" s="55"/>
      <c r="AX151" s="55"/>
      <c r="AY151" s="55"/>
      <c r="AZ151" s="55"/>
      <c r="BA151" s="55"/>
      <c r="BB151" s="55"/>
    </row>
    <row r="152" spans="2:54" x14ac:dyDescent="0.2">
      <c r="C152" t="s">
        <v>913</v>
      </c>
      <c r="D152" s="28"/>
      <c r="E152" s="28"/>
      <c r="F152" s="743">
        <f>IF(E148-F150&lt;0,(E148-F150)/2,0)</f>
        <v>-8130.9868729750015</v>
      </c>
      <c r="G152" s="743">
        <f>IF(F146-G150&lt;0,(F146-G150)/2,0)</f>
        <v>-6514.3088616639798</v>
      </c>
      <c r="H152" s="743">
        <f t="shared" ref="H152:AC152" si="70">IF(G146-H150&lt;0,(G146-H150)/2,0)</f>
        <v>-4372.3672114341161</v>
      </c>
      <c r="I152" s="743">
        <f t="shared" si="70"/>
        <v>-3284.9283693424768</v>
      </c>
      <c r="J152" s="743">
        <f t="shared" si="70"/>
        <v>-1168.7588430869446</v>
      </c>
      <c r="K152" s="743">
        <f t="shared" si="70"/>
        <v>0</v>
      </c>
      <c r="L152" s="743">
        <f t="shared" si="70"/>
        <v>0</v>
      </c>
      <c r="M152" s="743">
        <f t="shared" si="70"/>
        <v>0</v>
      </c>
      <c r="N152" s="743">
        <f t="shared" si="70"/>
        <v>0</v>
      </c>
      <c r="O152" s="743">
        <f t="shared" si="70"/>
        <v>0</v>
      </c>
      <c r="P152" s="743">
        <f t="shared" si="70"/>
        <v>0</v>
      </c>
      <c r="Q152" s="743">
        <f t="shared" si="70"/>
        <v>0</v>
      </c>
      <c r="R152" s="748">
        <f t="shared" si="70"/>
        <v>0</v>
      </c>
      <c r="S152" s="748">
        <f t="shared" si="70"/>
        <v>0</v>
      </c>
      <c r="T152" s="748">
        <f t="shared" si="70"/>
        <v>0</v>
      </c>
      <c r="U152" s="748">
        <f t="shared" si="70"/>
        <v>0</v>
      </c>
      <c r="V152" s="748">
        <f t="shared" si="70"/>
        <v>0</v>
      </c>
      <c r="W152" s="748">
        <f t="shared" si="70"/>
        <v>0</v>
      </c>
      <c r="X152" s="748">
        <f t="shared" si="70"/>
        <v>0</v>
      </c>
      <c r="Y152" s="748">
        <f t="shared" si="70"/>
        <v>0</v>
      </c>
      <c r="Z152" s="748">
        <f t="shared" si="70"/>
        <v>0</v>
      </c>
      <c r="AA152" s="748">
        <f t="shared" si="70"/>
        <v>0</v>
      </c>
      <c r="AB152" s="748">
        <f t="shared" si="70"/>
        <v>0</v>
      </c>
      <c r="AC152" s="748">
        <f t="shared" si="70"/>
        <v>0</v>
      </c>
      <c r="AD152" s="1043"/>
      <c r="AE152" s="190"/>
    </row>
    <row r="153" spans="2:54" x14ac:dyDescent="0.2">
      <c r="B153" s="28"/>
      <c r="D153" s="28"/>
      <c r="E153" s="28"/>
      <c r="R153" s="28"/>
      <c r="S153" s="28"/>
    </row>
    <row r="154" spans="2:54" x14ac:dyDescent="0.2">
      <c r="B154" s="28"/>
      <c r="F154" s="92"/>
      <c r="G154" s="28"/>
      <c r="H154" s="28"/>
      <c r="J154" s="28"/>
      <c r="K154" s="28"/>
      <c r="L154" s="28"/>
      <c r="M154" s="28"/>
      <c r="N154" s="28"/>
      <c r="O154" s="28"/>
      <c r="P154" s="28"/>
      <c r="Q154" s="28"/>
      <c r="R154" s="28"/>
      <c r="S154" s="28"/>
    </row>
    <row r="155" spans="2:54" x14ac:dyDescent="0.2">
      <c r="B155" s="28"/>
      <c r="F155" s="92"/>
      <c r="G155" s="28"/>
      <c r="H155" s="28"/>
      <c r="I155" s="28"/>
      <c r="J155" s="28"/>
      <c r="K155" s="28"/>
      <c r="L155" s="28"/>
      <c r="M155" s="28"/>
      <c r="N155" s="28"/>
      <c r="O155" s="28"/>
      <c r="P155" s="28"/>
      <c r="Q155" s="28"/>
      <c r="R155" s="28"/>
      <c r="S155" s="28"/>
    </row>
    <row r="156" spans="2:54" x14ac:dyDescent="0.2">
      <c r="B156" s="28"/>
      <c r="C156" s="28"/>
      <c r="D156" s="28"/>
      <c r="E156" s="28"/>
      <c r="F156" s="92"/>
      <c r="G156" s="28"/>
      <c r="H156" s="28"/>
      <c r="I156" s="28"/>
      <c r="J156" s="28"/>
      <c r="K156" s="28"/>
      <c r="L156" s="28"/>
      <c r="M156" s="28"/>
      <c r="N156" s="28"/>
      <c r="O156" s="28"/>
      <c r="P156" s="28"/>
      <c r="Q156" s="28"/>
      <c r="R156" s="28"/>
      <c r="S156" s="28"/>
    </row>
    <row r="157" spans="2:54" x14ac:dyDescent="0.2">
      <c r="B157" s="28"/>
      <c r="R157" s="73"/>
      <c r="S157" s="28"/>
    </row>
    <row r="158" spans="2:54" x14ac:dyDescent="0.2">
      <c r="B158" s="28"/>
      <c r="S158" s="28"/>
    </row>
    <row r="159" spans="2:54" x14ac:dyDescent="0.2">
      <c r="B159" s="28"/>
      <c r="S159" s="28"/>
    </row>
    <row r="160" spans="2:54" x14ac:dyDescent="0.2">
      <c r="B160" s="28"/>
    </row>
    <row r="161" spans="2:3" x14ac:dyDescent="0.2">
      <c r="B161" s="28"/>
    </row>
    <row r="162" spans="2:3" x14ac:dyDescent="0.2">
      <c r="B162" s="28"/>
      <c r="C162" s="28"/>
    </row>
    <row r="163" spans="2:3" x14ac:dyDescent="0.2">
      <c r="B163" s="28"/>
      <c r="C163" s="28"/>
    </row>
    <row r="164" spans="2:3" x14ac:dyDescent="0.2">
      <c r="C164" s="28"/>
    </row>
    <row r="165" spans="2:3" x14ac:dyDescent="0.2">
      <c r="C165" s="28"/>
    </row>
    <row r="166" spans="2:3" x14ac:dyDescent="0.2">
      <c r="C166" s="28"/>
    </row>
    <row r="167" spans="2:3" x14ac:dyDescent="0.2">
      <c r="C167" s="28"/>
    </row>
    <row r="168" spans="2:3" x14ac:dyDescent="0.2">
      <c r="B168" s="28"/>
      <c r="C168" s="490"/>
    </row>
    <row r="169" spans="2:3" x14ac:dyDescent="0.2">
      <c r="B169" s="28"/>
      <c r="C169" s="28"/>
    </row>
    <row r="170" spans="2:3" x14ac:dyDescent="0.2">
      <c r="B170" s="28"/>
      <c r="C170" s="28"/>
    </row>
    <row r="171" spans="2:3" x14ac:dyDescent="0.2">
      <c r="B171" s="28"/>
      <c r="C171" s="28"/>
    </row>
    <row r="172" spans="2:3" x14ac:dyDescent="0.2">
      <c r="B172" s="28"/>
      <c r="C172" s="28"/>
    </row>
    <row r="173" spans="2:3" x14ac:dyDescent="0.2">
      <c r="B173" s="28"/>
      <c r="C173" s="28"/>
    </row>
    <row r="174" spans="2:3" x14ac:dyDescent="0.2">
      <c r="B174" s="28"/>
      <c r="C174" s="28"/>
    </row>
    <row r="175" spans="2:3" x14ac:dyDescent="0.2">
      <c r="B175" s="28"/>
      <c r="C175" s="28"/>
    </row>
    <row r="176" spans="2:3" x14ac:dyDescent="0.2">
      <c r="B176" s="28"/>
      <c r="C176" s="28"/>
    </row>
    <row r="177" spans="2:3" x14ac:dyDescent="0.2">
      <c r="B177" s="28"/>
      <c r="C177" s="28"/>
    </row>
    <row r="178" spans="2:3" x14ac:dyDescent="0.2">
      <c r="B178" s="28"/>
      <c r="C178" s="28"/>
    </row>
    <row r="179" spans="2:3" x14ac:dyDescent="0.2">
      <c r="B179" s="28"/>
      <c r="C179" s="28"/>
    </row>
    <row r="180" spans="2:3" x14ac:dyDescent="0.2">
      <c r="B180" s="28"/>
      <c r="C180" s="28"/>
    </row>
    <row r="181" spans="2:3" x14ac:dyDescent="0.2">
      <c r="B181" s="28"/>
      <c r="C181" s="28"/>
    </row>
    <row r="182" spans="2:3" x14ac:dyDescent="0.2">
      <c r="B182" s="28"/>
      <c r="C182" s="28"/>
    </row>
    <row r="183" spans="2:3" x14ac:dyDescent="0.2">
      <c r="B183" s="28"/>
      <c r="C183" s="28"/>
    </row>
    <row r="184" spans="2:3" x14ac:dyDescent="0.2">
      <c r="C184" s="28"/>
    </row>
  </sheetData>
  <sheetProtection sheet="1" objects="1" scenarios="1"/>
  <mergeCells count="1">
    <mergeCell ref="AD2:AE2"/>
  </mergeCells>
  <phoneticPr fontId="10" type="noConversion"/>
  <pageMargins left="0.75" right="0.75" top="1" bottom="1" header="0.5" footer="0.5"/>
  <pageSetup scale="77" fitToWidth="2" orientation="landscape" cellComments="atEnd" r:id="rId1"/>
  <headerFooter alignWithMargins="0">
    <oddFooter>&amp;CEwePLAN Copyright Government of Saskatchewan, Developed By Brad Marceniuk&amp;RPage 2</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AcceleratedMonthly">
                <anchor moveWithCells="1" sizeWithCells="1">
                  <from>
                    <xdr:col>2</xdr:col>
                    <xdr:colOff>0</xdr:colOff>
                    <xdr:row>102</xdr:row>
                    <xdr:rowOff>104775</xdr:rowOff>
                  </from>
                  <to>
                    <xdr:col>7</xdr:col>
                    <xdr:colOff>85725</xdr:colOff>
                    <xdr:row>105</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A1:X159"/>
  <sheetViews>
    <sheetView showGridLines="0" showRowColHeaders="0" zoomScale="110" zoomScaleNormal="110" workbookViewId="0"/>
  </sheetViews>
  <sheetFormatPr defaultRowHeight="12.75" x14ac:dyDescent="0.2"/>
  <cols>
    <col min="1" max="1" width="4.7109375" customWidth="1"/>
    <col min="2" max="2" width="2.7109375" customWidth="1"/>
    <col min="3" max="3" width="40.7109375" customWidth="1"/>
    <col min="4" max="8" width="10.7109375" customWidth="1"/>
    <col min="9" max="11" width="2.7109375" customWidth="1"/>
    <col min="12" max="12" width="37.7109375" customWidth="1"/>
    <col min="13" max="19" width="9.7109375" customWidth="1"/>
    <col min="20" max="22" width="10.7109375" customWidth="1"/>
    <col min="25" max="25" width="10.7109375" customWidth="1"/>
    <col min="26" max="26" width="15.7109375" customWidth="1"/>
    <col min="29" max="40" width="10.7109375" customWidth="1"/>
    <col min="41" max="45" width="11.7109375" customWidth="1"/>
  </cols>
  <sheetData>
    <row r="1" spans="1:22" x14ac:dyDescent="0.2">
      <c r="A1" s="28"/>
      <c r="B1" s="28"/>
      <c r="C1" s="28"/>
      <c r="D1" s="28"/>
      <c r="E1" s="28"/>
      <c r="F1" s="28"/>
      <c r="G1" s="28"/>
      <c r="H1" s="28"/>
      <c r="I1" s="28"/>
      <c r="J1" s="28"/>
      <c r="K1" s="28"/>
      <c r="L1" s="28"/>
      <c r="M1" s="28"/>
      <c r="N1" s="28"/>
      <c r="O1" s="28"/>
      <c r="P1" s="28"/>
      <c r="Q1" s="28"/>
      <c r="R1" s="28"/>
      <c r="S1" s="28"/>
      <c r="T1" s="28"/>
      <c r="U1" s="28"/>
      <c r="V1" s="28"/>
    </row>
    <row r="2" spans="1:22" x14ac:dyDescent="0.2">
      <c r="A2" s="28"/>
      <c r="B2" s="28"/>
      <c r="C2" s="28"/>
      <c r="D2" s="28"/>
      <c r="E2" s="28"/>
      <c r="F2" s="28"/>
      <c r="G2" s="28"/>
      <c r="H2" s="28"/>
      <c r="I2" s="28"/>
      <c r="J2" s="28"/>
      <c r="K2" s="28"/>
      <c r="L2" s="28"/>
      <c r="M2" s="28"/>
      <c r="N2" s="28"/>
      <c r="O2" s="28"/>
      <c r="P2" s="28"/>
      <c r="Q2" s="28"/>
      <c r="R2" s="28"/>
      <c r="S2" s="28"/>
      <c r="T2" s="28"/>
      <c r="U2" s="28"/>
      <c r="V2" s="28"/>
    </row>
    <row r="3" spans="1:22" x14ac:dyDescent="0.2">
      <c r="A3" s="28"/>
      <c r="B3" s="28"/>
      <c r="C3" s="28"/>
      <c r="D3" s="28"/>
      <c r="E3" s="28"/>
      <c r="F3" s="28"/>
      <c r="G3" s="28"/>
      <c r="H3" s="28"/>
      <c r="I3" s="28"/>
      <c r="J3" s="28"/>
      <c r="K3" s="28"/>
      <c r="L3" s="28"/>
      <c r="M3" s="28"/>
      <c r="N3" s="28"/>
      <c r="O3" s="28"/>
      <c r="P3" s="28"/>
      <c r="Q3" s="28"/>
      <c r="R3" s="28"/>
      <c r="S3" s="28"/>
      <c r="T3" s="28"/>
      <c r="U3" s="28"/>
      <c r="V3" s="28"/>
    </row>
    <row r="4" spans="1:22" ht="16.5" thickBot="1" x14ac:dyDescent="0.3">
      <c r="M4" s="75"/>
      <c r="T4" s="28"/>
      <c r="U4" s="28"/>
      <c r="V4" s="28"/>
    </row>
    <row r="5" spans="1:22" ht="16.5" thickBot="1" x14ac:dyDescent="0.3">
      <c r="B5" s="362" t="str">
        <f>Input!$C$10</f>
        <v>Name: Draft Copy 400 Head Ewe Accelerated Operation (45 per month)</v>
      </c>
      <c r="C5" s="183"/>
      <c r="D5" s="1178" t="s">
        <v>678</v>
      </c>
      <c r="E5" s="1179"/>
      <c r="F5" s="1179"/>
      <c r="G5" s="1179"/>
      <c r="H5" s="1091"/>
      <c r="I5" s="1216"/>
      <c r="J5" s="75"/>
      <c r="P5" s="491"/>
    </row>
    <row r="6" spans="1:22" ht="13.5" thickBot="1" x14ac:dyDescent="0.25">
      <c r="B6" s="51"/>
      <c r="C6" s="183"/>
      <c r="D6" s="1180" t="str">
        <f>Input!$E$15</f>
        <v>Year #1</v>
      </c>
      <c r="E6" s="1181" t="str">
        <f>Input!$F$15</f>
        <v>Year #2</v>
      </c>
      <c r="F6" s="1182" t="str">
        <f>Input!$G$15</f>
        <v>Year #3</v>
      </c>
      <c r="G6" s="1182" t="str">
        <f>Input!$H$15</f>
        <v>Year #4</v>
      </c>
      <c r="H6" s="1092" t="str">
        <f>Input!$I$15</f>
        <v>Year #5</v>
      </c>
      <c r="I6" s="373"/>
      <c r="J6" s="65"/>
    </row>
    <row r="7" spans="1:22" x14ac:dyDescent="0.2">
      <c r="B7" s="932" t="s">
        <v>81</v>
      </c>
      <c r="C7" s="933"/>
      <c r="D7" s="934" t="s">
        <v>82</v>
      </c>
      <c r="E7" s="935" t="s">
        <v>82</v>
      </c>
      <c r="F7" s="936" t="s">
        <v>82</v>
      </c>
      <c r="G7" s="936" t="s">
        <v>82</v>
      </c>
      <c r="H7" s="937" t="s">
        <v>82</v>
      </c>
      <c r="I7" s="373"/>
      <c r="J7" s="65"/>
    </row>
    <row r="8" spans="1:22" x14ac:dyDescent="0.2">
      <c r="B8" s="567"/>
      <c r="C8" s="568" t="s">
        <v>578</v>
      </c>
      <c r="D8" s="1183">
        <f>SUM(Monthly!F110:'Monthly'!Q110)</f>
        <v>0</v>
      </c>
      <c r="E8" s="1184">
        <f>SUM(Monthly!R110:'Monthly'!AC110)</f>
        <v>0</v>
      </c>
      <c r="F8" s="1185">
        <f>IF(Input!G$52&gt;0,(Input!G$52*Input!G$54),(0))</f>
        <v>0</v>
      </c>
      <c r="G8" s="1185">
        <f>IF(Input!H$52&gt;0,(Input!H$52*Input!H$54),(0))</f>
        <v>0</v>
      </c>
      <c r="H8" s="1186">
        <f>IF(Input!I$52&gt;0,(Input!I$52*Input!I$54),(0))</f>
        <v>0</v>
      </c>
      <c r="I8" s="1217"/>
      <c r="J8" s="55"/>
    </row>
    <row r="9" spans="1:22" x14ac:dyDescent="0.2">
      <c r="B9" s="567"/>
      <c r="C9" s="569" t="s">
        <v>679</v>
      </c>
      <c r="D9" s="1183">
        <f>SUM(Monthly!F111:'Monthly'!Q111)</f>
        <v>234876</v>
      </c>
      <c r="E9" s="1184">
        <f>SUM(Monthly!R111:'Monthly'!AC111)</f>
        <v>234876</v>
      </c>
      <c r="F9" s="1185">
        <f>IF(Input!G$57&gt;0,(Input!G$57*Input!G$59),(0))</f>
        <v>234876</v>
      </c>
      <c r="G9" s="1185">
        <f>IF(Input!H$57&gt;0,(Input!H$57*Input!H$59),(0))</f>
        <v>234876</v>
      </c>
      <c r="H9" s="1186">
        <f>IF(Input!I$57&gt;0,(Input!I$57*Input!I$59),(0))</f>
        <v>234876</v>
      </c>
      <c r="I9" s="1217"/>
      <c r="J9" s="55"/>
    </row>
    <row r="10" spans="1:22" x14ac:dyDescent="0.2">
      <c r="B10" s="567"/>
      <c r="C10" s="568" t="s">
        <v>419</v>
      </c>
      <c r="D10" s="1183">
        <f>SUM(Monthly!F112:'Monthly'!Q112)</f>
        <v>12625</v>
      </c>
      <c r="E10" s="1184">
        <f>SUM(Monthly!R112:'Monthly'!AC112)</f>
        <v>12625</v>
      </c>
      <c r="F10" s="1185">
        <f>(Input!G$70*Input!G$73)+(Input!G$74*Input!G$77)</f>
        <v>12625</v>
      </c>
      <c r="G10" s="1185">
        <f>(Input!H$70*Input!H$73)+(Input!H$74*Input!H$77)</f>
        <v>12625</v>
      </c>
      <c r="H10" s="1186">
        <f>(Input!I$70*Input!I$73)+(Input!I$74*Input!I$77)</f>
        <v>12625</v>
      </c>
      <c r="I10" s="1217"/>
      <c r="J10" s="55"/>
    </row>
    <row r="11" spans="1:22" x14ac:dyDescent="0.2">
      <c r="B11" s="567"/>
      <c r="C11" s="570" t="s">
        <v>446</v>
      </c>
      <c r="D11" s="1183">
        <f>SUM(Monthly!F113:'Monthly'!Q113)</f>
        <v>0</v>
      </c>
      <c r="E11" s="1184">
        <f>SUM(Monthly!R113:'Monthly'!AC113)</f>
        <v>0</v>
      </c>
      <c r="F11" s="1185">
        <f>((Input!$G$62*Input!$G$63)+(Input!$G$64*Input!$G$65)+(Input!$G$66*Input!$G$67))</f>
        <v>0</v>
      </c>
      <c r="G11" s="1185">
        <f>((Input!$H$62*Input!$H$63)+(Input!$H$64*Input!$H$65)+(Input!$H$66*Input!$H$67))</f>
        <v>0</v>
      </c>
      <c r="H11" s="1186">
        <f>((Input!$I$62*Input!$I$63)+(Input!$I$64*Input!$I$65)+(Input!$I$66*Input!$I$67))</f>
        <v>0</v>
      </c>
      <c r="I11" s="1217"/>
      <c r="J11" s="55"/>
    </row>
    <row r="12" spans="1:22" x14ac:dyDescent="0.2">
      <c r="B12" s="567"/>
      <c r="C12" s="568" t="s">
        <v>294</v>
      </c>
      <c r="D12" s="1183">
        <f>SUM(Monthly!F114:'Monthly'!Q114)</f>
        <v>1640</v>
      </c>
      <c r="E12" s="1184">
        <f>SUM(Monthly!R114:'Monthly'!AC114)</f>
        <v>1640</v>
      </c>
      <c r="F12" s="1185">
        <f>Input!G84</f>
        <v>1640</v>
      </c>
      <c r="G12" s="1185">
        <f>Input!H84</f>
        <v>1640</v>
      </c>
      <c r="H12" s="1186">
        <f>Input!I84</f>
        <v>1640</v>
      </c>
      <c r="I12" s="1217"/>
      <c r="J12" s="55"/>
    </row>
    <row r="13" spans="1:22" ht="13.5" thickBot="1" x14ac:dyDescent="0.25">
      <c r="B13" s="57"/>
      <c r="C13" s="566" t="s">
        <v>892</v>
      </c>
      <c r="D13" s="1183">
        <f>SUM(Monthly!F115:'Monthly'!Q115)</f>
        <v>0</v>
      </c>
      <c r="E13" s="1184">
        <f>SUM(Monthly!R115:'Monthly'!AC115)</f>
        <v>0</v>
      </c>
      <c r="F13" s="1187">
        <f>Input!G$90*Input!G$91*Input!G$93</f>
        <v>0</v>
      </c>
      <c r="G13" s="1187">
        <f>Input!H$90*Input!H$91*Input!H$93</f>
        <v>0</v>
      </c>
      <c r="H13" s="1188">
        <f>Input!I$90*Input!I$91*Input!I$93</f>
        <v>0</v>
      </c>
      <c r="I13" s="1217"/>
      <c r="J13" s="55"/>
    </row>
    <row r="14" spans="1:22" ht="13.5" thickBot="1" x14ac:dyDescent="0.25">
      <c r="B14" s="359"/>
      <c r="C14" s="360" t="s">
        <v>83</v>
      </c>
      <c r="D14" s="1189">
        <f>SUM(D8:D13)</f>
        <v>249141</v>
      </c>
      <c r="E14" s="1190">
        <f>SUM(E8:E13)</f>
        <v>249141</v>
      </c>
      <c r="F14" s="1191">
        <f>SUM(F8:F13)</f>
        <v>249141</v>
      </c>
      <c r="G14" s="1191">
        <f>SUM(G8:G13)</f>
        <v>249141</v>
      </c>
      <c r="H14" s="1093">
        <f>SUM(H8:H13)</f>
        <v>249141</v>
      </c>
      <c r="I14" s="1218"/>
      <c r="J14" s="190"/>
    </row>
    <row r="15" spans="1:22" x14ac:dyDescent="0.2">
      <c r="B15" s="48" t="s">
        <v>216</v>
      </c>
      <c r="C15" s="49"/>
      <c r="D15" s="537"/>
      <c r="E15" s="50"/>
      <c r="F15" s="50"/>
      <c r="G15" s="50"/>
      <c r="H15" s="1094"/>
      <c r="I15" s="699"/>
      <c r="J15" s="73"/>
    </row>
    <row r="16" spans="1:22" x14ac:dyDescent="0.2">
      <c r="B16" s="44"/>
      <c r="C16" s="541" t="s">
        <v>912</v>
      </c>
      <c r="D16" s="1183">
        <f>SUM(Monthly!F118:'Monthly'!Q118)</f>
        <v>104117.61920892053</v>
      </c>
      <c r="E16" s="1185">
        <f>SUM(Monthly!R118:'Monthly'!AC118)</f>
        <v>104117.61920892053</v>
      </c>
      <c r="F16" s="1185">
        <f>(Input!$G194+Input!$G202)*(365/Input!$G210)+(Input!$G229+Input!$G235)+(Input!G$239*Input!G$255)+(Input!G$259*Input!G$275)+(Input!G$279*Input!G$295)+Input!G$118-(Input!G$24*(Input!G$255+Input!G$275+Input!G$295))</f>
        <v>104159.42296648421</v>
      </c>
      <c r="G16" s="1185">
        <f>(Input!$G194+Input!$G202)*(365/Input!$G210)+(Input!$G229+Input!$G235)+(Input!H$239*Input!H$255)+(Input!H$259*Input!H$275)+(Input!H$279*Input!H$295)+Input!H$118-(Input!H$24*(Input!H$255+Input!H$275+Input!H$295))</f>
        <v>104159.42296648421</v>
      </c>
      <c r="H16" s="1192">
        <f>(Input!$G194+Input!$G202)*(365/Input!$G210)+(Input!$G229+Input!$G235)+(Input!I$239*Input!I$255)+(Input!I$259*Input!I$275)+(Input!I$279*Input!I$295)+Input!I$118-(Input!I$24*(Input!I$255+Input!I$275+Input!I$295))</f>
        <v>104159.42296648421</v>
      </c>
      <c r="I16" s="1217"/>
      <c r="J16" s="55"/>
    </row>
    <row r="17" spans="2:10" x14ac:dyDescent="0.2">
      <c r="B17" s="540"/>
      <c r="C17" s="689" t="s">
        <v>810</v>
      </c>
      <c r="D17" s="1183">
        <f>SUM(Monthly!F119:'Monthly'!Q119)</f>
        <v>1000.0000000000001</v>
      </c>
      <c r="E17" s="1185">
        <f>SUM(Monthly!R119:'Monthly'!AC119)</f>
        <v>1020</v>
      </c>
      <c r="F17" s="1185">
        <f>Input!$G$316+(Input!$G$322*12)</f>
        <v>1040.4000000000001</v>
      </c>
      <c r="G17" s="1185">
        <f>Input!$G$316+(Input!$G$322*12)</f>
        <v>1040.4000000000001</v>
      </c>
      <c r="H17" s="1192">
        <f>Input!$G$316+(Input!$G$322*12)</f>
        <v>1040.4000000000001</v>
      </c>
      <c r="I17" s="1217"/>
      <c r="J17" s="55"/>
    </row>
    <row r="18" spans="2:10" x14ac:dyDescent="0.2">
      <c r="B18" s="44"/>
      <c r="C18" s="541" t="str">
        <f>Monthly!$C$121</f>
        <v>Breeding Supplies</v>
      </c>
      <c r="D18" s="1183">
        <f>SUM(Monthly!F121:'Monthly'!Q121)</f>
        <v>12690</v>
      </c>
      <c r="E18" s="1185">
        <f>SUM(Monthly!R121:'Monthly'!AC121)</f>
        <v>12943.799999999997</v>
      </c>
      <c r="F18" s="1185">
        <f>Input!G$313</f>
        <v>13202.676000000003</v>
      </c>
      <c r="G18" s="1185">
        <f>Input!H$313</f>
        <v>13466.729520000001</v>
      </c>
      <c r="H18" s="1192">
        <f>Input!I$313</f>
        <v>13736.064110400002</v>
      </c>
      <c r="I18" s="29"/>
      <c r="J18" s="55"/>
    </row>
    <row r="19" spans="2:10" x14ac:dyDescent="0.2">
      <c r="B19" s="44"/>
      <c r="C19" s="541" t="s">
        <v>936</v>
      </c>
      <c r="D19" s="1183">
        <f>SUM(Monthly!F122:'Monthly'!Q122)</f>
        <v>5546.6796091843498</v>
      </c>
      <c r="E19" s="1185">
        <f>SUM(Monthly!R122:'Monthly'!AC122)</f>
        <v>5546.6796091843498</v>
      </c>
      <c r="F19" s="1185">
        <f>(Input!G$25*Input!G$26)+(Input!G$32*Input!G$33)+(Input!G$24*(Input!G$255+Input!G$275+Input!G$295))</f>
        <v>5546.6796091843489</v>
      </c>
      <c r="G19" s="1185">
        <f>(Input!H$25*Input!H$26)+(Input!H$32*Input!H$33)+(Input!H$24*(Input!H$255+Input!H$275+Input!H$295))</f>
        <v>5546.6796091843489</v>
      </c>
      <c r="H19" s="1192">
        <f>(Input!I$25*Input!I$26)+(Input!I$32*Input!I$33)+(Input!I$24*(Input!I$255+Input!I$275+Input!I$295))</f>
        <v>5546.6796091843489</v>
      </c>
      <c r="I19" s="1217"/>
      <c r="J19" s="55"/>
    </row>
    <row r="20" spans="2:10" x14ac:dyDescent="0.2">
      <c r="B20" s="44"/>
      <c r="C20" s="45" t="s">
        <v>84</v>
      </c>
      <c r="D20" s="1183">
        <f>SUM(Monthly!F120:'Monthly'!Q120)</f>
        <v>5744.2</v>
      </c>
      <c r="E20" s="1185">
        <f>SUM(Monthly!R120:'Monthly'!AC120)</f>
        <v>5859.0839999999989</v>
      </c>
      <c r="F20" s="1185">
        <f>Input!G$305</f>
        <v>5976.2656800000004</v>
      </c>
      <c r="G20" s="1185">
        <f>Input!H$305</f>
        <v>6095.7909936000005</v>
      </c>
      <c r="H20" s="1192">
        <f>Input!I$305</f>
        <v>6217.7068134720012</v>
      </c>
      <c r="I20" s="1217"/>
      <c r="J20" s="55"/>
    </row>
    <row r="21" spans="2:10" x14ac:dyDescent="0.2">
      <c r="B21" s="44"/>
      <c r="C21" s="45" t="s">
        <v>293</v>
      </c>
      <c r="D21" s="1183">
        <f>SUM(Monthly!F123:'Monthly'!Q123)</f>
        <v>2706.6666666666665</v>
      </c>
      <c r="E21" s="1185">
        <f>SUM(Monthly!R123:'Monthly'!AC123)</f>
        <v>2733.6</v>
      </c>
      <c r="F21" s="1185">
        <f>Input!G$325+Input!G$326+Input!G$329+Input!G$330</f>
        <v>2740.3999999999996</v>
      </c>
      <c r="G21" s="1185">
        <f>Input!H$325+Input!H$326+Input!H$329+Input!H$330</f>
        <v>2761.2080000000005</v>
      </c>
      <c r="H21" s="1192">
        <f>Input!I$325+Input!I$326+Input!I$329+Input!I$330</f>
        <v>2782.4321600000003</v>
      </c>
      <c r="I21" s="1217"/>
      <c r="J21" s="55"/>
    </row>
    <row r="22" spans="2:10" x14ac:dyDescent="0.2">
      <c r="B22" s="44"/>
      <c r="C22" s="45" t="s">
        <v>85</v>
      </c>
      <c r="D22" s="1183">
        <f>SUM(Monthly!F124:'Monthly'!Q124)</f>
        <v>30320.000000000004</v>
      </c>
      <c r="E22" s="1185">
        <f>SUM(Monthly!R124:'Monthly'!AC124)</f>
        <v>30926.400000000005</v>
      </c>
      <c r="F22" s="1185">
        <f>Input!G$337</f>
        <v>31544.928</v>
      </c>
      <c r="G22" s="1185">
        <f>Input!H$337</f>
        <v>32175.826560000001</v>
      </c>
      <c r="H22" s="1192">
        <f>Input!I$337</f>
        <v>32819.343091200004</v>
      </c>
      <c r="I22" s="1217"/>
      <c r="J22" s="55"/>
    </row>
    <row r="23" spans="2:10" x14ac:dyDescent="0.2">
      <c r="B23" s="44"/>
      <c r="C23" s="45" t="s">
        <v>158</v>
      </c>
      <c r="D23" s="1183">
        <f>SUM(Monthly!F125:'Monthly'!Q125)</f>
        <v>3600</v>
      </c>
      <c r="E23" s="1185">
        <f>SUM(Monthly!R125:'Monthly'!AC125)</f>
        <v>3672</v>
      </c>
      <c r="F23" s="1185">
        <f>Input!G344</f>
        <v>3745.44</v>
      </c>
      <c r="G23" s="1185">
        <f>Input!H344</f>
        <v>3820.3488000000002</v>
      </c>
      <c r="H23" s="1192">
        <f>Input!I344</f>
        <v>3896.7557760000004</v>
      </c>
      <c r="I23" s="1217"/>
      <c r="J23" s="55"/>
    </row>
    <row r="24" spans="2:10" x14ac:dyDescent="0.2">
      <c r="B24" s="44"/>
      <c r="C24" s="45" t="s">
        <v>159</v>
      </c>
      <c r="D24" s="1183">
        <f>SUM(Monthly!F126:'Monthly'!Q126)</f>
        <v>5200</v>
      </c>
      <c r="E24" s="1185">
        <f>SUM(Monthly!R126:'Monthly'!AC126)</f>
        <v>5304</v>
      </c>
      <c r="F24" s="1185">
        <f>Input!G$347+Input!G$349</f>
        <v>5410.08</v>
      </c>
      <c r="G24" s="1185">
        <f>Input!H$347+Input!H$349</f>
        <v>5518.2816000000003</v>
      </c>
      <c r="H24" s="1192">
        <f>Input!I$347+Input!I$349</f>
        <v>5628.6472320000003</v>
      </c>
      <c r="I24" s="1217"/>
      <c r="J24" s="55"/>
    </row>
    <row r="25" spans="2:10" x14ac:dyDescent="0.2">
      <c r="B25" s="44"/>
      <c r="C25" s="45" t="s">
        <v>483</v>
      </c>
      <c r="D25" s="1183">
        <f>SUM(Monthly!F127:'Monthly'!Q127)</f>
        <v>4500</v>
      </c>
      <c r="E25" s="1185">
        <f>SUM(Monthly!R127:'Monthly'!AC127)</f>
        <v>4590</v>
      </c>
      <c r="F25" s="1185">
        <f>Input!G$353+Input!G$355</f>
        <v>4681.8</v>
      </c>
      <c r="G25" s="1185">
        <f>Input!H$353+Input!H$355</f>
        <v>4775.4359999999997</v>
      </c>
      <c r="H25" s="1192">
        <f>Input!I$353+Input!I$355</f>
        <v>4870.9447199999995</v>
      </c>
      <c r="I25" s="1217"/>
      <c r="J25" s="55"/>
    </row>
    <row r="26" spans="2:10" x14ac:dyDescent="0.2">
      <c r="B26" s="44"/>
      <c r="C26" s="45" t="s">
        <v>597</v>
      </c>
      <c r="D26" s="1183">
        <f>SUM(Monthly!F128:'Monthly'!Q128)</f>
        <v>18625.2</v>
      </c>
      <c r="E26" s="1185">
        <f>SUM(Monthly!R128:'Monthly'!AC128)</f>
        <v>18844.320000000003</v>
      </c>
      <c r="F26" s="1185">
        <f>Input!G$362+Input!G$367+Input!G$372</f>
        <v>19067.822400000001</v>
      </c>
      <c r="G26" s="1185">
        <f>Input!H$362+Input!H$367+Input!H$372</f>
        <v>19295.794848000001</v>
      </c>
      <c r="H26" s="1192">
        <f>Input!I$362+Input!I$367+Input!I$372</f>
        <v>19528.326744960003</v>
      </c>
      <c r="I26" s="1217"/>
      <c r="J26" s="55"/>
    </row>
    <row r="27" spans="2:10" x14ac:dyDescent="0.2">
      <c r="B27" s="44"/>
      <c r="C27" s="45" t="s">
        <v>312</v>
      </c>
      <c r="D27" s="1183">
        <f>SUM(Monthly!F129:'Monthly'!Q129)</f>
        <v>2160</v>
      </c>
      <c r="E27" s="1185">
        <f>SUM(Monthly!R129:'Monthly'!AC129)</f>
        <v>2160</v>
      </c>
      <c r="F27" s="1185">
        <f>Input!G87</f>
        <v>2460</v>
      </c>
      <c r="G27" s="1185">
        <f>Input!H87</f>
        <v>2460</v>
      </c>
      <c r="H27" s="1192">
        <f>Input!I87</f>
        <v>2460</v>
      </c>
      <c r="I27" s="1217"/>
      <c r="J27" s="55"/>
    </row>
    <row r="28" spans="2:10" x14ac:dyDescent="0.2">
      <c r="B28" s="44"/>
      <c r="C28" s="45" t="s">
        <v>427</v>
      </c>
      <c r="D28" s="1183">
        <f>SUM(Monthly!F131:'Monthly'!Q131)</f>
        <v>5700</v>
      </c>
      <c r="E28" s="1185">
        <f>SUM(Monthly!R131:'Monthly'!AC131)</f>
        <v>5814</v>
      </c>
      <c r="F28" s="1185">
        <f>Input!G$375+Input!G$376+Input!G$377</f>
        <v>5930.2800000000007</v>
      </c>
      <c r="G28" s="1185">
        <f>Input!H$375+Input!H$376+Input!H$377</f>
        <v>6048.8855999999996</v>
      </c>
      <c r="H28" s="1192">
        <f>Input!I$375+Input!I$376+Input!I$377</f>
        <v>6169.8633120000004</v>
      </c>
      <c r="I28" s="1217"/>
      <c r="J28" s="55"/>
    </row>
    <row r="29" spans="2:10" x14ac:dyDescent="0.2">
      <c r="B29" s="44"/>
      <c r="C29" s="45" t="s">
        <v>98</v>
      </c>
      <c r="D29" s="1183">
        <f>SUM(Monthly!F132:'Monthly'!Q132)</f>
        <v>1596.5000000000002</v>
      </c>
      <c r="E29" s="1185">
        <f>SUM(Monthly!R132:'Monthly'!AC132)</f>
        <v>1607.7500000000002</v>
      </c>
      <c r="F29" s="1185">
        <f>Input!G$380+Input!G$383</f>
        <v>1619.2249999999999</v>
      </c>
      <c r="G29" s="1185">
        <f>Input!H$380+Input!H$383</f>
        <v>1630.9295</v>
      </c>
      <c r="H29" s="1192">
        <f>Input!I$380+Input!I$383</f>
        <v>1642.8680899999999</v>
      </c>
      <c r="I29" s="1217"/>
      <c r="J29" s="55"/>
    </row>
    <row r="30" spans="2:10" ht="13.5" thickBot="1" x14ac:dyDescent="0.25">
      <c r="B30" s="29"/>
      <c r="C30" t="s">
        <v>168</v>
      </c>
      <c r="D30" s="1193">
        <f>SUM(Monthly!F133:'Monthly'!Q133)</f>
        <v>97.797292327093842</v>
      </c>
      <c r="E30" s="1185">
        <f>SUM(Monthly!R133:'Monthly'!AC133)</f>
        <v>0</v>
      </c>
      <c r="F30" s="538">
        <f>Input!G411</f>
        <v>0</v>
      </c>
      <c r="G30" s="538">
        <f>Input!H411</f>
        <v>0</v>
      </c>
      <c r="H30" s="658">
        <f>Input!I411</f>
        <v>0</v>
      </c>
      <c r="I30" s="1217"/>
      <c r="J30" s="55"/>
    </row>
    <row r="31" spans="2:10" ht="13.5" thickBot="1" x14ac:dyDescent="0.25">
      <c r="B31" s="359"/>
      <c r="C31" s="360" t="s">
        <v>105</v>
      </c>
      <c r="D31" s="1189">
        <f>SUM(D16:D30)</f>
        <v>203604.66277709865</v>
      </c>
      <c r="E31" s="1191">
        <f>SUM(E16:E30)</f>
        <v>205139.2528181049</v>
      </c>
      <c r="F31" s="1191">
        <f>SUM(F16:F30)</f>
        <v>207125.41965566852</v>
      </c>
      <c r="G31" s="1191">
        <f>SUM(G16:G30)</f>
        <v>208795.73399726851</v>
      </c>
      <c r="H31" s="1194">
        <f>SUM(H16:H30)</f>
        <v>210499.4546257006</v>
      </c>
      <c r="I31" s="1218"/>
      <c r="J31" s="190"/>
    </row>
    <row r="32" spans="2:10" x14ac:dyDescent="0.2">
      <c r="B32" s="44"/>
      <c r="C32" s="45" t="s">
        <v>110</v>
      </c>
      <c r="D32" s="1193">
        <f>SUM(Monthly!F135:'Monthly'!Q135)</f>
        <v>8520.8333333333339</v>
      </c>
      <c r="E32" s="1185">
        <f>SUM(Monthly!R135:'Monthly'!AC135)</f>
        <v>7643.75</v>
      </c>
      <c r="F32" s="1195">
        <f>Depreciation!I$9</f>
        <v>7434.375</v>
      </c>
      <c r="G32" s="1184">
        <f>Depreciation!K$9</f>
        <v>6860.15625</v>
      </c>
      <c r="H32" s="1192">
        <f>Depreciation!M$9</f>
        <v>6334.8984375</v>
      </c>
      <c r="I32" s="1217"/>
      <c r="J32" s="55"/>
    </row>
    <row r="33" spans="2:19" ht="13.5" thickBot="1" x14ac:dyDescent="0.25">
      <c r="B33" s="29"/>
      <c r="C33" t="s">
        <v>111</v>
      </c>
      <c r="D33" s="1193">
        <f>SUM(Monthly!F136:'Monthly'!Q136)</f>
        <v>4975</v>
      </c>
      <c r="E33" s="1185">
        <f>SUM(Monthly!R136:'Monthly'!AC136)</f>
        <v>4630.7679951278697</v>
      </c>
      <c r="F33" s="55">
        <f>Financing!D42</f>
        <v>4267.113907962188</v>
      </c>
      <c r="G33" s="1187">
        <f>Financing!D43</f>
        <v>3882.9401646552769</v>
      </c>
      <c r="H33" s="1188">
        <f>Financing!D44</f>
        <v>3477.087063238539</v>
      </c>
      <c r="I33" s="1217"/>
      <c r="J33" s="55"/>
    </row>
    <row r="34" spans="2:19" ht="13.5" thickBot="1" x14ac:dyDescent="0.25">
      <c r="B34" s="359"/>
      <c r="C34" s="360" t="s">
        <v>115</v>
      </c>
      <c r="D34" s="1196">
        <f>D32+D33</f>
        <v>13495.833333333334</v>
      </c>
      <c r="E34" s="1191">
        <f>E32+E33</f>
        <v>12274.51799512787</v>
      </c>
      <c r="F34" s="1197">
        <f>F32+F33</f>
        <v>11701.488907962188</v>
      </c>
      <c r="G34" s="1190">
        <f>G32+G33</f>
        <v>10743.096414655276</v>
      </c>
      <c r="H34" s="1194">
        <f>H32+H33</f>
        <v>9811.9855007385395</v>
      </c>
      <c r="I34" s="1218"/>
      <c r="J34" s="190"/>
    </row>
    <row r="35" spans="2:19" ht="13.5" thickBot="1" x14ac:dyDescent="0.25">
      <c r="B35" s="359"/>
      <c r="C35" s="360" t="s">
        <v>116</v>
      </c>
      <c r="D35" s="1196">
        <f>D31+D34</f>
        <v>217100.496110432</v>
      </c>
      <c r="E35" s="1191">
        <f>E31+E34</f>
        <v>217413.77081323275</v>
      </c>
      <c r="F35" s="1197">
        <f>F31+F34</f>
        <v>218826.90856363071</v>
      </c>
      <c r="G35" s="1190">
        <f>G31+G34</f>
        <v>219538.83041192379</v>
      </c>
      <c r="H35" s="1194">
        <f>H31+H34</f>
        <v>220311.44012643915</v>
      </c>
      <c r="I35" s="1218"/>
      <c r="J35" s="190"/>
    </row>
    <row r="36" spans="2:19" x14ac:dyDescent="0.2">
      <c r="B36" s="1126"/>
      <c r="C36" s="549" t="s">
        <v>117</v>
      </c>
      <c r="D36" s="1127">
        <f>D14-D35</f>
        <v>32040.503889568005</v>
      </c>
      <c r="E36" s="1128">
        <f>E14-E35</f>
        <v>31727.229186767247</v>
      </c>
      <c r="F36" s="1198">
        <f>F14-F35</f>
        <v>30314.091436369286</v>
      </c>
      <c r="G36" s="1199">
        <f>G14-G35</f>
        <v>29602.169588076213</v>
      </c>
      <c r="H36" s="1200">
        <f>H14-H35</f>
        <v>28829.559873560851</v>
      </c>
      <c r="I36" s="1218"/>
      <c r="J36" s="190"/>
    </row>
    <row r="37" spans="2:19" ht="13.5" thickBot="1" x14ac:dyDescent="0.25">
      <c r="B37" s="57"/>
      <c r="C37" s="88" t="s">
        <v>422</v>
      </c>
      <c r="D37" s="1201">
        <f>D36+Balance_Sheet!D54</f>
        <v>32040.503889568005</v>
      </c>
      <c r="E37" s="1202">
        <f>E36+Balance_Sheet!E54</f>
        <v>31727.229186767247</v>
      </c>
      <c r="F37" s="1203">
        <f>F36+Balance_Sheet!F54</f>
        <v>30314.091436369286</v>
      </c>
      <c r="G37" s="1204">
        <f>G36+Balance_Sheet!G54</f>
        <v>29602.169588076213</v>
      </c>
      <c r="H37" s="1205">
        <f>H36+Balance_Sheet!H54</f>
        <v>28829.559873560851</v>
      </c>
      <c r="I37" s="1218"/>
      <c r="J37" s="190"/>
    </row>
    <row r="38" spans="2:19" ht="13.5" thickBot="1" x14ac:dyDescent="0.25">
      <c r="B38" s="3"/>
      <c r="C38" s="38"/>
      <c r="D38" s="1206" t="str">
        <f>D6</f>
        <v>Year #1</v>
      </c>
      <c r="E38" s="1182" t="str">
        <f>E6</f>
        <v>Year #2</v>
      </c>
      <c r="F38" s="1182" t="str">
        <f>F6</f>
        <v>Year #3</v>
      </c>
      <c r="G38" s="1182" t="str">
        <f>G6</f>
        <v>Year #4</v>
      </c>
      <c r="H38" s="1207" t="str">
        <f>H6</f>
        <v>Year #5</v>
      </c>
      <c r="I38" s="373"/>
      <c r="J38" s="65"/>
    </row>
    <row r="39" spans="2:19" ht="13.5" thickBot="1" x14ac:dyDescent="0.25">
      <c r="B39" s="51"/>
      <c r="C39" s="676" t="s">
        <v>423</v>
      </c>
      <c r="D39" s="1208" t="s">
        <v>82</v>
      </c>
      <c r="E39" s="1182" t="s">
        <v>82</v>
      </c>
      <c r="F39" s="1209" t="s">
        <v>82</v>
      </c>
      <c r="G39" s="1182" t="s">
        <v>82</v>
      </c>
      <c r="H39" s="1207" t="s">
        <v>82</v>
      </c>
      <c r="I39" s="373"/>
      <c r="J39" s="65"/>
    </row>
    <row r="40" spans="2:19" x14ac:dyDescent="0.2">
      <c r="B40" s="475"/>
      <c r="C40" s="476" t="s">
        <v>117</v>
      </c>
      <c r="D40" s="823">
        <f>D36</f>
        <v>32040.503889568005</v>
      </c>
      <c r="E40" s="1210">
        <f>E36</f>
        <v>31727.229186767247</v>
      </c>
      <c r="F40" s="1210">
        <f>F36</f>
        <v>30314.091436369286</v>
      </c>
      <c r="G40" s="1210">
        <f>G36</f>
        <v>29602.169588076213</v>
      </c>
      <c r="H40" s="824">
        <f>H36</f>
        <v>28829.559873560851</v>
      </c>
      <c r="I40" s="1219"/>
      <c r="J40" s="59"/>
    </row>
    <row r="41" spans="2:19" x14ac:dyDescent="0.2">
      <c r="B41" s="44"/>
      <c r="C41" s="45" t="s">
        <v>118</v>
      </c>
      <c r="D41" s="1183">
        <f>D32</f>
        <v>8520.8333333333339</v>
      </c>
      <c r="E41" s="1185">
        <f>E32</f>
        <v>7643.75</v>
      </c>
      <c r="F41" s="1185">
        <f>F32</f>
        <v>7434.375</v>
      </c>
      <c r="G41" s="1185">
        <f>G32</f>
        <v>6860.15625</v>
      </c>
      <c r="H41" s="1192">
        <f>H32</f>
        <v>6334.8984375</v>
      </c>
      <c r="I41" s="1217"/>
      <c r="J41" s="55"/>
    </row>
    <row r="42" spans="2:19" x14ac:dyDescent="0.2">
      <c r="B42" s="29"/>
      <c r="C42" t="s">
        <v>322</v>
      </c>
      <c r="D42" s="1183">
        <f>Input!E427</f>
        <v>0</v>
      </c>
      <c r="E42" s="167">
        <f>Input!E433</f>
        <v>0</v>
      </c>
      <c r="F42" s="167">
        <f>Input!E439</f>
        <v>0</v>
      </c>
      <c r="G42" s="167">
        <f>Input!E445</f>
        <v>0</v>
      </c>
      <c r="H42" s="686">
        <f>Input!E451</f>
        <v>0</v>
      </c>
      <c r="I42" s="1217"/>
      <c r="J42" s="55"/>
    </row>
    <row r="43" spans="2:19" ht="13.5" thickBot="1" x14ac:dyDescent="0.25">
      <c r="B43" s="44"/>
      <c r="C43" s="45" t="s">
        <v>119</v>
      </c>
      <c r="D43" s="1211">
        <f>Monthly!Q144</f>
        <v>6110.4843232559124</v>
      </c>
      <c r="E43" s="1212">
        <f>Monthly!AC144</f>
        <v>6454.7163281280427</v>
      </c>
      <c r="F43" s="1185">
        <f>Financing!E42</f>
        <v>6818.3704152937235</v>
      </c>
      <c r="G43" s="1187">
        <f>Financing!E43</f>
        <v>7202.5441586006355</v>
      </c>
      <c r="H43" s="1188">
        <f>Financing!E44</f>
        <v>7608.3972600173729</v>
      </c>
      <c r="I43" s="1217"/>
      <c r="J43" s="55"/>
    </row>
    <row r="44" spans="2:19" ht="13.5" thickBot="1" x14ac:dyDescent="0.25">
      <c r="B44" s="359"/>
      <c r="C44" s="685" t="s">
        <v>120</v>
      </c>
      <c r="D44" s="1213">
        <f>D40+D41+D42-D43</f>
        <v>34450.852899645426</v>
      </c>
      <c r="E44" s="1214">
        <f>E40+E41+E42-E43</f>
        <v>32916.262858639202</v>
      </c>
      <c r="F44" s="1214">
        <f>F40+F41+F42-F43</f>
        <v>30930.096021075562</v>
      </c>
      <c r="G44" s="1214">
        <f>G40+G41+G42-G43</f>
        <v>29259.781679475578</v>
      </c>
      <c r="H44" s="1215">
        <f>H40+H41+H42-H43</f>
        <v>27556.061051043478</v>
      </c>
      <c r="I44" s="1218"/>
      <c r="J44" s="190"/>
    </row>
    <row r="45" spans="2:19" x14ac:dyDescent="0.2">
      <c r="C45" s="91" t="s">
        <v>888</v>
      </c>
      <c r="D45" s="26">
        <f>Monthly!Q146</f>
        <v>34450.852899645426</v>
      </c>
      <c r="E45" s="26">
        <f>Monthly!AC146</f>
        <v>67445.115758284606</v>
      </c>
      <c r="F45" s="26">
        <f>E45+F44</f>
        <v>98375.211779360165</v>
      </c>
      <c r="G45" s="26">
        <f>F45+G44</f>
        <v>127634.99345883574</v>
      </c>
      <c r="H45" s="26">
        <f>G45+H44</f>
        <v>155191.05450987921</v>
      </c>
      <c r="I45" s="30"/>
      <c r="J45" s="30"/>
      <c r="S45" s="30"/>
    </row>
    <row r="46" spans="2:19" x14ac:dyDescent="0.2">
      <c r="C46" s="91" t="s">
        <v>887</v>
      </c>
      <c r="D46" s="26"/>
      <c r="E46" s="26">
        <f>D45+((E14-SUM(E16:E29)))/12</f>
        <v>38117.665164803351</v>
      </c>
      <c r="F46" s="26">
        <f>E45+((F14-SUM(F16:F29)))/12</f>
        <v>70946.414120312227</v>
      </c>
      <c r="G46" s="26">
        <f>F45+((G14-SUM(G16:G29)))/12</f>
        <v>101737.31727958779</v>
      </c>
      <c r="H46" s="26">
        <f>G45+((H14-SUM(H16:H29)))/12</f>
        <v>130855.12224002735</v>
      </c>
      <c r="I46" s="30"/>
      <c r="J46" s="30"/>
      <c r="S46" s="30"/>
    </row>
    <row r="47" spans="2:19" x14ac:dyDescent="0.2">
      <c r="C47" s="111" t="s">
        <v>610</v>
      </c>
      <c r="D47" s="379">
        <f>Input!E$16-Input!$G$18</f>
        <v>400</v>
      </c>
      <c r="E47" s="379">
        <f>Input!F$16-Input!$G$18</f>
        <v>400</v>
      </c>
      <c r="F47" s="379">
        <f>Input!G$16-Input!$G$18</f>
        <v>400</v>
      </c>
      <c r="G47" s="379">
        <f>Input!H$16-Input!$H$18</f>
        <v>400</v>
      </c>
      <c r="H47" s="379">
        <f>Input!I$16-Input!$I$18</f>
        <v>400</v>
      </c>
      <c r="I47" s="114"/>
      <c r="S47" s="114"/>
    </row>
    <row r="48" spans="2:19" x14ac:dyDescent="0.2">
      <c r="C48" s="111" t="str">
        <f>C8</f>
        <v>Feeder Lamb Sales (under 90lbs)</v>
      </c>
      <c r="D48" s="379">
        <f>Input!$E$52</f>
        <v>0</v>
      </c>
      <c r="E48" s="379">
        <f>Input!$F$52</f>
        <v>0</v>
      </c>
      <c r="F48" s="379">
        <f>Input!$G$52</f>
        <v>0</v>
      </c>
      <c r="G48" s="379">
        <f>Input!$H$52</f>
        <v>0</v>
      </c>
      <c r="H48" s="379">
        <f>Input!$I$52</f>
        <v>0</v>
      </c>
      <c r="I48" s="114"/>
      <c r="J48" s="114"/>
      <c r="S48" s="114"/>
    </row>
    <row r="49" spans="2:24" x14ac:dyDescent="0.2">
      <c r="C49" s="111" t="str">
        <f>C9</f>
        <v>Slaughter Lamb Sales (90lbs+)</v>
      </c>
      <c r="D49" s="379">
        <f>Input!$E$57</f>
        <v>851</v>
      </c>
      <c r="E49" s="379">
        <f>Input!$F$57</f>
        <v>851</v>
      </c>
      <c r="F49" s="379">
        <f>Input!$G$57</f>
        <v>851</v>
      </c>
      <c r="G49" s="379">
        <f>Input!$H$57</f>
        <v>851</v>
      </c>
      <c r="H49" s="379">
        <f>Input!$I$57</f>
        <v>851</v>
      </c>
      <c r="I49" s="114"/>
      <c r="J49" s="114"/>
      <c r="S49" s="114"/>
    </row>
    <row r="50" spans="2:24" x14ac:dyDescent="0.2">
      <c r="C50" s="539" t="s">
        <v>809</v>
      </c>
      <c r="D50" s="379">
        <f>Input!E$24</f>
        <v>72</v>
      </c>
      <c r="E50" s="379">
        <f>Input!F$24</f>
        <v>72</v>
      </c>
      <c r="F50" s="379">
        <f>Input!G$24</f>
        <v>72</v>
      </c>
      <c r="G50" s="379">
        <f>Input!H$24</f>
        <v>72</v>
      </c>
      <c r="H50" s="379">
        <f>Input!I$24</f>
        <v>72</v>
      </c>
      <c r="S50" s="114"/>
    </row>
    <row r="51" spans="2:24" x14ac:dyDescent="0.2">
      <c r="C51" s="111" t="s">
        <v>446</v>
      </c>
      <c r="D51" s="379">
        <f>Input!E$62+Input!$E64+Input!E$66</f>
        <v>0</v>
      </c>
      <c r="E51" s="379">
        <f>Input!F$62+Input!$F64+Input!F$66</f>
        <v>0</v>
      </c>
      <c r="F51" s="379">
        <f>Input!G$62+Input!$F64+Input!G$66</f>
        <v>0</v>
      </c>
      <c r="G51" s="379">
        <f>Input!H$62+Input!$F64+Input!H$66</f>
        <v>0</v>
      </c>
      <c r="H51" s="379">
        <f>Input!I$62+Input!$F64+Input!I$66</f>
        <v>0</v>
      </c>
      <c r="S51" s="114"/>
    </row>
    <row r="52" spans="2:24" x14ac:dyDescent="0.2">
      <c r="C52" s="111" t="str">
        <f>C13</f>
        <v>Other Sales - (Meat &amp; Mutton)</v>
      </c>
      <c r="D52" s="379">
        <f>Input!E$90</f>
        <v>0</v>
      </c>
      <c r="E52" s="379">
        <f>Input!F$90</f>
        <v>0</v>
      </c>
      <c r="F52" s="379">
        <f>Input!G$90</f>
        <v>0</v>
      </c>
      <c r="G52" s="379">
        <f>Input!H$90</f>
        <v>0</v>
      </c>
      <c r="H52" s="379">
        <f>Input!I$90</f>
        <v>0</v>
      </c>
      <c r="I52" s="114"/>
      <c r="J52" s="114"/>
      <c r="S52" s="114"/>
    </row>
    <row r="53" spans="2:24" x14ac:dyDescent="0.2">
      <c r="C53" s="111" t="s">
        <v>712</v>
      </c>
      <c r="D53" s="379">
        <f>Input!E$22+Input!E$31</f>
        <v>62</v>
      </c>
      <c r="E53" s="379">
        <f>Input!F$22+Input!F$31</f>
        <v>62</v>
      </c>
      <c r="F53" s="379">
        <f>Input!G$22+Input!G$31</f>
        <v>62</v>
      </c>
      <c r="G53" s="379">
        <f>Input!H$22+Input!H$31</f>
        <v>62</v>
      </c>
      <c r="H53" s="379">
        <f>Input!I$22+Input!I$31</f>
        <v>62</v>
      </c>
      <c r="I53" s="114"/>
      <c r="J53" s="114"/>
      <c r="S53" s="114"/>
    </row>
    <row r="54" spans="2:24" x14ac:dyDescent="0.2">
      <c r="C54" s="277" t="s">
        <v>618</v>
      </c>
      <c r="D54" s="757">
        <f>Input!E$46</f>
        <v>923</v>
      </c>
      <c r="E54" s="757">
        <f>Input!F$46</f>
        <v>923</v>
      </c>
      <c r="F54" s="757">
        <f>Input!G$46</f>
        <v>923</v>
      </c>
      <c r="G54" s="757">
        <f>Input!H$46</f>
        <v>923</v>
      </c>
      <c r="H54" s="757">
        <f>Input!I$46</f>
        <v>923</v>
      </c>
      <c r="I54" s="114"/>
      <c r="J54" s="114"/>
      <c r="S54" s="114"/>
    </row>
    <row r="55" spans="2:24" x14ac:dyDescent="0.2">
      <c r="C55" s="1277" t="s">
        <v>949</v>
      </c>
      <c r="D55" s="379"/>
      <c r="E55" s="379"/>
      <c r="F55" s="379"/>
      <c r="G55" s="379"/>
      <c r="H55" s="379"/>
      <c r="I55" s="114"/>
      <c r="J55" s="114"/>
      <c r="K55" s="114"/>
      <c r="L55" s="114"/>
      <c r="P55" s="114"/>
      <c r="R55" s="114"/>
      <c r="S55" s="114"/>
      <c r="T55" s="114"/>
      <c r="U55" s="114"/>
      <c r="V55" s="114"/>
    </row>
    <row r="56" spans="2:24" ht="13.5" thickBot="1" x14ac:dyDescent="0.25">
      <c r="C56" s="277"/>
      <c r="D56" s="114"/>
      <c r="E56" s="114"/>
      <c r="F56" s="114"/>
      <c r="G56" s="114"/>
      <c r="H56" s="114"/>
      <c r="I56" s="114"/>
      <c r="J56" s="114"/>
      <c r="K56" s="114"/>
      <c r="L56" s="114"/>
      <c r="P56" s="114"/>
      <c r="R56" s="114"/>
      <c r="S56" s="114"/>
      <c r="T56" s="114"/>
      <c r="U56" s="114"/>
      <c r="V56" s="114"/>
    </row>
    <row r="57" spans="2:24" ht="16.5" thickBot="1" x14ac:dyDescent="0.3">
      <c r="B57" s="362" t="str">
        <f>Input!$C$10</f>
        <v>Name: Draft Copy 400 Head Ewe Accelerated Operation (45 per month)</v>
      </c>
      <c r="C57" s="363"/>
      <c r="D57" s="363" t="s">
        <v>889</v>
      </c>
      <c r="E57" s="661"/>
      <c r="F57" s="661"/>
      <c r="G57" s="662"/>
      <c r="H57" s="663"/>
      <c r="I57" s="114"/>
      <c r="J57" s="114"/>
      <c r="K57" s="114"/>
      <c r="L57" s="114"/>
      <c r="P57" s="114"/>
      <c r="R57" s="114"/>
      <c r="S57" s="114"/>
      <c r="T57" s="114"/>
      <c r="U57" s="114"/>
      <c r="V57" s="114"/>
    </row>
    <row r="58" spans="2:24" ht="13.5" thickBot="1" x14ac:dyDescent="0.25">
      <c r="B58" s="51"/>
      <c r="C58" s="397"/>
      <c r="D58" s="984" t="str">
        <f>D6</f>
        <v>Year #1</v>
      </c>
      <c r="E58" s="985" t="str">
        <f>E6</f>
        <v>Year #2</v>
      </c>
      <c r="F58" s="985" t="str">
        <f>F6</f>
        <v>Year #3</v>
      </c>
      <c r="G58" s="985" t="str">
        <f>G6</f>
        <v>Year #4</v>
      </c>
      <c r="H58" s="985" t="str">
        <f>H6</f>
        <v>Year #5</v>
      </c>
      <c r="I58" s="73"/>
      <c r="J58" s="73"/>
      <c r="K58" s="73"/>
      <c r="L58" s="73"/>
      <c r="M58" s="73"/>
      <c r="N58" s="73"/>
      <c r="O58" s="73"/>
      <c r="P58" s="73"/>
      <c r="R58" s="73"/>
      <c r="S58" s="73"/>
      <c r="T58" s="73"/>
      <c r="U58" s="73"/>
      <c r="V58" s="73"/>
    </row>
    <row r="59" spans="2:24" x14ac:dyDescent="0.2">
      <c r="B59" s="986" t="s">
        <v>81</v>
      </c>
      <c r="C59" s="987"/>
      <c r="D59" s="988" t="s">
        <v>480</v>
      </c>
      <c r="E59" s="989" t="s">
        <v>480</v>
      </c>
      <c r="F59" s="989" t="s">
        <v>480</v>
      </c>
      <c r="G59" s="989" t="s">
        <v>480</v>
      </c>
      <c r="H59" s="989" t="s">
        <v>480</v>
      </c>
      <c r="I59" s="30"/>
      <c r="J59" s="30"/>
      <c r="K59" s="30"/>
      <c r="L59" s="30"/>
      <c r="M59" s="73"/>
      <c r="N59" s="73"/>
      <c r="O59" s="73"/>
      <c r="P59" s="73"/>
      <c r="R59" s="73"/>
      <c r="S59" s="73"/>
    </row>
    <row r="60" spans="2:24" x14ac:dyDescent="0.2">
      <c r="B60" s="44"/>
      <c r="C60" s="45" t="s">
        <v>578</v>
      </c>
      <c r="D60" s="701">
        <f>IF(F8&gt;0,F8/D99,0)</f>
        <v>0</v>
      </c>
      <c r="E60" s="702">
        <f>IF(G8&gt;0,G8/E99,0)</f>
        <v>0</v>
      </c>
      <c r="F60" s="702">
        <f>IF(H8&gt;0,H8/F99,0)</f>
        <v>0</v>
      </c>
      <c r="G60" s="702">
        <f>IF(I8&gt;0,I8/G99,0)</f>
        <v>0</v>
      </c>
      <c r="H60" s="702">
        <f>IF(J8&gt;0,J8/H99,0)</f>
        <v>0</v>
      </c>
      <c r="I60" s="30"/>
      <c r="J60" s="30"/>
      <c r="K60" s="30"/>
      <c r="L60" s="30"/>
      <c r="M60" s="30"/>
      <c r="N60" s="30"/>
      <c r="O60" s="30"/>
      <c r="P60" s="30"/>
      <c r="R60" s="30"/>
      <c r="S60" s="30"/>
      <c r="T60" s="306"/>
      <c r="U60" s="306"/>
      <c r="V60" s="306"/>
      <c r="W60" s="30"/>
      <c r="X60" s="30"/>
    </row>
    <row r="61" spans="2:24" x14ac:dyDescent="0.2">
      <c r="B61" s="44"/>
      <c r="C61" s="361" t="s">
        <v>679</v>
      </c>
      <c r="D61" s="701">
        <f>IF(D9&gt;0,D9/D99,0)</f>
        <v>587.19000000000005</v>
      </c>
      <c r="E61" s="702">
        <f>IF(E9&gt;0,E9/E99,0)</f>
        <v>587.19000000000005</v>
      </c>
      <c r="F61" s="702">
        <f>IF(F9&gt;0,F9/F99,0)</f>
        <v>587.19000000000005</v>
      </c>
      <c r="G61" s="702">
        <f>IF(G9&gt;0,G9/G99,0)</f>
        <v>587.19000000000005</v>
      </c>
      <c r="H61" s="702">
        <f>IF(H9&gt;0,H9/H99,0)</f>
        <v>587.19000000000005</v>
      </c>
      <c r="I61" s="699"/>
    </row>
    <row r="62" spans="2:24" x14ac:dyDescent="0.2">
      <c r="B62" s="29"/>
      <c r="C62" s="40" t="str">
        <f>C10</f>
        <v>Cull Ewe and Ram Sales</v>
      </c>
      <c r="D62" s="701">
        <f>IF(D10&gt;0,D10/D99,0)</f>
        <v>31.5625</v>
      </c>
      <c r="E62" s="702">
        <f>IF(E10&gt;0,E10/E99,0)</f>
        <v>31.5625</v>
      </c>
      <c r="F62" s="702">
        <f>IF(F10&gt;0,F10/F99,0)</f>
        <v>31.5625</v>
      </c>
      <c r="G62" s="702">
        <f>IF(G10&gt;0,G10/G99,0)</f>
        <v>31.5625</v>
      </c>
      <c r="H62" s="702">
        <f>IF(H10&gt;0,H10/H99,0)</f>
        <v>31.5625</v>
      </c>
    </row>
    <row r="63" spans="2:24" x14ac:dyDescent="0.2">
      <c r="B63" s="44"/>
      <c r="C63" s="45" t="str">
        <f>C11</f>
        <v>Breeding Stock Sales</v>
      </c>
      <c r="D63" s="701">
        <f>IF(D11&gt;0,D11/D99,0)</f>
        <v>0</v>
      </c>
      <c r="E63" s="702">
        <f>IF(E11&gt;0,E11/E99,0)</f>
        <v>0</v>
      </c>
      <c r="F63" s="702">
        <f>IF(F11&gt;0,F11/F99,0)</f>
        <v>0</v>
      </c>
      <c r="G63" s="702">
        <f>IF(G11&gt;0,G11/G99,0)</f>
        <v>0</v>
      </c>
      <c r="H63" s="702">
        <f>IF(H11&gt;0,H11/H99,0)</f>
        <v>0</v>
      </c>
    </row>
    <row r="64" spans="2:24" x14ac:dyDescent="0.2">
      <c r="B64" s="44"/>
      <c r="C64" s="45" t="str">
        <f>C12</f>
        <v>Wool Sales</v>
      </c>
      <c r="D64" s="701">
        <f>IF(D12&gt;0,D12/D99,0)</f>
        <v>4.0999999999999996</v>
      </c>
      <c r="E64" s="702">
        <f>IF(E12&gt;0,E12/E99,0)</f>
        <v>4.0999999999999996</v>
      </c>
      <c r="F64" s="702">
        <f>IF(F12&gt;0,F12/F99,0)</f>
        <v>4.0999999999999996</v>
      </c>
      <c r="G64" s="702">
        <f>IF(G12&gt;0,G12/G99,0)</f>
        <v>4.0999999999999996</v>
      </c>
      <c r="H64" s="702">
        <f>IF(H12&gt;0,H12/H99,0)</f>
        <v>4.0999999999999996</v>
      </c>
    </row>
    <row r="65" spans="2:8" ht="13.5" thickBot="1" x14ac:dyDescent="0.25">
      <c r="B65" s="199"/>
      <c r="C65" s="396" t="str">
        <f>C13</f>
        <v>Other Sales - (Meat &amp; Mutton)</v>
      </c>
      <c r="D65" s="703">
        <f>IF(D13&gt;0,D13/D99,0)</f>
        <v>0</v>
      </c>
      <c r="E65" s="703">
        <f>IF(E13&gt;0,E13/E99,0)</f>
        <v>0</v>
      </c>
      <c r="F65" s="703">
        <f>IF(F13&gt;0,F13/F99,0)</f>
        <v>0</v>
      </c>
      <c r="G65" s="703">
        <f>IF(G13&gt;0,G13/G99,0)</f>
        <v>0</v>
      </c>
      <c r="H65" s="702">
        <f>IF(H13&gt;0,H13/H99,0)</f>
        <v>0</v>
      </c>
    </row>
    <row r="66" spans="2:8" ht="13.5" thickBot="1" x14ac:dyDescent="0.25">
      <c r="B66" s="994"/>
      <c r="C66" s="995" t="s">
        <v>83</v>
      </c>
      <c r="D66" s="996">
        <f>IF(D14&gt;0,D14/D99,0)</f>
        <v>622.85249999999996</v>
      </c>
      <c r="E66" s="996">
        <f>IF(E14&gt;0,E14/E99,0)</f>
        <v>622.85249999999996</v>
      </c>
      <c r="F66" s="996">
        <f>IF(F14&gt;0,F14/F99,0)</f>
        <v>622.85249999999996</v>
      </c>
      <c r="G66" s="996">
        <f>IF(G14&gt;0,G14/G99,0)</f>
        <v>622.85249999999996</v>
      </c>
      <c r="H66" s="997">
        <f>IF(H14&gt;0,H14/H99,0)</f>
        <v>622.85249999999996</v>
      </c>
    </row>
    <row r="67" spans="2:8" ht="13.5" thickBot="1" x14ac:dyDescent="0.25">
      <c r="B67" s="3" t="s">
        <v>216</v>
      </c>
      <c r="D67" s="990"/>
      <c r="E67" s="991"/>
      <c r="F67" s="992"/>
      <c r="G67" s="992"/>
      <c r="H67" s="993"/>
    </row>
    <row r="68" spans="2:8" x14ac:dyDescent="0.2">
      <c r="B68" s="368"/>
      <c r="C68" s="961" t="s">
        <v>912</v>
      </c>
      <c r="D68" s="704">
        <f>D16/D99</f>
        <v>260.2940480223013</v>
      </c>
      <c r="E68" s="705">
        <f>E16/E99</f>
        <v>260.2940480223013</v>
      </c>
      <c r="F68" s="705">
        <f>F16/F99</f>
        <v>260.39855741621051</v>
      </c>
      <c r="G68" s="705">
        <f>G16/G99</f>
        <v>260.39855741621051</v>
      </c>
      <c r="H68" s="706">
        <f>H16/H99</f>
        <v>260.39855741621051</v>
      </c>
    </row>
    <row r="69" spans="2:8" x14ac:dyDescent="0.2">
      <c r="B69" s="700"/>
      <c r="C69" s="689" t="s">
        <v>810</v>
      </c>
      <c r="D69" s="707">
        <f>D17/D99</f>
        <v>2.5000000000000004</v>
      </c>
      <c r="E69" s="707">
        <f>E17/E99</f>
        <v>2.5499999999999998</v>
      </c>
      <c r="F69" s="707">
        <f>F17/F99</f>
        <v>2.6010000000000004</v>
      </c>
      <c r="G69" s="707">
        <f>G17/G99</f>
        <v>2.6010000000000004</v>
      </c>
      <c r="H69" s="707">
        <f>H17/H99</f>
        <v>2.6010000000000004</v>
      </c>
    </row>
    <row r="70" spans="2:8" x14ac:dyDescent="0.2">
      <c r="B70" s="29"/>
      <c r="C70" s="541" t="str">
        <f>Monthly!$C$121</f>
        <v>Breeding Supplies</v>
      </c>
      <c r="D70" s="703">
        <f>D18/D99</f>
        <v>31.725000000000001</v>
      </c>
      <c r="E70" s="703">
        <f>E18/E99</f>
        <v>32.359499999999997</v>
      </c>
      <c r="F70" s="703">
        <f>F18/F99</f>
        <v>33.006690000000006</v>
      </c>
      <c r="G70" s="703">
        <f>G18/G99</f>
        <v>33.666823800000003</v>
      </c>
      <c r="H70" s="702">
        <f>H18/H99</f>
        <v>34.340160276000006</v>
      </c>
    </row>
    <row r="71" spans="2:8" x14ac:dyDescent="0.2">
      <c r="B71" s="44"/>
      <c r="C71" s="503" t="s">
        <v>936</v>
      </c>
      <c r="D71" s="703">
        <f>D19/D99</f>
        <v>13.866699022960875</v>
      </c>
      <c r="E71" s="703">
        <f>E19/E99</f>
        <v>13.866699022960875</v>
      </c>
      <c r="F71" s="703">
        <f>F19/F99</f>
        <v>13.866699022960873</v>
      </c>
      <c r="G71" s="703">
        <f>G19/G99</f>
        <v>13.866699022960873</v>
      </c>
      <c r="H71" s="702">
        <f>H19/H99</f>
        <v>13.866699022960873</v>
      </c>
    </row>
    <row r="72" spans="2:8" x14ac:dyDescent="0.2">
      <c r="B72" s="44"/>
      <c r="C72" s="45" t="s">
        <v>84</v>
      </c>
      <c r="D72" s="703">
        <f>D20/D99</f>
        <v>14.3605</v>
      </c>
      <c r="E72" s="703">
        <f>E20/E99</f>
        <v>14.647709999999996</v>
      </c>
      <c r="F72" s="703">
        <f>F20/F99</f>
        <v>14.940664200000001</v>
      </c>
      <c r="G72" s="703">
        <f>G20/G99</f>
        <v>15.239477484000002</v>
      </c>
      <c r="H72" s="702">
        <f>H20/H99</f>
        <v>15.544267033680002</v>
      </c>
    </row>
    <row r="73" spans="2:8" x14ac:dyDescent="0.2">
      <c r="B73" s="44"/>
      <c r="C73" s="45" t="s">
        <v>293</v>
      </c>
      <c r="D73" s="703">
        <f>D21/D99</f>
        <v>6.7666666666666666</v>
      </c>
      <c r="E73" s="703">
        <f>E21/E99</f>
        <v>6.8339999999999996</v>
      </c>
      <c r="F73" s="703">
        <f>F21/F99</f>
        <v>6.8509999999999991</v>
      </c>
      <c r="G73" s="703">
        <f>G21/G99</f>
        <v>6.9030200000000015</v>
      </c>
      <c r="H73" s="702">
        <f>H21/H99</f>
        <v>6.9560804000000012</v>
      </c>
    </row>
    <row r="74" spans="2:8" x14ac:dyDescent="0.2">
      <c r="B74" s="44"/>
      <c r="C74" s="45" t="s">
        <v>85</v>
      </c>
      <c r="D74" s="703">
        <f>D22/D99</f>
        <v>75.800000000000011</v>
      </c>
      <c r="E74" s="703">
        <f>E22/E99</f>
        <v>77.316000000000017</v>
      </c>
      <c r="F74" s="703">
        <f>F22/F99</f>
        <v>78.862319999999997</v>
      </c>
      <c r="G74" s="703">
        <f>G22/G99</f>
        <v>80.439566400000004</v>
      </c>
      <c r="H74" s="702">
        <f>H22/H99</f>
        <v>82.048357728000013</v>
      </c>
    </row>
    <row r="75" spans="2:8" x14ac:dyDescent="0.2">
      <c r="B75" s="44"/>
      <c r="C75" s="45" t="s">
        <v>158</v>
      </c>
      <c r="D75" s="703">
        <f>D23/D99</f>
        <v>9</v>
      </c>
      <c r="E75" s="703">
        <f>E23/E99</f>
        <v>9.18</v>
      </c>
      <c r="F75" s="703">
        <f>F23/F99</f>
        <v>9.3635999999999999</v>
      </c>
      <c r="G75" s="703">
        <f>G23/G99</f>
        <v>9.550872</v>
      </c>
      <c r="H75" s="702">
        <f>H23/H99</f>
        <v>9.7418894400000013</v>
      </c>
    </row>
    <row r="76" spans="2:8" x14ac:dyDescent="0.2">
      <c r="B76" s="44"/>
      <c r="C76" s="45" t="s">
        <v>159</v>
      </c>
      <c r="D76" s="703">
        <f>D24/D99</f>
        <v>13</v>
      </c>
      <c r="E76" s="703">
        <f>E24/E99</f>
        <v>13.26</v>
      </c>
      <c r="F76" s="703">
        <f>F24/F99</f>
        <v>13.5252</v>
      </c>
      <c r="G76" s="703">
        <f>G24/G99</f>
        <v>13.795704000000001</v>
      </c>
      <c r="H76" s="702">
        <f>H24/H99</f>
        <v>14.07161808</v>
      </c>
    </row>
    <row r="77" spans="2:8" x14ac:dyDescent="0.2">
      <c r="B77" s="44"/>
      <c r="C77" s="45" t="s">
        <v>483</v>
      </c>
      <c r="D77" s="703">
        <f>D25/D99</f>
        <v>11.25</v>
      </c>
      <c r="E77" s="703">
        <f>E25/E99</f>
        <v>11.475</v>
      </c>
      <c r="F77" s="703">
        <f>F25/F99</f>
        <v>11.704500000000001</v>
      </c>
      <c r="G77" s="703">
        <f>G25/G99</f>
        <v>11.93859</v>
      </c>
      <c r="H77" s="702">
        <f>H25/H99</f>
        <v>12.177361799999998</v>
      </c>
    </row>
    <row r="78" spans="2:8" x14ac:dyDescent="0.2">
      <c r="B78" s="44"/>
      <c r="C78" s="45" t="s">
        <v>597</v>
      </c>
      <c r="D78" s="703">
        <f>D26/D99</f>
        <v>46.563000000000002</v>
      </c>
      <c r="E78" s="703">
        <f>E26/E99</f>
        <v>47.110800000000012</v>
      </c>
      <c r="F78" s="703">
        <f>F26/F99</f>
        <v>47.669556</v>
      </c>
      <c r="G78" s="703">
        <f>G26/G99</f>
        <v>48.239487120000007</v>
      </c>
      <c r="H78" s="702">
        <f>H26/H99</f>
        <v>48.820816862400008</v>
      </c>
    </row>
    <row r="79" spans="2:8" x14ac:dyDescent="0.2">
      <c r="B79" s="44"/>
      <c r="C79" s="45" t="s">
        <v>312</v>
      </c>
      <c r="D79" s="703">
        <f>D27/D99</f>
        <v>5.4</v>
      </c>
      <c r="E79" s="703">
        <f>E27/E99</f>
        <v>5.4</v>
      </c>
      <c r="F79" s="703">
        <f>F27/F99</f>
        <v>6.15</v>
      </c>
      <c r="G79" s="703">
        <f>G27/G99</f>
        <v>6.15</v>
      </c>
      <c r="H79" s="702">
        <f>H27/H99</f>
        <v>6.15</v>
      </c>
    </row>
    <row r="80" spans="2:8" x14ac:dyDescent="0.2">
      <c r="B80" s="44"/>
      <c r="C80" s="45" t="s">
        <v>427</v>
      </c>
      <c r="D80" s="703">
        <f>D28/D99</f>
        <v>14.25</v>
      </c>
      <c r="E80" s="703">
        <f>E28/E99</f>
        <v>14.535</v>
      </c>
      <c r="F80" s="703">
        <f>F28/F99</f>
        <v>14.825700000000001</v>
      </c>
      <c r="G80" s="703">
        <f>G28/G99</f>
        <v>15.122214</v>
      </c>
      <c r="H80" s="702">
        <f>H28/H99</f>
        <v>15.424658280000001</v>
      </c>
    </row>
    <row r="81" spans="2:8" x14ac:dyDescent="0.2">
      <c r="B81" s="44"/>
      <c r="C81" s="45" t="s">
        <v>98</v>
      </c>
      <c r="D81" s="703">
        <f>D29/D99</f>
        <v>3.9912500000000004</v>
      </c>
      <c r="E81" s="703">
        <f>E29/E99</f>
        <v>4.0193750000000001</v>
      </c>
      <c r="F81" s="703">
        <f>F29/F99</f>
        <v>4.0480624999999995</v>
      </c>
      <c r="G81" s="703">
        <f>G29/G99</f>
        <v>4.0773237499999997</v>
      </c>
      <c r="H81" s="702">
        <f>H29/H99</f>
        <v>4.107170225</v>
      </c>
    </row>
    <row r="82" spans="2:8" ht="13.5" thickBot="1" x14ac:dyDescent="0.25">
      <c r="B82" s="29"/>
      <c r="C82" t="s">
        <v>168</v>
      </c>
      <c r="D82" s="708">
        <f>D30/D99</f>
        <v>0.24449323081773461</v>
      </c>
      <c r="E82" s="708">
        <f>E30/E99</f>
        <v>0</v>
      </c>
      <c r="F82" s="708">
        <f>F30/F99</f>
        <v>0</v>
      </c>
      <c r="G82" s="708">
        <f>G30/G99</f>
        <v>0</v>
      </c>
      <c r="H82" s="709">
        <f>H30/H99</f>
        <v>0</v>
      </c>
    </row>
    <row r="83" spans="2:8" ht="13.5" thickBot="1" x14ac:dyDescent="0.25">
      <c r="B83" s="994"/>
      <c r="C83" s="995" t="s">
        <v>105</v>
      </c>
      <c r="D83" s="996">
        <f>SUM(D68:D82)</f>
        <v>509.01165694274653</v>
      </c>
      <c r="E83" s="996">
        <f>SUM(E68:E82)</f>
        <v>512.84813204526233</v>
      </c>
      <c r="F83" s="996">
        <f>SUM(F68:F82)</f>
        <v>517.81354913917141</v>
      </c>
      <c r="G83" s="996">
        <f>SUM(G68:G82)</f>
        <v>521.98933499317138</v>
      </c>
      <c r="H83" s="997">
        <f>SUM(H68:H82)</f>
        <v>526.24863656425134</v>
      </c>
    </row>
    <row r="84" spans="2:8" x14ac:dyDescent="0.2">
      <c r="B84" s="44"/>
      <c r="C84" s="45" t="s">
        <v>110</v>
      </c>
      <c r="D84" s="703">
        <f>D32/D99</f>
        <v>21.302083333333336</v>
      </c>
      <c r="E84" s="703">
        <f>E32/E99</f>
        <v>19.109375</v>
      </c>
      <c r="F84" s="703">
        <f>F32/F99</f>
        <v>18.5859375</v>
      </c>
      <c r="G84" s="703">
        <f>G32/G99</f>
        <v>17.150390625</v>
      </c>
      <c r="H84" s="702">
        <f>H32/H99</f>
        <v>15.83724609375</v>
      </c>
    </row>
    <row r="85" spans="2:8" ht="13.5" thickBot="1" x14ac:dyDescent="0.25">
      <c r="B85" s="29"/>
      <c r="C85" t="s">
        <v>111</v>
      </c>
      <c r="D85" s="710">
        <f>D33/D99</f>
        <v>12.4375</v>
      </c>
      <c r="E85" s="710">
        <f>E33/E99</f>
        <v>11.576919987819673</v>
      </c>
      <c r="F85" s="710">
        <f>F33/F99</f>
        <v>10.66778476990547</v>
      </c>
      <c r="G85" s="710">
        <f>G33/G99</f>
        <v>9.7073504116381919</v>
      </c>
      <c r="H85" s="711">
        <f>H33/H99</f>
        <v>8.6927176580963472</v>
      </c>
    </row>
    <row r="86" spans="2:8" ht="13.5" thickBot="1" x14ac:dyDescent="0.25">
      <c r="B86" s="994"/>
      <c r="C86" s="995" t="s">
        <v>115</v>
      </c>
      <c r="D86" s="996">
        <f>D84+D85</f>
        <v>33.739583333333336</v>
      </c>
      <c r="E86" s="996">
        <f>E84+E85</f>
        <v>30.686294987819672</v>
      </c>
      <c r="F86" s="996">
        <f>F84+F85</f>
        <v>29.25372226990547</v>
      </c>
      <c r="G86" s="996">
        <f>G84+G85</f>
        <v>26.857741036638192</v>
      </c>
      <c r="H86" s="997">
        <f>H84+H85</f>
        <v>24.529963751846346</v>
      </c>
    </row>
    <row r="87" spans="2:8" ht="13.5" thickBot="1" x14ac:dyDescent="0.25">
      <c r="B87" s="994"/>
      <c r="C87" s="995" t="s">
        <v>116</v>
      </c>
      <c r="D87" s="996">
        <f>D83+D86</f>
        <v>542.7512402760799</v>
      </c>
      <c r="E87" s="996">
        <f>E83+E86</f>
        <v>543.53442703308201</v>
      </c>
      <c r="F87" s="996">
        <f>F83+F86</f>
        <v>547.06727140907685</v>
      </c>
      <c r="G87" s="996">
        <f>G83+G86</f>
        <v>548.84707602980961</v>
      </c>
      <c r="H87" s="997">
        <f>H83+H86</f>
        <v>550.77860031609771</v>
      </c>
    </row>
    <row r="88" spans="2:8" x14ac:dyDescent="0.2">
      <c r="B88" s="1133"/>
      <c r="C88" s="1134" t="s">
        <v>117</v>
      </c>
      <c r="D88" s="1135">
        <f>D66-D87</f>
        <v>80.101259723920066</v>
      </c>
      <c r="E88" s="1135">
        <f>E66-E87</f>
        <v>79.318072966917953</v>
      </c>
      <c r="F88" s="1135">
        <f>F66-F87</f>
        <v>75.785228590923111</v>
      </c>
      <c r="G88" s="1135">
        <f>G66-G87</f>
        <v>74.00542397019035</v>
      </c>
      <c r="H88" s="1003">
        <f>H66-H87</f>
        <v>72.073899683902255</v>
      </c>
    </row>
    <row r="89" spans="2:8" ht="13.5" thickBot="1" x14ac:dyDescent="0.25">
      <c r="B89" s="57"/>
      <c r="C89" s="88" t="s">
        <v>422</v>
      </c>
      <c r="D89" s="998">
        <f>D37/D99</f>
        <v>80.101259723920009</v>
      </c>
      <c r="E89" s="998">
        <f>E37/E99</f>
        <v>79.318072966918123</v>
      </c>
      <c r="F89" s="998">
        <f>F37/F99</f>
        <v>75.785228590923211</v>
      </c>
      <c r="G89" s="998">
        <f>G37/G99</f>
        <v>74.005423970190535</v>
      </c>
      <c r="H89" s="999">
        <f>H37/H99</f>
        <v>72.073899683902127</v>
      </c>
    </row>
    <row r="90" spans="2:8" ht="13.5" thickBot="1" x14ac:dyDescent="0.25">
      <c r="B90" s="3"/>
      <c r="C90" s="38"/>
      <c r="D90" s="712" t="str">
        <f t="shared" ref="D90:F91" si="0">D58</f>
        <v>Year #1</v>
      </c>
      <c r="E90" s="713" t="str">
        <f t="shared" si="0"/>
        <v>Year #2</v>
      </c>
      <c r="F90" s="713" t="str">
        <f t="shared" si="0"/>
        <v>Year #3</v>
      </c>
      <c r="G90" s="713" t="str">
        <f>G58</f>
        <v>Year #4</v>
      </c>
      <c r="H90" s="713" t="str">
        <f>H58</f>
        <v>Year #5</v>
      </c>
    </row>
    <row r="91" spans="2:8" ht="13.5" thickBot="1" x14ac:dyDescent="0.25">
      <c r="B91" s="51"/>
      <c r="C91" s="676" t="s">
        <v>423</v>
      </c>
      <c r="D91" s="714" t="str">
        <f t="shared" si="0"/>
        <v>$/Ewe</v>
      </c>
      <c r="E91" s="715" t="str">
        <f t="shared" si="0"/>
        <v>$/Ewe</v>
      </c>
      <c r="F91" s="715" t="str">
        <f t="shared" si="0"/>
        <v>$/Ewe</v>
      </c>
      <c r="G91" s="715" t="str">
        <f>G59</f>
        <v>$/Ewe</v>
      </c>
      <c r="H91" s="715" t="str">
        <f>H59</f>
        <v>$/Ewe</v>
      </c>
    </row>
    <row r="92" spans="2:8" x14ac:dyDescent="0.2">
      <c r="B92" s="1000"/>
      <c r="C92" s="1001" t="s">
        <v>117</v>
      </c>
      <c r="D92" s="1002">
        <f>D40/D99</f>
        <v>80.101259723920009</v>
      </c>
      <c r="E92" s="1003">
        <f>E40/E99</f>
        <v>79.318072966918123</v>
      </c>
      <c r="F92" s="1003">
        <f>F40/F99</f>
        <v>75.785228590923211</v>
      </c>
      <c r="G92" s="1003">
        <f>G40/G99</f>
        <v>74.005423970190535</v>
      </c>
      <c r="H92" s="1003">
        <f>H40/H99</f>
        <v>72.073899683902127</v>
      </c>
    </row>
    <row r="93" spans="2:8" x14ac:dyDescent="0.2">
      <c r="B93" s="44"/>
      <c r="C93" s="45" t="s">
        <v>118</v>
      </c>
      <c r="D93" s="701">
        <f>D41/D99</f>
        <v>21.302083333333336</v>
      </c>
      <c r="E93" s="702">
        <f>E41/E99</f>
        <v>19.109375</v>
      </c>
      <c r="F93" s="702">
        <f>F41/F99</f>
        <v>18.5859375</v>
      </c>
      <c r="G93" s="702">
        <f>G41/G99</f>
        <v>17.150390625</v>
      </c>
      <c r="H93" s="702">
        <f>H41/H99</f>
        <v>15.83724609375</v>
      </c>
    </row>
    <row r="94" spans="2:8" x14ac:dyDescent="0.2">
      <c r="B94" s="29"/>
      <c r="C94" t="s">
        <v>322</v>
      </c>
      <c r="D94" s="701">
        <f>D42/D99</f>
        <v>0</v>
      </c>
      <c r="E94" s="702">
        <f>E42/E99</f>
        <v>0</v>
      </c>
      <c r="F94" s="702">
        <f>F42/F99</f>
        <v>0</v>
      </c>
      <c r="G94" s="702">
        <f>G42/G99</f>
        <v>0</v>
      </c>
      <c r="H94" s="702">
        <f>H42/H99</f>
        <v>0</v>
      </c>
    </row>
    <row r="95" spans="2:8" ht="13.5" thickBot="1" x14ac:dyDescent="0.25">
      <c r="B95" s="44"/>
      <c r="C95" s="45" t="s">
        <v>119</v>
      </c>
      <c r="D95" s="716">
        <f>D43/D99</f>
        <v>15.276210808139782</v>
      </c>
      <c r="E95" s="711">
        <f>E43/E99</f>
        <v>16.136790820320108</v>
      </c>
      <c r="F95" s="711">
        <f>F43/F99</f>
        <v>17.04592603823431</v>
      </c>
      <c r="G95" s="711">
        <f>G43/G99</f>
        <v>18.006360396501588</v>
      </c>
      <c r="H95" s="711">
        <f>H43/H99</f>
        <v>19.020993150043431</v>
      </c>
    </row>
    <row r="96" spans="2:8" ht="13.5" thickBot="1" x14ac:dyDescent="0.25">
      <c r="B96" s="994"/>
      <c r="C96" s="1004" t="s">
        <v>120</v>
      </c>
      <c r="D96" s="1005">
        <f>D92+D93+D94-D95</f>
        <v>86.127132249113572</v>
      </c>
      <c r="E96" s="1006">
        <f>E92+E93+E94-E95</f>
        <v>82.290657146598022</v>
      </c>
      <c r="F96" s="1006">
        <f>F92+F93+F94-F95</f>
        <v>77.325240052688898</v>
      </c>
      <c r="G96" s="1006">
        <f>G92+G93+G94-G95</f>
        <v>73.149454198688943</v>
      </c>
      <c r="H96" s="1006">
        <f>H92+H93+H94-H95</f>
        <v>68.8901526276087</v>
      </c>
    </row>
    <row r="97" spans="2:8" ht="6" customHeight="1" x14ac:dyDescent="0.2">
      <c r="B97" s="30"/>
      <c r="C97" s="30"/>
      <c r="D97" s="30"/>
      <c r="E97" s="30"/>
      <c r="F97" s="30"/>
    </row>
    <row r="98" spans="2:8" x14ac:dyDescent="0.2">
      <c r="B98" s="30"/>
      <c r="C98" s="30"/>
      <c r="D98" s="833" t="str">
        <f>D6</f>
        <v>Year #1</v>
      </c>
      <c r="E98" s="833" t="str">
        <f>E6</f>
        <v>Year #2</v>
      </c>
      <c r="F98" s="833" t="str">
        <f>F6</f>
        <v>Year #3</v>
      </c>
      <c r="G98" s="833" t="str">
        <f>G6</f>
        <v>Year #4</v>
      </c>
      <c r="H98" s="833" t="str">
        <f>H6</f>
        <v>Year #5</v>
      </c>
    </row>
    <row r="99" spans="2:8" x14ac:dyDescent="0.2">
      <c r="C99" s="111" t="s">
        <v>610</v>
      </c>
      <c r="D99" s="379">
        <f t="shared" ref="D99:D106" si="1">D47</f>
        <v>400</v>
      </c>
      <c r="E99" s="379">
        <f t="shared" ref="E99:H106" si="2">E47</f>
        <v>400</v>
      </c>
      <c r="F99" s="379">
        <f t="shared" si="2"/>
        <v>400</v>
      </c>
      <c r="G99" s="379">
        <f t="shared" si="2"/>
        <v>400</v>
      </c>
      <c r="H99" s="379">
        <f t="shared" si="2"/>
        <v>400</v>
      </c>
    </row>
    <row r="100" spans="2:8" x14ac:dyDescent="0.2">
      <c r="B100" s="114"/>
      <c r="C100" s="111" t="str">
        <f>C60</f>
        <v>Feeder Lamb Sales (under 90lbs)</v>
      </c>
      <c r="D100" s="379">
        <f t="shared" si="1"/>
        <v>0</v>
      </c>
      <c r="E100" s="379">
        <f t="shared" si="2"/>
        <v>0</v>
      </c>
      <c r="F100" s="379">
        <f t="shared" si="2"/>
        <v>0</v>
      </c>
      <c r="G100" s="379">
        <f t="shared" si="2"/>
        <v>0</v>
      </c>
      <c r="H100" s="379">
        <f t="shared" si="2"/>
        <v>0</v>
      </c>
    </row>
    <row r="101" spans="2:8" x14ac:dyDescent="0.2">
      <c r="B101" s="114"/>
      <c r="C101" s="111" t="str">
        <f>C61</f>
        <v>Slaughter Lamb Sales (90lbs+)</v>
      </c>
      <c r="D101" s="379">
        <f t="shared" si="1"/>
        <v>851</v>
      </c>
      <c r="E101" s="379">
        <f t="shared" si="2"/>
        <v>851</v>
      </c>
      <c r="F101" s="379">
        <f t="shared" si="2"/>
        <v>851</v>
      </c>
      <c r="G101" s="379">
        <f t="shared" si="2"/>
        <v>851</v>
      </c>
      <c r="H101" s="379">
        <f t="shared" si="2"/>
        <v>851</v>
      </c>
    </row>
    <row r="102" spans="2:8" x14ac:dyDescent="0.2">
      <c r="C102" s="111" t="str">
        <f>C50</f>
        <v>Lambs Kept for Breeding</v>
      </c>
      <c r="D102" s="379">
        <f t="shared" si="1"/>
        <v>72</v>
      </c>
      <c r="E102" s="379">
        <f t="shared" si="2"/>
        <v>72</v>
      </c>
      <c r="F102" s="379">
        <f t="shared" si="2"/>
        <v>72</v>
      </c>
      <c r="G102" s="379">
        <f t="shared" si="2"/>
        <v>72</v>
      </c>
      <c r="H102" s="379">
        <f t="shared" si="2"/>
        <v>72</v>
      </c>
    </row>
    <row r="103" spans="2:8" x14ac:dyDescent="0.2">
      <c r="C103" s="111" t="s">
        <v>446</v>
      </c>
      <c r="D103" s="379">
        <f t="shared" si="1"/>
        <v>0</v>
      </c>
      <c r="E103" s="379">
        <f t="shared" si="2"/>
        <v>0</v>
      </c>
      <c r="F103" s="379">
        <f t="shared" si="2"/>
        <v>0</v>
      </c>
      <c r="G103" s="379">
        <f t="shared" si="2"/>
        <v>0</v>
      </c>
      <c r="H103" s="379">
        <f t="shared" si="2"/>
        <v>0</v>
      </c>
    </row>
    <row r="104" spans="2:8" x14ac:dyDescent="0.2">
      <c r="B104" s="114"/>
      <c r="C104" s="111" t="str">
        <f>C65</f>
        <v>Other Sales - (Meat &amp; Mutton)</v>
      </c>
      <c r="D104" s="379">
        <f t="shared" si="1"/>
        <v>0</v>
      </c>
      <c r="E104" s="379">
        <f t="shared" si="2"/>
        <v>0</v>
      </c>
      <c r="F104" s="379">
        <f t="shared" si="2"/>
        <v>0</v>
      </c>
      <c r="G104" s="379">
        <f t="shared" si="2"/>
        <v>0</v>
      </c>
      <c r="H104" s="379">
        <f t="shared" si="2"/>
        <v>0</v>
      </c>
    </row>
    <row r="105" spans="2:8" x14ac:dyDescent="0.2">
      <c r="B105" s="114"/>
      <c r="C105" s="111" t="s">
        <v>712</v>
      </c>
      <c r="D105" s="379">
        <f t="shared" si="1"/>
        <v>62</v>
      </c>
      <c r="E105" s="379">
        <f t="shared" si="2"/>
        <v>62</v>
      </c>
      <c r="F105" s="379">
        <f t="shared" si="2"/>
        <v>62</v>
      </c>
      <c r="G105" s="379">
        <f t="shared" si="2"/>
        <v>62</v>
      </c>
      <c r="H105" s="379">
        <f t="shared" si="2"/>
        <v>62</v>
      </c>
    </row>
    <row r="106" spans="2:8" x14ac:dyDescent="0.2">
      <c r="B106" s="114"/>
      <c r="C106" s="277" t="s">
        <v>618</v>
      </c>
      <c r="D106" s="757">
        <f t="shared" si="1"/>
        <v>923</v>
      </c>
      <c r="E106" s="757">
        <f t="shared" si="2"/>
        <v>923</v>
      </c>
      <c r="F106" s="757">
        <f t="shared" si="2"/>
        <v>923</v>
      </c>
      <c r="G106" s="757">
        <f t="shared" si="2"/>
        <v>923</v>
      </c>
      <c r="H106" s="757">
        <f t="shared" si="2"/>
        <v>923</v>
      </c>
    </row>
    <row r="107" spans="2:8" x14ac:dyDescent="0.2">
      <c r="C107" s="1277" t="s">
        <v>949</v>
      </c>
    </row>
    <row r="109" spans="2:8" ht="13.5" thickBot="1" x14ac:dyDescent="0.25"/>
    <row r="110" spans="2:8" ht="16.5" thickBot="1" x14ac:dyDescent="0.3">
      <c r="B110" s="362" t="str">
        <f>Input!$C$10</f>
        <v>Name: Draft Copy 400 Head Ewe Accelerated Operation (45 per month)</v>
      </c>
      <c r="C110" s="363"/>
      <c r="D110" s="363" t="s">
        <v>890</v>
      </c>
      <c r="E110" s="683"/>
      <c r="F110" s="683"/>
      <c r="G110" s="683"/>
      <c r="H110" s="684"/>
    </row>
    <row r="111" spans="2:8" ht="13.5" thickBot="1" x14ac:dyDescent="0.25">
      <c r="B111" s="51"/>
      <c r="C111" s="397"/>
      <c r="D111" s="984" t="str">
        <f>D6</f>
        <v>Year #1</v>
      </c>
      <c r="E111" s="1007" t="str">
        <f>E6</f>
        <v>Year #2</v>
      </c>
      <c r="F111" s="1007" t="str">
        <f>F6</f>
        <v>Year #3</v>
      </c>
      <c r="G111" s="1007" t="str">
        <f>G6</f>
        <v>Year #4</v>
      </c>
      <c r="H111" s="1008" t="str">
        <f>H6</f>
        <v>Year #5</v>
      </c>
    </row>
    <row r="112" spans="2:8" x14ac:dyDescent="0.2">
      <c r="B112" s="675" t="s">
        <v>81</v>
      </c>
      <c r="C112" s="672"/>
      <c r="D112" s="542" t="s">
        <v>481</v>
      </c>
      <c r="E112" s="543" t="s">
        <v>481</v>
      </c>
      <c r="F112" s="543" t="s">
        <v>481</v>
      </c>
      <c r="G112" s="543" t="s">
        <v>481</v>
      </c>
      <c r="H112" s="544" t="s">
        <v>481</v>
      </c>
    </row>
    <row r="113" spans="2:9" x14ac:dyDescent="0.2">
      <c r="B113" s="44"/>
      <c r="C113" s="45" t="s">
        <v>578</v>
      </c>
      <c r="D113" s="701">
        <f t="shared" ref="D113:H114" si="3">IF(D8&gt;0,D8/D152,0)</f>
        <v>0</v>
      </c>
      <c r="E113" s="717">
        <f t="shared" si="3"/>
        <v>0</v>
      </c>
      <c r="F113" s="717">
        <f t="shared" si="3"/>
        <v>0</v>
      </c>
      <c r="G113" s="717">
        <f t="shared" si="3"/>
        <v>0</v>
      </c>
      <c r="H113" s="718">
        <f t="shared" si="3"/>
        <v>0</v>
      </c>
    </row>
    <row r="114" spans="2:9" x14ac:dyDescent="0.2">
      <c r="B114" s="44"/>
      <c r="C114" s="361" t="s">
        <v>679</v>
      </c>
      <c r="D114" s="701">
        <f t="shared" si="3"/>
        <v>276</v>
      </c>
      <c r="E114" s="717">
        <f t="shared" si="3"/>
        <v>276</v>
      </c>
      <c r="F114" s="717">
        <f t="shared" si="3"/>
        <v>276</v>
      </c>
      <c r="G114" s="717">
        <f t="shared" si="3"/>
        <v>276</v>
      </c>
      <c r="H114" s="718">
        <f t="shared" si="3"/>
        <v>276</v>
      </c>
    </row>
    <row r="115" spans="2:9" x14ac:dyDescent="0.2">
      <c r="B115" s="29"/>
      <c r="C115" s="40" t="str">
        <f>C62</f>
        <v>Cull Ewe and Ram Sales</v>
      </c>
      <c r="D115" s="701">
        <f>IF(D10&gt;0,D10/D158,0)</f>
        <v>13.678223185265439</v>
      </c>
      <c r="E115" s="717">
        <f>IF(E10&gt;0,E10/E158,0)</f>
        <v>13.678223185265439</v>
      </c>
      <c r="F115" s="717">
        <f>IF(F10&gt;0,F10/F158,0)</f>
        <v>13.678223185265439</v>
      </c>
      <c r="G115" s="717">
        <f>IF(G10&gt;0,G10/G158,0)</f>
        <v>13.678223185265439</v>
      </c>
      <c r="H115" s="718">
        <f>IF(H10&gt;0,H10/H158,0)</f>
        <v>13.678223185265439</v>
      </c>
    </row>
    <row r="116" spans="2:9" x14ac:dyDescent="0.2">
      <c r="B116" s="1279"/>
      <c r="C116" s="40" t="str">
        <f>C63</f>
        <v>Breeding Stock Sales</v>
      </c>
      <c r="D116" s="701">
        <f>IF(D11&gt;0,D11/D158,0)</f>
        <v>0</v>
      </c>
      <c r="E116" s="701">
        <f>IF(E11&gt;0,E11/E158,0)</f>
        <v>0</v>
      </c>
      <c r="F116" s="701">
        <f>IF(F11&gt;0,F11/F158,0)</f>
        <v>0</v>
      </c>
      <c r="G116" s="701">
        <f>IF(G11&gt;0,G11/G158,0)</f>
        <v>0</v>
      </c>
      <c r="H116" s="1278">
        <f>IF(H11&gt;0,H11/H158,0)</f>
        <v>0</v>
      </c>
    </row>
    <row r="117" spans="2:9" x14ac:dyDescent="0.2">
      <c r="B117" s="44"/>
      <c r="C117" s="45" t="str">
        <f>C64</f>
        <v>Wool Sales</v>
      </c>
      <c r="D117" s="701">
        <f>IF(D11&gt;0,D11/D158,0)</f>
        <v>0</v>
      </c>
      <c r="E117" s="717">
        <f>IF(E11&gt;0,E11/E158,0)</f>
        <v>0</v>
      </c>
      <c r="F117" s="717">
        <f>IF(F11&gt;0,F11/F158,0)</f>
        <v>0</v>
      </c>
      <c r="G117" s="717">
        <f>IF(G11&gt;0,G11/G158,0)</f>
        <v>0</v>
      </c>
      <c r="H117" s="718">
        <f>IF(H11&gt;0,H11/H158,0)</f>
        <v>0</v>
      </c>
      <c r="I117" s="699"/>
    </row>
    <row r="118" spans="2:9" ht="13.5" thickBot="1" x14ac:dyDescent="0.25">
      <c r="B118" s="44"/>
      <c r="C118" s="45" t="str">
        <f>C65</f>
        <v>Other Sales - (Meat &amp; Mutton)</v>
      </c>
      <c r="D118" s="701">
        <f>IF(D12&gt;0,D12/D158,0)</f>
        <v>1.7768147345612135</v>
      </c>
      <c r="E118" s="717">
        <f>IF(E12&gt;0,E12/E158,0)</f>
        <v>1.7768147345612135</v>
      </c>
      <c r="F118" s="717">
        <f>IF(F12&gt;0,F12/F158,0)</f>
        <v>1.7768147345612135</v>
      </c>
      <c r="G118" s="717">
        <f>IF(G12&gt;0,G12/G158,0)</f>
        <v>1.7768147345612135</v>
      </c>
      <c r="H118" s="718">
        <f>IF(H12&gt;0,H12/H158,0)</f>
        <v>1.7768147345612135</v>
      </c>
    </row>
    <row r="119" spans="2:9" ht="13.5" thickBot="1" x14ac:dyDescent="0.25">
      <c r="B119" s="673"/>
      <c r="C119" s="674" t="s">
        <v>83</v>
      </c>
      <c r="D119" s="733">
        <f>D14/D158</f>
        <v>269.92524377031418</v>
      </c>
      <c r="E119" s="734">
        <f>E14/E158</f>
        <v>269.92524377031418</v>
      </c>
      <c r="F119" s="734">
        <f>F14/F158</f>
        <v>269.92524377031418</v>
      </c>
      <c r="G119" s="734">
        <f>G14/G158</f>
        <v>269.92524377031418</v>
      </c>
      <c r="H119" s="735">
        <f>H14/H158</f>
        <v>269.92524377031418</v>
      </c>
    </row>
    <row r="120" spans="2:9" ht="13.5" thickBot="1" x14ac:dyDescent="0.25">
      <c r="B120" s="3" t="s">
        <v>216</v>
      </c>
      <c r="D120" s="1009"/>
      <c r="E120" s="1010"/>
      <c r="F120" s="1010"/>
      <c r="G120" s="1010"/>
      <c r="H120" s="1011"/>
    </row>
    <row r="121" spans="2:9" x14ac:dyDescent="0.2">
      <c r="B121" s="368"/>
      <c r="C121" s="961" t="s">
        <v>912</v>
      </c>
      <c r="D121" s="722">
        <f>D16/D158</f>
        <v>112.80348776697782</v>
      </c>
      <c r="E121" s="723">
        <f>E16/E158</f>
        <v>112.80348776697782</v>
      </c>
      <c r="F121" s="723">
        <f>F16/F158</f>
        <v>112.84877894527</v>
      </c>
      <c r="G121" s="723">
        <f>G16/G158</f>
        <v>112.84877894527</v>
      </c>
      <c r="H121" s="724">
        <f>H16/H158</f>
        <v>112.84877894527</v>
      </c>
    </row>
    <row r="122" spans="2:9" x14ac:dyDescent="0.2">
      <c r="B122" s="700"/>
      <c r="C122" s="689" t="s">
        <v>810</v>
      </c>
      <c r="D122" s="728">
        <f>D17/D158</f>
        <v>1.0834236186348865</v>
      </c>
      <c r="E122" s="729">
        <f>E17/E158</f>
        <v>1.1050920910075839</v>
      </c>
      <c r="F122" s="729">
        <f>F17/F158</f>
        <v>1.1271939328277358</v>
      </c>
      <c r="G122" s="729">
        <f>G17/G158</f>
        <v>1.1271939328277358</v>
      </c>
      <c r="H122" s="730">
        <f>H17/H158</f>
        <v>1.1271939328277358</v>
      </c>
    </row>
    <row r="123" spans="2:9" x14ac:dyDescent="0.2">
      <c r="B123" s="29"/>
      <c r="C123" s="541" t="str">
        <f>Monthly!$C$121</f>
        <v>Breeding Supplies</v>
      </c>
      <c r="D123" s="701">
        <f>D18/D158</f>
        <v>13.748645720476706</v>
      </c>
      <c r="E123" s="717">
        <f>E18/E158</f>
        <v>14.023618634886239</v>
      </c>
      <c r="F123" s="717">
        <f>F18/F158</f>
        <v>14.304091007583969</v>
      </c>
      <c r="G123" s="717">
        <f>G18/G158</f>
        <v>14.590172827735646</v>
      </c>
      <c r="H123" s="718">
        <f>H18/H158</f>
        <v>14.88197628429036</v>
      </c>
    </row>
    <row r="124" spans="2:9" x14ac:dyDescent="0.2">
      <c r="B124" s="44"/>
      <c r="C124" s="503" t="s">
        <v>936</v>
      </c>
      <c r="D124" s="701">
        <f>D19/D158</f>
        <v>6.009403693590845</v>
      </c>
      <c r="E124" s="717">
        <f>E19/E158</f>
        <v>6.009403693590845</v>
      </c>
      <c r="F124" s="717">
        <f>F19/F158</f>
        <v>6.0094036935908441</v>
      </c>
      <c r="G124" s="717">
        <f>G19/G158</f>
        <v>6.0094036935908441</v>
      </c>
      <c r="H124" s="718">
        <f>H19/H158</f>
        <v>6.0094036935908441</v>
      </c>
    </row>
    <row r="125" spans="2:9" x14ac:dyDescent="0.2">
      <c r="B125" s="44"/>
      <c r="C125" s="45" t="s">
        <v>84</v>
      </c>
      <c r="D125" s="701">
        <f>D20/D158</f>
        <v>6.2234019501625131</v>
      </c>
      <c r="E125" s="717">
        <f>E20/E158</f>
        <v>6.3478699891657628</v>
      </c>
      <c r="F125" s="717">
        <f>F20/F158</f>
        <v>6.4748273889490795</v>
      </c>
      <c r="G125" s="717">
        <f>G20/G158</f>
        <v>6.6043239367280613</v>
      </c>
      <c r="H125" s="718">
        <f>H20/H158</f>
        <v>6.7364104154626228</v>
      </c>
    </row>
    <row r="126" spans="2:9" x14ac:dyDescent="0.2">
      <c r="B126" s="44"/>
      <c r="C126" s="45" t="s">
        <v>293</v>
      </c>
      <c r="D126" s="701">
        <f>D21/D158</f>
        <v>2.9324665944384254</v>
      </c>
      <c r="E126" s="717">
        <f>E21/E158</f>
        <v>2.961646803900325</v>
      </c>
      <c r="F126" s="717">
        <f>F21/F158</f>
        <v>2.9690140845070419</v>
      </c>
      <c r="G126" s="717">
        <f>G21/G158</f>
        <v>2.9915579631635976</v>
      </c>
      <c r="H126" s="718">
        <f>H21/H158</f>
        <v>3.0145527193932833</v>
      </c>
    </row>
    <row r="127" spans="2:9" x14ac:dyDescent="0.2">
      <c r="B127" s="44"/>
      <c r="C127" s="45" t="s">
        <v>85</v>
      </c>
      <c r="D127" s="701">
        <f>D22/D158</f>
        <v>32.849404117009755</v>
      </c>
      <c r="E127" s="717">
        <f>E22/E158</f>
        <v>33.506392199349953</v>
      </c>
      <c r="F127" s="717">
        <f>F22/F158</f>
        <v>34.176520043336943</v>
      </c>
      <c r="G127" s="717">
        <f>G22/G158</f>
        <v>34.860050444203686</v>
      </c>
      <c r="H127" s="718">
        <f>H22/H158</f>
        <v>35.557251453087758</v>
      </c>
    </row>
    <row r="128" spans="2:9" x14ac:dyDescent="0.2">
      <c r="B128" s="44"/>
      <c r="C128" s="45" t="s">
        <v>158</v>
      </c>
      <c r="D128" s="701">
        <f>D23/D158</f>
        <v>3.9003250270855903</v>
      </c>
      <c r="E128" s="717">
        <f>E23/E158</f>
        <v>3.9783315276273021</v>
      </c>
      <c r="F128" s="717">
        <f>F23/F158</f>
        <v>4.0578981581798486</v>
      </c>
      <c r="G128" s="717">
        <f>G23/G158</f>
        <v>4.1390561213434456</v>
      </c>
      <c r="H128" s="718">
        <f>H23/H158</f>
        <v>4.2218372437703149</v>
      </c>
    </row>
    <row r="129" spans="2:8" x14ac:dyDescent="0.2">
      <c r="B129" s="44"/>
      <c r="C129" s="45" t="s">
        <v>159</v>
      </c>
      <c r="D129" s="701">
        <f>D24/D158</f>
        <v>5.6338028169014081</v>
      </c>
      <c r="E129" s="717">
        <f>E24/E158</f>
        <v>5.746478873239437</v>
      </c>
      <c r="F129" s="717">
        <f>F24/F158</f>
        <v>5.861408450704225</v>
      </c>
      <c r="G129" s="717">
        <f>G24/G158</f>
        <v>5.9786366197183103</v>
      </c>
      <c r="H129" s="718">
        <f>H24/H158</f>
        <v>6.0982093521126766</v>
      </c>
    </row>
    <row r="130" spans="2:8" x14ac:dyDescent="0.2">
      <c r="B130" s="44"/>
      <c r="C130" s="45" t="s">
        <v>483</v>
      </c>
      <c r="D130" s="701">
        <f>D25/D158</f>
        <v>4.8754062838569885</v>
      </c>
      <c r="E130" s="717">
        <f>E25/E158</f>
        <v>4.9729144095341278</v>
      </c>
      <c r="F130" s="717">
        <f>F25/F158</f>
        <v>5.0723726977248109</v>
      </c>
      <c r="G130" s="717">
        <f>G25/G158</f>
        <v>5.1738201516793065</v>
      </c>
      <c r="H130" s="718">
        <f>H25/H158</f>
        <v>5.2772965547128923</v>
      </c>
    </row>
    <row r="131" spans="2:8" x14ac:dyDescent="0.2">
      <c r="B131" s="44"/>
      <c r="C131" s="45" t="s">
        <v>597</v>
      </c>
      <c r="D131" s="701">
        <f>D26/D158</f>
        <v>20.178981581798485</v>
      </c>
      <c r="E131" s="717">
        <f>E26/E158</f>
        <v>20.416381365113764</v>
      </c>
      <c r="F131" s="717">
        <f>F26/F158</f>
        <v>20.658529144095343</v>
      </c>
      <c r="G131" s="717">
        <f>G26/G158</f>
        <v>20.905519878656555</v>
      </c>
      <c r="H131" s="718">
        <f>H26/H158</f>
        <v>21.157450427908994</v>
      </c>
    </row>
    <row r="132" spans="2:8" x14ac:dyDescent="0.2">
      <c r="B132" s="44"/>
      <c r="C132" s="45" t="s">
        <v>312</v>
      </c>
      <c r="D132" s="701">
        <f>D27/D158</f>
        <v>2.3401950162513541</v>
      </c>
      <c r="E132" s="717">
        <f>E27/E158</f>
        <v>2.3401950162513541</v>
      </c>
      <c r="F132" s="717">
        <f>F27/F158</f>
        <v>2.6652221018418203</v>
      </c>
      <c r="G132" s="717">
        <f>G27/G158</f>
        <v>2.6652221018418203</v>
      </c>
      <c r="H132" s="718">
        <f>H27/H158</f>
        <v>2.6652221018418203</v>
      </c>
    </row>
    <row r="133" spans="2:8" x14ac:dyDescent="0.2">
      <c r="B133" s="44"/>
      <c r="C133" s="45" t="s">
        <v>427</v>
      </c>
      <c r="D133" s="701">
        <f>D28/D158</f>
        <v>6.1755146262188516</v>
      </c>
      <c r="E133" s="717">
        <f>E28/E158</f>
        <v>6.2990249187432283</v>
      </c>
      <c r="F133" s="717">
        <f>F28/F158</f>
        <v>6.4250054171180935</v>
      </c>
      <c r="G133" s="717">
        <f>G28/G158</f>
        <v>6.5535055254604551</v>
      </c>
      <c r="H133" s="718">
        <f>H28/H158</f>
        <v>6.6845756359696642</v>
      </c>
    </row>
    <row r="134" spans="2:8" x14ac:dyDescent="0.2">
      <c r="B134" s="44"/>
      <c r="C134" s="45" t="s">
        <v>98</v>
      </c>
      <c r="D134" s="701">
        <f>D29/D158</f>
        <v>1.7296858071505961</v>
      </c>
      <c r="E134" s="717">
        <f>E29/E158</f>
        <v>1.7418743228602387</v>
      </c>
      <c r="F134" s="717">
        <f>F29/F158</f>
        <v>1.7543066088840735</v>
      </c>
      <c r="G134" s="717">
        <f>G29/G158</f>
        <v>1.7669875406283857</v>
      </c>
      <c r="H134" s="718">
        <f>H29/H158</f>
        <v>1.7799220910075839</v>
      </c>
    </row>
    <row r="135" spans="2:8" ht="13.5" thickBot="1" x14ac:dyDescent="0.25">
      <c r="B135" s="29"/>
      <c r="C135" t="s">
        <v>168</v>
      </c>
      <c r="D135" s="725">
        <f>D30/D158</f>
        <v>0.1059558963457138</v>
      </c>
      <c r="E135" s="726">
        <f>E30/E158</f>
        <v>0</v>
      </c>
      <c r="F135" s="726">
        <f>F30/F158</f>
        <v>0</v>
      </c>
      <c r="G135" s="726">
        <f>G30/G158</f>
        <v>0</v>
      </c>
      <c r="H135" s="727">
        <f>H30/H158</f>
        <v>0</v>
      </c>
    </row>
    <row r="136" spans="2:8" ht="13.5" thickBot="1" x14ac:dyDescent="0.25">
      <c r="B136" s="673"/>
      <c r="C136" s="674" t="s">
        <v>105</v>
      </c>
      <c r="D136" s="719">
        <f>D31/D158</f>
        <v>220.59010051689995</v>
      </c>
      <c r="E136" s="720">
        <f>E31/E158</f>
        <v>222.25271161224799</v>
      </c>
      <c r="F136" s="720">
        <f>F31/F158</f>
        <v>224.40457167461378</v>
      </c>
      <c r="G136" s="720">
        <f>G31/G158</f>
        <v>226.21422968284779</v>
      </c>
      <c r="H136" s="721">
        <f>H31/H158</f>
        <v>228.0600808512466</v>
      </c>
    </row>
    <row r="137" spans="2:8" x14ac:dyDescent="0.2">
      <c r="B137" s="44"/>
      <c r="C137" s="45" t="s">
        <v>110</v>
      </c>
      <c r="D137" s="701">
        <f>D32/D158</f>
        <v>9.2316720837847601</v>
      </c>
      <c r="E137" s="717">
        <f>E32/E158</f>
        <v>8.2814192849404122</v>
      </c>
      <c r="F137" s="717">
        <f>F32/F158</f>
        <v>8.054577464788732</v>
      </c>
      <c r="G137" s="717">
        <f>G32/G158</f>
        <v>7.4324553087757312</v>
      </c>
      <c r="H137" s="718">
        <f>H32/H158</f>
        <v>6.863378588840737</v>
      </c>
    </row>
    <row r="138" spans="2:8" ht="13.5" thickBot="1" x14ac:dyDescent="0.25">
      <c r="B138" s="29"/>
      <c r="C138" t="s">
        <v>111</v>
      </c>
      <c r="D138" s="716">
        <f>D33/D158</f>
        <v>5.3900325027085589</v>
      </c>
      <c r="E138" s="731">
        <f>E33/E158</f>
        <v>5.0170834183400537</v>
      </c>
      <c r="F138" s="731">
        <f>F33/F158</f>
        <v>4.6230919912916448</v>
      </c>
      <c r="G138" s="731">
        <f>G33/G158</f>
        <v>4.2068690841335608</v>
      </c>
      <c r="H138" s="732">
        <f>H33/H158</f>
        <v>3.7671582483624473</v>
      </c>
    </row>
    <row r="139" spans="2:8" ht="13.5" thickBot="1" x14ac:dyDescent="0.25">
      <c r="B139" s="673"/>
      <c r="C139" s="674" t="s">
        <v>115</v>
      </c>
      <c r="D139" s="733">
        <f>D137+D138</f>
        <v>14.621704586493319</v>
      </c>
      <c r="E139" s="734">
        <f>E137+E138</f>
        <v>13.298502703280466</v>
      </c>
      <c r="F139" s="734">
        <f>F137+F138</f>
        <v>12.677669456080377</v>
      </c>
      <c r="G139" s="734">
        <f>G137+G138</f>
        <v>11.639324392909291</v>
      </c>
      <c r="H139" s="735">
        <f>H137+H138</f>
        <v>10.630536837203184</v>
      </c>
    </row>
    <row r="140" spans="2:8" ht="13.5" thickBot="1" x14ac:dyDescent="0.25">
      <c r="B140" s="673"/>
      <c r="C140" s="674" t="s">
        <v>116</v>
      </c>
      <c r="D140" s="733">
        <f>D35/D158</f>
        <v>235.21180510339329</v>
      </c>
      <c r="E140" s="734">
        <f>E35/E158</f>
        <v>235.55121431552845</v>
      </c>
      <c r="F140" s="734">
        <f>F35/F158</f>
        <v>237.08224113069417</v>
      </c>
      <c r="G140" s="734">
        <f>G35/G158</f>
        <v>237.85355407575707</v>
      </c>
      <c r="H140" s="735">
        <f>H35/H158</f>
        <v>238.69061768844978</v>
      </c>
    </row>
    <row r="141" spans="2:8" x14ac:dyDescent="0.2">
      <c r="B141" s="1131"/>
      <c r="C141" s="1132" t="s">
        <v>117</v>
      </c>
      <c r="D141" s="1017">
        <f>D36/D158</f>
        <v>34.713438666920915</v>
      </c>
      <c r="E141" s="1012">
        <f>E36/E158</f>
        <v>34.374029454785749</v>
      </c>
      <c r="F141" s="1012">
        <f>F36/F158</f>
        <v>32.843002639620032</v>
      </c>
      <c r="G141" s="1012">
        <f>G36/G158</f>
        <v>32.071689694557108</v>
      </c>
      <c r="H141" s="1018">
        <f>H36/H158</f>
        <v>31.234626081864409</v>
      </c>
    </row>
    <row r="142" spans="2:8" ht="13.5" thickBot="1" x14ac:dyDescent="0.25">
      <c r="B142" s="57"/>
      <c r="C142" s="41" t="s">
        <v>422</v>
      </c>
      <c r="D142" s="1013">
        <f>D37/D158</f>
        <v>34.713438666920915</v>
      </c>
      <c r="E142" s="1014">
        <f>E37/E158</f>
        <v>34.374029454785749</v>
      </c>
      <c r="F142" s="1014">
        <f>F37/F158</f>
        <v>32.843002639620032</v>
      </c>
      <c r="G142" s="1014">
        <f>G37/G158</f>
        <v>32.071689694557108</v>
      </c>
      <c r="H142" s="1015">
        <f>H37/H158</f>
        <v>31.234626081864409</v>
      </c>
    </row>
    <row r="143" spans="2:8" ht="13.5" thickBot="1" x14ac:dyDescent="0.25">
      <c r="B143" s="3"/>
      <c r="C143" s="38"/>
      <c r="D143" s="677" t="str">
        <f>D58</f>
        <v>Year #1</v>
      </c>
      <c r="E143" s="678" t="str">
        <f>E58</f>
        <v>Year #2</v>
      </c>
      <c r="F143" s="678" t="str">
        <f>F58</f>
        <v>Year #3</v>
      </c>
      <c r="G143" s="678" t="str">
        <f>G58</f>
        <v>Year #4</v>
      </c>
      <c r="H143" s="679" t="str">
        <f>H58</f>
        <v>Year #5</v>
      </c>
    </row>
    <row r="144" spans="2:8" ht="13.5" thickBot="1" x14ac:dyDescent="0.25">
      <c r="B144" s="51"/>
      <c r="C144" s="676" t="s">
        <v>423</v>
      </c>
      <c r="D144" s="680" t="str">
        <f>D112</f>
        <v>$/Lamb</v>
      </c>
      <c r="E144" s="681" t="str">
        <f>E112</f>
        <v>$/Lamb</v>
      </c>
      <c r="F144" s="681" t="str">
        <f>F112</f>
        <v>$/Lamb</v>
      </c>
      <c r="G144" s="681" t="str">
        <f>G112</f>
        <v>$/Lamb</v>
      </c>
      <c r="H144" s="682" t="str">
        <f>H112</f>
        <v>$/Lamb</v>
      </c>
    </row>
    <row r="145" spans="2:8" x14ac:dyDescent="0.2">
      <c r="B145" s="675"/>
      <c r="C145" s="1016" t="s">
        <v>117</v>
      </c>
      <c r="D145" s="1017">
        <f>D40/D158</f>
        <v>34.713438666920915</v>
      </c>
      <c r="E145" s="1012">
        <f>E40/E158</f>
        <v>34.374029454785749</v>
      </c>
      <c r="F145" s="1012">
        <f>F40/F158</f>
        <v>32.843002639620032</v>
      </c>
      <c r="G145" s="1012">
        <f>G40/G158</f>
        <v>32.071689694557108</v>
      </c>
      <c r="H145" s="1018">
        <f>H40/H158</f>
        <v>31.234626081864409</v>
      </c>
    </row>
    <row r="146" spans="2:8" x14ac:dyDescent="0.2">
      <c r="B146" s="44"/>
      <c r="C146" s="45" t="s">
        <v>118</v>
      </c>
      <c r="D146" s="701">
        <f>D41/D158</f>
        <v>9.2316720837847601</v>
      </c>
      <c r="E146" s="717">
        <f>E41/E158</f>
        <v>8.2814192849404122</v>
      </c>
      <c r="F146" s="717">
        <f>F41/F158</f>
        <v>8.054577464788732</v>
      </c>
      <c r="G146" s="717">
        <f>G41/G158</f>
        <v>7.4324553087757312</v>
      </c>
      <c r="H146" s="718">
        <f>H41/H158</f>
        <v>6.863378588840737</v>
      </c>
    </row>
    <row r="147" spans="2:8" x14ac:dyDescent="0.2">
      <c r="B147" s="29"/>
      <c r="C147" t="s">
        <v>322</v>
      </c>
      <c r="D147" s="701">
        <f>D42/D158</f>
        <v>0</v>
      </c>
      <c r="E147" s="717">
        <f>E42/E158</f>
        <v>0</v>
      </c>
      <c r="F147" s="717">
        <f>F42/F158</f>
        <v>0</v>
      </c>
      <c r="G147" s="717">
        <f>G42/G158</f>
        <v>0</v>
      </c>
      <c r="H147" s="718">
        <f>H42/H158</f>
        <v>0</v>
      </c>
    </row>
    <row r="148" spans="2:8" ht="13.5" thickBot="1" x14ac:dyDescent="0.25">
      <c r="B148" s="44"/>
      <c r="C148" s="45" t="s">
        <v>119</v>
      </c>
      <c r="D148" s="716">
        <f>D43/D158</f>
        <v>6.6202430371136645</v>
      </c>
      <c r="E148" s="731">
        <f>E43/E158</f>
        <v>6.9931921214821697</v>
      </c>
      <c r="F148" s="731">
        <f>F43/F158</f>
        <v>7.3871835485305777</v>
      </c>
      <c r="G148" s="731">
        <f>G43/G158</f>
        <v>7.8034064556886626</v>
      </c>
      <c r="H148" s="732">
        <f>H43/H158</f>
        <v>8.2431172914597752</v>
      </c>
    </row>
    <row r="149" spans="2:8" ht="13.5" thickBot="1" x14ac:dyDescent="0.25">
      <c r="B149" s="673"/>
      <c r="C149" s="1019" t="s">
        <v>120</v>
      </c>
      <c r="D149" s="1020">
        <f>D44/D158</f>
        <v>37.324867713592013</v>
      </c>
      <c r="E149" s="1021">
        <f>E44/E158</f>
        <v>35.662256618243987</v>
      </c>
      <c r="F149" s="1021">
        <f>F44/F158</f>
        <v>33.510396555878181</v>
      </c>
      <c r="G149" s="1021">
        <f>G44/G158</f>
        <v>31.700738547644178</v>
      </c>
      <c r="H149" s="1022">
        <f>H44/H158</f>
        <v>29.854887379245373</v>
      </c>
    </row>
    <row r="150" spans="2:8" ht="6" customHeight="1" x14ac:dyDescent="0.2">
      <c r="B150" s="30"/>
      <c r="C150" s="30"/>
      <c r="D150" s="30"/>
    </row>
    <row r="151" spans="2:8" x14ac:dyDescent="0.2">
      <c r="C151" s="111" t="s">
        <v>610</v>
      </c>
      <c r="D151" s="664">
        <f>D47</f>
        <v>400</v>
      </c>
      <c r="E151" s="664">
        <f>E47</f>
        <v>400</v>
      </c>
      <c r="F151" s="664">
        <f>F47</f>
        <v>400</v>
      </c>
      <c r="G151" s="664">
        <f>G47</f>
        <v>400</v>
      </c>
      <c r="H151" s="664">
        <f>H47</f>
        <v>400</v>
      </c>
    </row>
    <row r="152" spans="2:8" x14ac:dyDescent="0.2">
      <c r="B152" s="114"/>
      <c r="C152" s="111" t="str">
        <f>C113</f>
        <v>Feeder Lamb Sales (under 90lbs)</v>
      </c>
      <c r="D152" s="114">
        <f>Input!E52</f>
        <v>0</v>
      </c>
      <c r="E152" s="114">
        <f>Input!F52</f>
        <v>0</v>
      </c>
      <c r="F152" s="114">
        <f>Input!G52</f>
        <v>0</v>
      </c>
      <c r="G152" s="114">
        <f>Input!H52</f>
        <v>0</v>
      </c>
      <c r="H152" s="114">
        <f>Input!I52</f>
        <v>0</v>
      </c>
    </row>
    <row r="153" spans="2:8" x14ac:dyDescent="0.2">
      <c r="B153" s="114"/>
      <c r="C153" s="111" t="str">
        <f>C114</f>
        <v>Slaughter Lamb Sales (90lbs+)</v>
      </c>
      <c r="D153" s="114">
        <f>Input!$E$57</f>
        <v>851</v>
      </c>
      <c r="E153" s="114">
        <f>Input!$F$57</f>
        <v>851</v>
      </c>
      <c r="F153" s="114">
        <f>Input!$G$57</f>
        <v>851</v>
      </c>
      <c r="G153" s="114">
        <f>Input!$H$57</f>
        <v>851</v>
      </c>
      <c r="H153" s="114">
        <f>Input!$I$57</f>
        <v>851</v>
      </c>
    </row>
    <row r="154" spans="2:8" x14ac:dyDescent="0.2">
      <c r="C154" s="539" t="s">
        <v>891</v>
      </c>
      <c r="D154" s="379">
        <f>Input!E$24</f>
        <v>72</v>
      </c>
      <c r="E154" s="379">
        <f>Input!F$24</f>
        <v>72</v>
      </c>
      <c r="F154" s="379">
        <f>Input!G$24</f>
        <v>72</v>
      </c>
      <c r="G154" s="379">
        <f>Input!H$24</f>
        <v>72</v>
      </c>
      <c r="H154" s="379">
        <f>Input!I$24</f>
        <v>72</v>
      </c>
    </row>
    <row r="155" spans="2:8" x14ac:dyDescent="0.2">
      <c r="C155" s="111" t="s">
        <v>446</v>
      </c>
      <c r="D155" s="379">
        <f>Input!$E$62+Input!$E64+Input!$E$66</f>
        <v>0</v>
      </c>
      <c r="E155" s="379">
        <f>Input!$E$62+Input!$E64+Input!$E$66</f>
        <v>0</v>
      </c>
      <c r="F155" s="379">
        <f>Input!$E$62+Input!$E64+Input!$E$66</f>
        <v>0</v>
      </c>
      <c r="G155" s="379">
        <f>Input!$E$62+Input!$E64+Input!$E$66</f>
        <v>0</v>
      </c>
      <c r="H155" s="379">
        <f>Input!$E$62+Input!$E64+Input!$E$66</f>
        <v>0</v>
      </c>
    </row>
    <row r="156" spans="2:8" x14ac:dyDescent="0.2">
      <c r="B156" s="114"/>
      <c r="C156" s="111" t="str">
        <f>C65</f>
        <v>Other Sales - (Meat &amp; Mutton)</v>
      </c>
      <c r="D156" s="379">
        <f>Input!G$90</f>
        <v>0</v>
      </c>
      <c r="E156" s="379">
        <f>Input!H$90</f>
        <v>0</v>
      </c>
      <c r="F156" s="379">
        <f>Input!I$90</f>
        <v>0</v>
      </c>
      <c r="G156" s="379">
        <f>Input!J$90</f>
        <v>0</v>
      </c>
      <c r="H156" s="379">
        <f>Input!K$90</f>
        <v>0</v>
      </c>
    </row>
    <row r="157" spans="2:8" x14ac:dyDescent="0.2">
      <c r="B157" s="114"/>
      <c r="C157" s="111" t="s">
        <v>712</v>
      </c>
      <c r="D157" s="379">
        <f t="shared" ref="D157:H158" si="4">D53</f>
        <v>62</v>
      </c>
      <c r="E157" s="379">
        <f t="shared" si="4"/>
        <v>62</v>
      </c>
      <c r="F157" s="379">
        <f t="shared" si="4"/>
        <v>62</v>
      </c>
      <c r="G157" s="379">
        <f t="shared" si="4"/>
        <v>62</v>
      </c>
      <c r="H157" s="379">
        <f t="shared" si="4"/>
        <v>62</v>
      </c>
    </row>
    <row r="158" spans="2:8" x14ac:dyDescent="0.2">
      <c r="B158" s="114"/>
      <c r="C158" s="277" t="s">
        <v>618</v>
      </c>
      <c r="D158" s="757">
        <f t="shared" si="4"/>
        <v>923</v>
      </c>
      <c r="E158" s="757">
        <f t="shared" si="4"/>
        <v>923</v>
      </c>
      <c r="F158" s="757">
        <f t="shared" si="4"/>
        <v>923</v>
      </c>
      <c r="G158" s="757">
        <f t="shared" si="4"/>
        <v>923</v>
      </c>
      <c r="H158" s="757">
        <f t="shared" si="4"/>
        <v>923</v>
      </c>
    </row>
    <row r="159" spans="2:8" x14ac:dyDescent="0.2">
      <c r="C159" s="1277" t="s">
        <v>949</v>
      </c>
    </row>
  </sheetData>
  <sheetProtection sheet="1" objects="1" scenarios="1"/>
  <phoneticPr fontId="10" type="noConversion"/>
  <pageMargins left="0.75" right="0.75" top="1" bottom="1" header="0.5" footer="0.5"/>
  <pageSetup scale="32" orientation="portrait" r:id="rId1"/>
  <headerFooter alignWithMargins="0">
    <oddFooter>&amp;CEwePLAN Copyright Government of Saskatchewan, Developed by Brad Marceniuk&amp;RPage 3</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AcceleratedAnnualTotalIncomeExpense">
                <anchor moveWithCells="1">
                  <from>
                    <xdr:col>1</xdr:col>
                    <xdr:colOff>0</xdr:colOff>
                    <xdr:row>0</xdr:row>
                    <xdr:rowOff>57150</xdr:rowOff>
                  </from>
                  <to>
                    <xdr:col>4</xdr:col>
                    <xdr:colOff>542925</xdr:colOff>
                    <xdr:row>2</xdr:row>
                    <xdr:rowOff>95250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pageSetUpPr fitToPage="1"/>
  </sheetPr>
  <dimension ref="A1:AW114"/>
  <sheetViews>
    <sheetView showGridLines="0" showRowColHeaders="0" topLeftCell="A33" zoomScale="110" zoomScaleNormal="110" workbookViewId="0">
      <selection activeCell="B88" sqref="B88:N113"/>
    </sheetView>
  </sheetViews>
  <sheetFormatPr defaultRowHeight="12.75" x14ac:dyDescent="0.2"/>
  <cols>
    <col min="2" max="6" width="12.7109375" customWidth="1"/>
    <col min="7" max="7" width="6.7109375" customWidth="1"/>
    <col min="8" max="15" width="10.7109375" customWidth="1"/>
    <col min="16" max="20" width="8.7109375" customWidth="1"/>
    <col min="21" max="26" width="10.7109375" customWidth="1"/>
    <col min="27" max="32" width="12.7109375" customWidth="1"/>
    <col min="33" max="34" width="10.7109375" customWidth="1"/>
    <col min="35" max="49" width="12.7109375" customWidth="1"/>
  </cols>
  <sheetData>
    <row r="1" spans="1:39" x14ac:dyDescent="0.2">
      <c r="A1" s="28"/>
      <c r="B1" s="28"/>
      <c r="C1" s="28"/>
      <c r="D1" s="28"/>
      <c r="E1" s="28"/>
      <c r="F1" s="28"/>
      <c r="G1" s="28"/>
      <c r="H1" s="28"/>
      <c r="I1" s="28"/>
      <c r="J1" s="28"/>
      <c r="K1" s="28"/>
    </row>
    <row r="2" spans="1:39" x14ac:dyDescent="0.2">
      <c r="A2" s="28"/>
      <c r="B2" s="28"/>
      <c r="C2" s="28"/>
      <c r="D2" s="28"/>
      <c r="E2" s="28"/>
      <c r="F2" s="28"/>
      <c r="G2" s="28"/>
      <c r="H2" s="28"/>
      <c r="I2" s="28"/>
      <c r="J2" s="28"/>
      <c r="K2" s="28"/>
    </row>
    <row r="3" spans="1:39" x14ac:dyDescent="0.2">
      <c r="A3" s="28"/>
      <c r="B3" s="28"/>
      <c r="C3" s="28"/>
      <c r="D3" s="28"/>
      <c r="E3" s="28"/>
      <c r="F3" s="28"/>
      <c r="G3" s="28"/>
      <c r="H3" s="28"/>
      <c r="I3" s="28"/>
      <c r="J3" s="28"/>
      <c r="K3" s="28"/>
    </row>
    <row r="4" spans="1:39" x14ac:dyDescent="0.2">
      <c r="A4" s="28"/>
      <c r="B4" s="28"/>
      <c r="C4" s="28"/>
      <c r="D4" s="28"/>
      <c r="E4" s="28"/>
      <c r="F4" s="28"/>
      <c r="G4" s="28"/>
      <c r="H4" s="28"/>
      <c r="I4" s="28"/>
      <c r="J4" s="28"/>
      <c r="K4" s="28"/>
    </row>
    <row r="5" spans="1:39" x14ac:dyDescent="0.2">
      <c r="A5" s="28"/>
      <c r="B5" s="28"/>
      <c r="C5" s="28"/>
      <c r="D5" s="28"/>
      <c r="E5" s="28"/>
      <c r="F5" s="28"/>
      <c r="G5" s="28"/>
      <c r="H5" s="28"/>
      <c r="I5" s="28"/>
      <c r="J5" s="28"/>
      <c r="K5" s="28"/>
    </row>
    <row r="6" spans="1:39" x14ac:dyDescent="0.2">
      <c r="A6" s="28"/>
      <c r="B6" s="28"/>
      <c r="C6" s="28"/>
      <c r="D6" s="28"/>
      <c r="E6" s="28"/>
      <c r="F6" s="28"/>
      <c r="G6" s="28"/>
      <c r="H6" s="28"/>
      <c r="I6" s="28"/>
      <c r="J6" s="28"/>
      <c r="K6" s="28"/>
      <c r="AL6" s="65" t="s">
        <v>950</v>
      </c>
    </row>
    <row r="7" spans="1:39" ht="15.75" thickBot="1" x14ac:dyDescent="0.3">
      <c r="B7" s="95" t="s">
        <v>959</v>
      </c>
      <c r="C7" s="95"/>
      <c r="D7" s="95"/>
      <c r="G7" s="28"/>
      <c r="H7" s="28"/>
      <c r="I7" s="28"/>
      <c r="J7" s="28"/>
      <c r="K7" s="28"/>
      <c r="AA7" s="27"/>
      <c r="AL7" s="833">
        <f>Income_Expense!$D$43-Income_Expense!$D$41</f>
        <v>-2410.3490100774216</v>
      </c>
    </row>
    <row r="8" spans="1:39" x14ac:dyDescent="0.2">
      <c r="B8" s="278" t="s">
        <v>622</v>
      </c>
      <c r="C8" s="1206"/>
      <c r="D8" s="280" t="s">
        <v>619</v>
      </c>
      <c r="E8" s="1281"/>
      <c r="F8" s="1297" t="s">
        <v>955</v>
      </c>
      <c r="G8" s="28"/>
      <c r="H8" s="28"/>
      <c r="I8" s="28"/>
      <c r="J8" s="28"/>
      <c r="K8" s="28"/>
      <c r="W8" s="56" t="s">
        <v>635</v>
      </c>
      <c r="AA8" s="27"/>
      <c r="AB8" s="1307"/>
      <c r="AC8" s="683"/>
      <c r="AD8" s="1308"/>
      <c r="AE8" s="1309" t="s">
        <v>174</v>
      </c>
      <c r="AF8" s="1"/>
      <c r="AG8" s="182" t="s">
        <v>653</v>
      </c>
      <c r="AH8" s="164" t="s">
        <v>654</v>
      </c>
      <c r="AI8" s="279"/>
      <c r="AJ8" s="280" t="s">
        <v>619</v>
      </c>
      <c r="AK8" s="315"/>
      <c r="AL8" s="1283" t="s">
        <v>952</v>
      </c>
      <c r="AM8" s="1220" t="s">
        <v>954</v>
      </c>
    </row>
    <row r="9" spans="1:39" ht="13.5" thickBot="1" x14ac:dyDescent="0.25">
      <c r="B9" s="281" t="s">
        <v>623</v>
      </c>
      <c r="C9" s="922" t="s">
        <v>174</v>
      </c>
      <c r="D9" s="288" t="s">
        <v>620</v>
      </c>
      <c r="E9" s="1296" t="s">
        <v>621</v>
      </c>
      <c r="F9" s="281" t="s">
        <v>956</v>
      </c>
      <c r="G9" s="28"/>
      <c r="H9" s="28"/>
      <c r="I9" s="28"/>
      <c r="J9" s="28"/>
      <c r="K9" s="28"/>
      <c r="W9" s="27" t="s">
        <v>628</v>
      </c>
      <c r="X9" s="27" t="s">
        <v>627</v>
      </c>
      <c r="Y9" s="27" t="s">
        <v>656</v>
      </c>
      <c r="AA9" s="27"/>
      <c r="AB9" s="920" t="s">
        <v>646</v>
      </c>
      <c r="AC9" s="1310" t="s">
        <v>713</v>
      </c>
      <c r="AD9" s="1310" t="s">
        <v>25</v>
      </c>
      <c r="AE9" s="1280" t="s">
        <v>626</v>
      </c>
      <c r="AF9" s="297" t="s">
        <v>631</v>
      </c>
      <c r="AG9" s="298" t="s">
        <v>632</v>
      </c>
      <c r="AH9" s="299" t="s">
        <v>655</v>
      </c>
      <c r="AI9" s="297" t="s">
        <v>174</v>
      </c>
      <c r="AJ9" s="298" t="s">
        <v>633</v>
      </c>
      <c r="AK9" s="299" t="s">
        <v>634</v>
      </c>
      <c r="AL9" s="1284" t="s">
        <v>634</v>
      </c>
      <c r="AM9" s="334" t="s">
        <v>953</v>
      </c>
    </row>
    <row r="10" spans="1:39" x14ac:dyDescent="0.2">
      <c r="B10" s="398">
        <f t="shared" ref="B10:B19" si="0">B11+0.05</f>
        <v>3.0999999999999983</v>
      </c>
      <c r="C10" s="340">
        <f>IF(Input!$E$52&gt;0,AI10,0)</f>
        <v>0</v>
      </c>
      <c r="D10" s="399">
        <f>IF(W10&gt;0,AJ10,0)</f>
        <v>0</v>
      </c>
      <c r="E10" s="400">
        <f>IF(W10&gt;0,AK10,0)</f>
        <v>0</v>
      </c>
      <c r="F10" s="1334">
        <f>IF(W10&gt;0,AM10,0)</f>
        <v>0</v>
      </c>
      <c r="G10" s="28"/>
      <c r="H10" s="28"/>
      <c r="I10" s="28"/>
      <c r="J10" s="28"/>
      <c r="K10" s="28"/>
      <c r="W10" s="282">
        <f>Input!$E$52</f>
        <v>0</v>
      </c>
      <c r="X10" s="282">
        <f>Input!$E$57</f>
        <v>851</v>
      </c>
      <c r="Y10" s="70">
        <f>Input!$E$24</f>
        <v>72</v>
      </c>
      <c r="AA10" s="27">
        <v>1</v>
      </c>
      <c r="AB10" s="305">
        <f t="shared" ref="AB10:AB30" si="1">(B10/$B$20)*$W$31*$W$32*W10</f>
        <v>0</v>
      </c>
      <c r="AC10" s="1311">
        <v>0</v>
      </c>
      <c r="AD10" s="306">
        <f>Income_Expense!$D$10+Income_Expense!$D$11+Income_Expense!$D$12+Income_Expense!$D$13</f>
        <v>14265</v>
      </c>
      <c r="AE10" s="309">
        <f t="shared" ref="AE10:AE30" si="2">AB10+AC10+AD10</f>
        <v>14265</v>
      </c>
      <c r="AF10" s="305">
        <f>Income_Expense!$D$31</f>
        <v>203604.66277709865</v>
      </c>
      <c r="AG10" s="306">
        <f>Income_Expense!$D$34</f>
        <v>13495.833333333334</v>
      </c>
      <c r="AH10" s="314">
        <f t="shared" ref="AH10:AH30" si="3">AF10+AG10</f>
        <v>217100.496110432</v>
      </c>
      <c r="AI10" s="1321">
        <f t="shared" ref="AI10:AI30" si="4">AE10-AH10</f>
        <v>-202835.496110432</v>
      </c>
      <c r="AJ10" s="132">
        <f t="shared" ref="AJ10:AJ30" si="5">AI10/$AJ$31</f>
        <v>-507.08874027607999</v>
      </c>
      <c r="AK10" s="303">
        <f t="shared" ref="AK10:AK30" si="6">AI10/$AK$31</f>
        <v>-219.75676718356664</v>
      </c>
      <c r="AL10" s="1329">
        <f t="shared" ref="AL10:AL30" si="7">IF(W10&gt;0,$AL$7/$AK$31,0)</f>
        <v>0</v>
      </c>
      <c r="AM10" s="1286">
        <f t="shared" ref="AM10:AM30" si="8">AK10-AL10</f>
        <v>-219.75676718356664</v>
      </c>
    </row>
    <row r="11" spans="1:39" x14ac:dyDescent="0.2">
      <c r="B11" s="401">
        <f t="shared" si="0"/>
        <v>3.0499999999999985</v>
      </c>
      <c r="C11" s="923">
        <f>IF(Input!$E$52&gt;0,AI11,0)</f>
        <v>0</v>
      </c>
      <c r="D11" s="399">
        <f>IF(W11&gt;0,AJ11,0)</f>
        <v>0</v>
      </c>
      <c r="E11" s="400">
        <f>IF(W11&gt;0,AK11,0)</f>
        <v>0</v>
      </c>
      <c r="F11" s="1335">
        <f>IF(W11&gt;0,AM11,0)</f>
        <v>0</v>
      </c>
      <c r="G11" s="28"/>
      <c r="H11" s="28"/>
      <c r="I11" s="28"/>
      <c r="J11" s="28"/>
      <c r="K11" s="28"/>
      <c r="W11" s="282">
        <f>Input!$E$52</f>
        <v>0</v>
      </c>
      <c r="X11" s="282">
        <f>Input!$E$57</f>
        <v>851</v>
      </c>
      <c r="Y11" s="70">
        <f>Input!$E$24</f>
        <v>72</v>
      </c>
      <c r="AA11" s="27">
        <f>AA10+1</f>
        <v>2</v>
      </c>
      <c r="AB11" s="1318">
        <f t="shared" si="1"/>
        <v>0</v>
      </c>
      <c r="AC11" s="1312">
        <v>0</v>
      </c>
      <c r="AD11" s="1313">
        <f>Income_Expense!$D$10+Income_Expense!$D$11+Income_Expense!$D$12+Income_Expense!$D$13</f>
        <v>14265</v>
      </c>
      <c r="AE11" s="1314">
        <f t="shared" si="2"/>
        <v>14265</v>
      </c>
      <c r="AF11" s="321">
        <f>Income_Expense!$D$31</f>
        <v>203604.66277709865</v>
      </c>
      <c r="AG11" s="322">
        <f>Income_Expense!$D$34</f>
        <v>13495.833333333334</v>
      </c>
      <c r="AH11" s="323">
        <f t="shared" si="3"/>
        <v>217100.496110432</v>
      </c>
      <c r="AI11" s="290">
        <f t="shared" si="4"/>
        <v>-202835.496110432</v>
      </c>
      <c r="AJ11" s="1323">
        <f t="shared" si="5"/>
        <v>-507.08874027607999</v>
      </c>
      <c r="AK11" s="1324">
        <f t="shared" si="6"/>
        <v>-219.75676718356664</v>
      </c>
      <c r="AL11" s="1287">
        <f t="shared" si="7"/>
        <v>0</v>
      </c>
      <c r="AM11" s="1288">
        <f t="shared" si="8"/>
        <v>-219.75676718356664</v>
      </c>
    </row>
    <row r="12" spans="1:39" x14ac:dyDescent="0.2">
      <c r="B12" s="401">
        <f t="shared" si="0"/>
        <v>2.9999999999999987</v>
      </c>
      <c r="C12" s="923">
        <f>IF(Input!$E$52&gt;0,AI12,0)</f>
        <v>0</v>
      </c>
      <c r="D12" s="399">
        <f t="shared" ref="D12:D30" si="9">IF(W12&gt;0,AJ12,0)</f>
        <v>0</v>
      </c>
      <c r="E12" s="400">
        <f t="shared" ref="E12:E30" si="10">IF(W12&gt;0,AK12,0)</f>
        <v>0</v>
      </c>
      <c r="F12" s="1335">
        <f t="shared" ref="F12:F30" si="11">IF(W12&gt;0,AM12,0)</f>
        <v>0</v>
      </c>
      <c r="G12" s="28"/>
      <c r="H12" s="28"/>
      <c r="I12" s="28"/>
      <c r="J12" s="28"/>
      <c r="K12" s="28"/>
      <c r="W12" s="282">
        <f>Input!$E$52</f>
        <v>0</v>
      </c>
      <c r="X12" s="282">
        <f>Input!$E$57</f>
        <v>851</v>
      </c>
      <c r="Y12" s="70">
        <f>Input!$E$24</f>
        <v>72</v>
      </c>
      <c r="AA12" s="27">
        <f t="shared" ref="AA12:AA30" si="12">AA11+1</f>
        <v>3</v>
      </c>
      <c r="AB12" s="1318">
        <f t="shared" si="1"/>
        <v>0</v>
      </c>
      <c r="AC12" s="1312">
        <v>0</v>
      </c>
      <c r="AD12" s="1313">
        <f>Income_Expense!$D$10+Income_Expense!$D$11+Income_Expense!$D$12+Income_Expense!$D$13</f>
        <v>14265</v>
      </c>
      <c r="AE12" s="1314">
        <f t="shared" si="2"/>
        <v>14265</v>
      </c>
      <c r="AF12" s="321">
        <f>Income_Expense!$D$31</f>
        <v>203604.66277709865</v>
      </c>
      <c r="AG12" s="322">
        <f>Income_Expense!$D$34</f>
        <v>13495.833333333334</v>
      </c>
      <c r="AH12" s="323">
        <f t="shared" si="3"/>
        <v>217100.496110432</v>
      </c>
      <c r="AI12" s="290">
        <f t="shared" si="4"/>
        <v>-202835.496110432</v>
      </c>
      <c r="AJ12" s="1323">
        <f t="shared" si="5"/>
        <v>-507.08874027607999</v>
      </c>
      <c r="AK12" s="1324">
        <f t="shared" si="6"/>
        <v>-219.75676718356664</v>
      </c>
      <c r="AL12" s="1287">
        <f t="shared" si="7"/>
        <v>0</v>
      </c>
      <c r="AM12" s="1288">
        <f t="shared" si="8"/>
        <v>-219.75676718356664</v>
      </c>
    </row>
    <row r="13" spans="1:39" x14ac:dyDescent="0.2">
      <c r="B13" s="401">
        <f t="shared" si="0"/>
        <v>2.9499999999999988</v>
      </c>
      <c r="C13" s="923">
        <f>IF(Input!$E$52&gt;0,AI13,0)</f>
        <v>0</v>
      </c>
      <c r="D13" s="399">
        <f t="shared" si="9"/>
        <v>0</v>
      </c>
      <c r="E13" s="400">
        <f t="shared" si="10"/>
        <v>0</v>
      </c>
      <c r="F13" s="1335">
        <f t="shared" si="11"/>
        <v>0</v>
      </c>
      <c r="G13" s="28"/>
      <c r="H13" s="28"/>
      <c r="I13" s="28"/>
      <c r="J13" s="28"/>
      <c r="K13" s="28"/>
      <c r="W13" s="282">
        <f>Input!$E$52</f>
        <v>0</v>
      </c>
      <c r="X13" s="282">
        <f>Input!$E$57</f>
        <v>851</v>
      </c>
      <c r="Y13" s="70">
        <f>Input!$E$24</f>
        <v>72</v>
      </c>
      <c r="AA13" s="27">
        <f t="shared" si="12"/>
        <v>4</v>
      </c>
      <c r="AB13" s="1318">
        <f t="shared" si="1"/>
        <v>0</v>
      </c>
      <c r="AC13" s="1312">
        <v>0</v>
      </c>
      <c r="AD13" s="1313">
        <f>Income_Expense!$D$10+Income_Expense!$D$11+Income_Expense!$D$12+Income_Expense!$D$13</f>
        <v>14265</v>
      </c>
      <c r="AE13" s="1314">
        <f t="shared" si="2"/>
        <v>14265</v>
      </c>
      <c r="AF13" s="321">
        <f>Income_Expense!$D$31</f>
        <v>203604.66277709865</v>
      </c>
      <c r="AG13" s="322">
        <f>Income_Expense!$D$34</f>
        <v>13495.833333333334</v>
      </c>
      <c r="AH13" s="323">
        <f t="shared" si="3"/>
        <v>217100.496110432</v>
      </c>
      <c r="AI13" s="290">
        <f t="shared" si="4"/>
        <v>-202835.496110432</v>
      </c>
      <c r="AJ13" s="1323">
        <f t="shared" si="5"/>
        <v>-507.08874027607999</v>
      </c>
      <c r="AK13" s="1324">
        <f t="shared" si="6"/>
        <v>-219.75676718356664</v>
      </c>
      <c r="AL13" s="1287">
        <f t="shared" si="7"/>
        <v>0</v>
      </c>
      <c r="AM13" s="1288">
        <f t="shared" si="8"/>
        <v>-219.75676718356664</v>
      </c>
    </row>
    <row r="14" spans="1:39" x14ac:dyDescent="0.2">
      <c r="B14" s="401">
        <f t="shared" si="0"/>
        <v>2.899999999999999</v>
      </c>
      <c r="C14" s="923">
        <f>IF(Input!$E$52&gt;0,AI14,0)</f>
        <v>0</v>
      </c>
      <c r="D14" s="399">
        <f t="shared" si="9"/>
        <v>0</v>
      </c>
      <c r="E14" s="400">
        <f t="shared" si="10"/>
        <v>0</v>
      </c>
      <c r="F14" s="1335">
        <f t="shared" si="11"/>
        <v>0</v>
      </c>
      <c r="G14" s="28"/>
      <c r="H14" s="28"/>
      <c r="I14" s="28"/>
      <c r="J14" s="28"/>
      <c r="K14" s="28"/>
      <c r="W14" s="282">
        <f>Input!$E$52</f>
        <v>0</v>
      </c>
      <c r="X14" s="282">
        <f>Input!$E$57</f>
        <v>851</v>
      </c>
      <c r="Y14" s="70">
        <f>Input!$E$24</f>
        <v>72</v>
      </c>
      <c r="AA14" s="27">
        <f t="shared" si="12"/>
        <v>5</v>
      </c>
      <c r="AB14" s="1318">
        <f t="shared" si="1"/>
        <v>0</v>
      </c>
      <c r="AC14" s="1312">
        <v>0</v>
      </c>
      <c r="AD14" s="1313">
        <f>Income_Expense!$D$10+Income_Expense!$D$11+Income_Expense!$D$12+Income_Expense!$D$13</f>
        <v>14265</v>
      </c>
      <c r="AE14" s="1314">
        <f t="shared" si="2"/>
        <v>14265</v>
      </c>
      <c r="AF14" s="321">
        <f>Income_Expense!$D$31</f>
        <v>203604.66277709865</v>
      </c>
      <c r="AG14" s="322">
        <f>Income_Expense!$D$34</f>
        <v>13495.833333333334</v>
      </c>
      <c r="AH14" s="323">
        <f t="shared" si="3"/>
        <v>217100.496110432</v>
      </c>
      <c r="AI14" s="290">
        <f t="shared" si="4"/>
        <v>-202835.496110432</v>
      </c>
      <c r="AJ14" s="1323">
        <f t="shared" si="5"/>
        <v>-507.08874027607999</v>
      </c>
      <c r="AK14" s="1324">
        <f t="shared" si="6"/>
        <v>-219.75676718356664</v>
      </c>
      <c r="AL14" s="1287">
        <f t="shared" si="7"/>
        <v>0</v>
      </c>
      <c r="AM14" s="1288">
        <f t="shared" si="8"/>
        <v>-219.75676718356664</v>
      </c>
    </row>
    <row r="15" spans="1:39" x14ac:dyDescent="0.2">
      <c r="B15" s="401">
        <f t="shared" si="0"/>
        <v>2.8499999999999992</v>
      </c>
      <c r="C15" s="923">
        <f>IF(Input!$E$52&gt;0,AI15,0)</f>
        <v>0</v>
      </c>
      <c r="D15" s="399">
        <f t="shared" si="9"/>
        <v>0</v>
      </c>
      <c r="E15" s="400">
        <f t="shared" si="10"/>
        <v>0</v>
      </c>
      <c r="F15" s="1335">
        <f t="shared" si="11"/>
        <v>0</v>
      </c>
      <c r="G15" s="28"/>
      <c r="H15" s="28"/>
      <c r="I15" s="28"/>
      <c r="J15" s="28"/>
      <c r="K15" s="28"/>
      <c r="W15" s="282">
        <f>Input!$E$52</f>
        <v>0</v>
      </c>
      <c r="X15" s="282">
        <f>Input!$E$57</f>
        <v>851</v>
      </c>
      <c r="Y15" s="70">
        <f>Input!$E$24</f>
        <v>72</v>
      </c>
      <c r="AA15" s="27">
        <f t="shared" si="12"/>
        <v>6</v>
      </c>
      <c r="AB15" s="1318">
        <f t="shared" si="1"/>
        <v>0</v>
      </c>
      <c r="AC15" s="1312">
        <v>0</v>
      </c>
      <c r="AD15" s="1313">
        <f>Income_Expense!$D$10+Income_Expense!$D$11+Income_Expense!$D$12+Income_Expense!$D$13</f>
        <v>14265</v>
      </c>
      <c r="AE15" s="1314">
        <f t="shared" si="2"/>
        <v>14265</v>
      </c>
      <c r="AF15" s="321">
        <f>Income_Expense!$D$31</f>
        <v>203604.66277709865</v>
      </c>
      <c r="AG15" s="322">
        <f>Income_Expense!$D$34</f>
        <v>13495.833333333334</v>
      </c>
      <c r="AH15" s="323">
        <f t="shared" si="3"/>
        <v>217100.496110432</v>
      </c>
      <c r="AI15" s="290">
        <f t="shared" si="4"/>
        <v>-202835.496110432</v>
      </c>
      <c r="AJ15" s="1323">
        <f t="shared" si="5"/>
        <v>-507.08874027607999</v>
      </c>
      <c r="AK15" s="1324">
        <f t="shared" si="6"/>
        <v>-219.75676718356664</v>
      </c>
      <c r="AL15" s="1287">
        <f t="shared" si="7"/>
        <v>0</v>
      </c>
      <c r="AM15" s="1288">
        <f t="shared" si="8"/>
        <v>-219.75676718356664</v>
      </c>
    </row>
    <row r="16" spans="1:39" x14ac:dyDescent="0.2">
      <c r="B16" s="401">
        <f t="shared" si="0"/>
        <v>2.7999999999999994</v>
      </c>
      <c r="C16" s="923">
        <f>IF(Input!$E$52&gt;0,AI16,0)</f>
        <v>0</v>
      </c>
      <c r="D16" s="399">
        <f t="shared" si="9"/>
        <v>0</v>
      </c>
      <c r="E16" s="400">
        <f t="shared" si="10"/>
        <v>0</v>
      </c>
      <c r="F16" s="1335">
        <f t="shared" si="11"/>
        <v>0</v>
      </c>
      <c r="G16" s="28"/>
      <c r="H16" s="28"/>
      <c r="I16" s="28"/>
      <c r="J16" s="28"/>
      <c r="K16" s="28"/>
      <c r="W16" s="282">
        <f>Input!$E$52</f>
        <v>0</v>
      </c>
      <c r="X16" s="282">
        <f>Input!$E$57</f>
        <v>851</v>
      </c>
      <c r="Y16" s="70">
        <f>Input!$E$24</f>
        <v>72</v>
      </c>
      <c r="AA16" s="27">
        <f t="shared" si="12"/>
        <v>7</v>
      </c>
      <c r="AB16" s="1318">
        <f t="shared" si="1"/>
        <v>0</v>
      </c>
      <c r="AC16" s="1312">
        <v>0</v>
      </c>
      <c r="AD16" s="1313">
        <f>Income_Expense!$D$10+Income_Expense!$D$11+Income_Expense!$D$12+Income_Expense!$D$13</f>
        <v>14265</v>
      </c>
      <c r="AE16" s="1314">
        <f t="shared" si="2"/>
        <v>14265</v>
      </c>
      <c r="AF16" s="321">
        <f>Income_Expense!$D$31</f>
        <v>203604.66277709865</v>
      </c>
      <c r="AG16" s="322">
        <f>Income_Expense!$D$34</f>
        <v>13495.833333333334</v>
      </c>
      <c r="AH16" s="323">
        <f t="shared" si="3"/>
        <v>217100.496110432</v>
      </c>
      <c r="AI16" s="290">
        <f t="shared" si="4"/>
        <v>-202835.496110432</v>
      </c>
      <c r="AJ16" s="1323">
        <f t="shared" si="5"/>
        <v>-507.08874027607999</v>
      </c>
      <c r="AK16" s="1324">
        <f t="shared" si="6"/>
        <v>-219.75676718356664</v>
      </c>
      <c r="AL16" s="1287">
        <f t="shared" si="7"/>
        <v>0</v>
      </c>
      <c r="AM16" s="1288">
        <f t="shared" si="8"/>
        <v>-219.75676718356664</v>
      </c>
    </row>
    <row r="17" spans="1:39" x14ac:dyDescent="0.2">
      <c r="B17" s="401">
        <f t="shared" si="0"/>
        <v>2.7499999999999996</v>
      </c>
      <c r="C17" s="923">
        <f>IF(Input!$E$52&gt;0,AI17,0)</f>
        <v>0</v>
      </c>
      <c r="D17" s="399">
        <f t="shared" si="9"/>
        <v>0</v>
      </c>
      <c r="E17" s="400">
        <f t="shared" si="10"/>
        <v>0</v>
      </c>
      <c r="F17" s="1335">
        <f t="shared" si="11"/>
        <v>0</v>
      </c>
      <c r="G17" s="28"/>
      <c r="H17" s="28"/>
      <c r="I17" s="28"/>
      <c r="J17" s="28"/>
      <c r="K17" s="28"/>
      <c r="W17" s="282">
        <f>Input!$E$52</f>
        <v>0</v>
      </c>
      <c r="X17" s="282">
        <f>Input!$E$57</f>
        <v>851</v>
      </c>
      <c r="Y17" s="70">
        <f>Input!$E$24</f>
        <v>72</v>
      </c>
      <c r="AA17" s="27">
        <f t="shared" si="12"/>
        <v>8</v>
      </c>
      <c r="AB17" s="1318">
        <f t="shared" si="1"/>
        <v>0</v>
      </c>
      <c r="AC17" s="1312">
        <v>0</v>
      </c>
      <c r="AD17" s="1313">
        <f>Income_Expense!$D$10+Income_Expense!$D$11+Income_Expense!$D$12+Income_Expense!$D$13</f>
        <v>14265</v>
      </c>
      <c r="AE17" s="1314">
        <f t="shared" si="2"/>
        <v>14265</v>
      </c>
      <c r="AF17" s="321">
        <f>Income_Expense!$D$31</f>
        <v>203604.66277709865</v>
      </c>
      <c r="AG17" s="322">
        <f>Income_Expense!$D$34</f>
        <v>13495.833333333334</v>
      </c>
      <c r="AH17" s="323">
        <f t="shared" si="3"/>
        <v>217100.496110432</v>
      </c>
      <c r="AI17" s="290">
        <f t="shared" si="4"/>
        <v>-202835.496110432</v>
      </c>
      <c r="AJ17" s="1323">
        <f t="shared" si="5"/>
        <v>-507.08874027607999</v>
      </c>
      <c r="AK17" s="1324">
        <f t="shared" si="6"/>
        <v>-219.75676718356664</v>
      </c>
      <c r="AL17" s="1287">
        <f t="shared" si="7"/>
        <v>0</v>
      </c>
      <c r="AM17" s="1288">
        <f t="shared" si="8"/>
        <v>-219.75676718356664</v>
      </c>
    </row>
    <row r="18" spans="1:39" x14ac:dyDescent="0.2">
      <c r="B18" s="401">
        <f t="shared" si="0"/>
        <v>2.6999999999999997</v>
      </c>
      <c r="C18" s="923">
        <f>IF(Input!$E$52&gt;0,AI18,0)</f>
        <v>0</v>
      </c>
      <c r="D18" s="399">
        <f t="shared" si="9"/>
        <v>0</v>
      </c>
      <c r="E18" s="400">
        <f t="shared" si="10"/>
        <v>0</v>
      </c>
      <c r="F18" s="1335">
        <f t="shared" si="11"/>
        <v>0</v>
      </c>
      <c r="G18" s="28"/>
      <c r="H18" s="28"/>
      <c r="I18" s="28"/>
      <c r="J18" s="28"/>
      <c r="K18" s="28"/>
      <c r="W18" s="282">
        <f>Input!$E$52</f>
        <v>0</v>
      </c>
      <c r="X18" s="282">
        <f>Input!$E$57</f>
        <v>851</v>
      </c>
      <c r="Y18" s="70">
        <f>Input!$E$24</f>
        <v>72</v>
      </c>
      <c r="AA18" s="27">
        <f t="shared" si="12"/>
        <v>9</v>
      </c>
      <c r="AB18" s="1318">
        <f t="shared" si="1"/>
        <v>0</v>
      </c>
      <c r="AC18" s="1312">
        <v>0</v>
      </c>
      <c r="AD18" s="1313">
        <f>Income_Expense!$D$10+Income_Expense!$D$11+Income_Expense!$D$12+Income_Expense!$D$13</f>
        <v>14265</v>
      </c>
      <c r="AE18" s="1314">
        <f t="shared" si="2"/>
        <v>14265</v>
      </c>
      <c r="AF18" s="321">
        <f>Income_Expense!$D$31</f>
        <v>203604.66277709865</v>
      </c>
      <c r="AG18" s="322">
        <f>Income_Expense!$D$34</f>
        <v>13495.833333333334</v>
      </c>
      <c r="AH18" s="323">
        <f t="shared" si="3"/>
        <v>217100.496110432</v>
      </c>
      <c r="AI18" s="290">
        <f t="shared" si="4"/>
        <v>-202835.496110432</v>
      </c>
      <c r="AJ18" s="1323">
        <f t="shared" si="5"/>
        <v>-507.08874027607999</v>
      </c>
      <c r="AK18" s="1324">
        <f t="shared" si="6"/>
        <v>-219.75676718356664</v>
      </c>
      <c r="AL18" s="1287">
        <f t="shared" si="7"/>
        <v>0</v>
      </c>
      <c r="AM18" s="1288">
        <f t="shared" si="8"/>
        <v>-219.75676718356664</v>
      </c>
    </row>
    <row r="19" spans="1:39" x14ac:dyDescent="0.2">
      <c r="A19" s="65" t="s">
        <v>950</v>
      </c>
      <c r="B19" s="401">
        <f t="shared" si="0"/>
        <v>2.65</v>
      </c>
      <c r="C19" s="923">
        <f>IF(Input!$E$52&gt;0,AI19,0)</f>
        <v>0</v>
      </c>
      <c r="D19" s="399">
        <f t="shared" si="9"/>
        <v>0</v>
      </c>
      <c r="E19" s="400">
        <f t="shared" si="10"/>
        <v>0</v>
      </c>
      <c r="F19" s="1335">
        <f t="shared" si="11"/>
        <v>0</v>
      </c>
      <c r="G19" s="28"/>
      <c r="H19" s="28"/>
      <c r="I19" s="28"/>
      <c r="J19" s="28"/>
      <c r="K19" s="28"/>
      <c r="W19" s="282">
        <f>Input!$E$52</f>
        <v>0</v>
      </c>
      <c r="X19" s="282">
        <f>Input!$E$57</f>
        <v>851</v>
      </c>
      <c r="Y19" s="70">
        <f>Input!$E$24</f>
        <v>72</v>
      </c>
      <c r="AA19" s="27">
        <f t="shared" si="12"/>
        <v>10</v>
      </c>
      <c r="AB19" s="1318">
        <f t="shared" si="1"/>
        <v>0</v>
      </c>
      <c r="AC19" s="1312">
        <v>0</v>
      </c>
      <c r="AD19" s="1313">
        <f>Income_Expense!$D$10+Income_Expense!$D$11+Income_Expense!$D$12+Income_Expense!$D$13</f>
        <v>14265</v>
      </c>
      <c r="AE19" s="1314">
        <f t="shared" si="2"/>
        <v>14265</v>
      </c>
      <c r="AF19" s="321">
        <f>Income_Expense!$D$31</f>
        <v>203604.66277709865</v>
      </c>
      <c r="AG19" s="322">
        <f>Income_Expense!$D$34</f>
        <v>13495.833333333334</v>
      </c>
      <c r="AH19" s="323">
        <f t="shared" si="3"/>
        <v>217100.496110432</v>
      </c>
      <c r="AI19" s="290">
        <f t="shared" si="4"/>
        <v>-202835.496110432</v>
      </c>
      <c r="AJ19" s="1323">
        <f t="shared" si="5"/>
        <v>-507.08874027607999</v>
      </c>
      <c r="AK19" s="1324">
        <f t="shared" si="6"/>
        <v>-219.75676718356664</v>
      </c>
      <c r="AL19" s="1287">
        <f t="shared" si="7"/>
        <v>0</v>
      </c>
      <c r="AM19" s="1288">
        <f t="shared" si="8"/>
        <v>-219.75676718356664</v>
      </c>
    </row>
    <row r="20" spans="1:39" x14ac:dyDescent="0.2">
      <c r="A20" s="65" t="s">
        <v>652</v>
      </c>
      <c r="B20" s="402">
        <f>Input!$E$53</f>
        <v>2.6</v>
      </c>
      <c r="C20" s="924">
        <f>IF(Input!$E$52&gt;0,AI20,0)</f>
        <v>0</v>
      </c>
      <c r="D20" s="1333">
        <f t="shared" si="9"/>
        <v>0</v>
      </c>
      <c r="E20" s="1293">
        <f t="shared" si="10"/>
        <v>0</v>
      </c>
      <c r="F20" s="1302">
        <f t="shared" si="11"/>
        <v>0</v>
      </c>
      <c r="G20" s="28"/>
      <c r="H20" s="28"/>
      <c r="I20" s="28"/>
      <c r="J20" s="28"/>
      <c r="K20" s="28"/>
      <c r="W20" s="296">
        <f>Input!$E$52</f>
        <v>0</v>
      </c>
      <c r="X20" s="296">
        <f>Input!$E$57</f>
        <v>851</v>
      </c>
      <c r="Y20" s="296">
        <f>Input!$E$24</f>
        <v>72</v>
      </c>
      <c r="Z20" s="65" t="s">
        <v>636</v>
      </c>
      <c r="AA20" s="65">
        <f t="shared" si="12"/>
        <v>11</v>
      </c>
      <c r="AB20" s="1320">
        <f t="shared" si="1"/>
        <v>0</v>
      </c>
      <c r="AC20" s="1312">
        <v>0</v>
      </c>
      <c r="AD20" s="1319">
        <f>Income_Expense!$D$10+Income_Expense!$D$11+Income_Expense!$D$12+Income_Expense!$D$13</f>
        <v>14265</v>
      </c>
      <c r="AE20" s="1314">
        <f t="shared" si="2"/>
        <v>14265</v>
      </c>
      <c r="AF20" s="284">
        <f>Income_Expense!$D$31</f>
        <v>203604.66277709865</v>
      </c>
      <c r="AG20" s="325">
        <f>Income_Expense!$D$34</f>
        <v>13495.833333333334</v>
      </c>
      <c r="AH20" s="323">
        <f t="shared" si="3"/>
        <v>217100.496110432</v>
      </c>
      <c r="AI20" s="284">
        <f t="shared" si="4"/>
        <v>-202835.496110432</v>
      </c>
      <c r="AJ20" s="1325">
        <f t="shared" si="5"/>
        <v>-507.08874027607999</v>
      </c>
      <c r="AK20" s="1326">
        <f t="shared" si="6"/>
        <v>-219.75676718356664</v>
      </c>
      <c r="AL20" s="1289">
        <f t="shared" si="7"/>
        <v>0</v>
      </c>
      <c r="AM20" s="1290">
        <f t="shared" si="8"/>
        <v>-219.75676718356664</v>
      </c>
    </row>
    <row r="21" spans="1:39" x14ac:dyDescent="0.2">
      <c r="B21" s="401">
        <f>B20-0.05</f>
        <v>2.5500000000000003</v>
      </c>
      <c r="C21" s="923">
        <f>IF(Input!$E$52&gt;0,AI21,0)</f>
        <v>0</v>
      </c>
      <c r="D21" s="399">
        <f t="shared" si="9"/>
        <v>0</v>
      </c>
      <c r="E21" s="400">
        <f t="shared" si="10"/>
        <v>0</v>
      </c>
      <c r="F21" s="1335">
        <f t="shared" si="11"/>
        <v>0</v>
      </c>
      <c r="G21" s="28"/>
      <c r="H21" s="28"/>
      <c r="I21" s="28"/>
      <c r="J21" s="28"/>
      <c r="K21" s="28"/>
      <c r="W21" s="282">
        <f>Input!$E$52</f>
        <v>0</v>
      </c>
      <c r="X21" s="282">
        <f>Input!$E$57</f>
        <v>851</v>
      </c>
      <c r="Y21" s="70">
        <f>Input!$E$24</f>
        <v>72</v>
      </c>
      <c r="AA21" s="27">
        <f t="shared" si="12"/>
        <v>12</v>
      </c>
      <c r="AB21" s="1318">
        <f t="shared" si="1"/>
        <v>0</v>
      </c>
      <c r="AC21" s="1312">
        <v>0</v>
      </c>
      <c r="AD21" s="1313">
        <f>Income_Expense!$D$10+Income_Expense!$D$11+Income_Expense!$D$12+Income_Expense!$D$13</f>
        <v>14265</v>
      </c>
      <c r="AE21" s="1314">
        <f t="shared" si="2"/>
        <v>14265</v>
      </c>
      <c r="AF21" s="321">
        <f>Income_Expense!$D$31</f>
        <v>203604.66277709865</v>
      </c>
      <c r="AG21" s="322">
        <f>Income_Expense!$D$34</f>
        <v>13495.833333333334</v>
      </c>
      <c r="AH21" s="323">
        <f t="shared" si="3"/>
        <v>217100.496110432</v>
      </c>
      <c r="AI21" s="290">
        <f t="shared" si="4"/>
        <v>-202835.496110432</v>
      </c>
      <c r="AJ21" s="1323">
        <f t="shared" si="5"/>
        <v>-507.08874027607999</v>
      </c>
      <c r="AK21" s="1324">
        <f t="shared" si="6"/>
        <v>-219.75676718356664</v>
      </c>
      <c r="AL21" s="1287">
        <f t="shared" si="7"/>
        <v>0</v>
      </c>
      <c r="AM21" s="1288">
        <f t="shared" si="8"/>
        <v>-219.75676718356664</v>
      </c>
    </row>
    <row r="22" spans="1:39" x14ac:dyDescent="0.2">
      <c r="B22" s="401">
        <f t="shared" ref="B22:B30" si="13">B21-0.05</f>
        <v>2.5000000000000004</v>
      </c>
      <c r="C22" s="923">
        <f>IF(Input!$E$52&gt;0,AI22,0)</f>
        <v>0</v>
      </c>
      <c r="D22" s="399">
        <f t="shared" si="9"/>
        <v>0</v>
      </c>
      <c r="E22" s="400">
        <f t="shared" si="10"/>
        <v>0</v>
      </c>
      <c r="F22" s="1335">
        <f t="shared" si="11"/>
        <v>0</v>
      </c>
      <c r="G22" s="28"/>
      <c r="H22" s="28"/>
      <c r="I22" s="28"/>
      <c r="J22" s="28"/>
      <c r="K22" s="28"/>
      <c r="W22" s="282">
        <f>Input!$E$52</f>
        <v>0</v>
      </c>
      <c r="X22" s="282">
        <f>Input!$E$57</f>
        <v>851</v>
      </c>
      <c r="Y22" s="70">
        <f>Input!$E$24</f>
        <v>72</v>
      </c>
      <c r="AA22" s="27">
        <f t="shared" si="12"/>
        <v>13</v>
      </c>
      <c r="AB22" s="1318">
        <f t="shared" si="1"/>
        <v>0</v>
      </c>
      <c r="AC22" s="1312">
        <v>0</v>
      </c>
      <c r="AD22" s="1313">
        <f>Income_Expense!$D$10+Income_Expense!$D$11+Income_Expense!$D$12+Income_Expense!$D$13</f>
        <v>14265</v>
      </c>
      <c r="AE22" s="1314">
        <f t="shared" si="2"/>
        <v>14265</v>
      </c>
      <c r="AF22" s="321">
        <f>Income_Expense!$D$31</f>
        <v>203604.66277709865</v>
      </c>
      <c r="AG22" s="322">
        <f>Income_Expense!$D$34</f>
        <v>13495.833333333334</v>
      </c>
      <c r="AH22" s="323">
        <f t="shared" si="3"/>
        <v>217100.496110432</v>
      </c>
      <c r="AI22" s="290">
        <f t="shared" si="4"/>
        <v>-202835.496110432</v>
      </c>
      <c r="AJ22" s="1323">
        <f t="shared" si="5"/>
        <v>-507.08874027607999</v>
      </c>
      <c r="AK22" s="1324">
        <f t="shared" si="6"/>
        <v>-219.75676718356664</v>
      </c>
      <c r="AL22" s="1287">
        <f t="shared" si="7"/>
        <v>0</v>
      </c>
      <c r="AM22" s="1288">
        <f t="shared" si="8"/>
        <v>-219.75676718356664</v>
      </c>
    </row>
    <row r="23" spans="1:39" x14ac:dyDescent="0.2">
      <c r="B23" s="401">
        <f t="shared" si="13"/>
        <v>2.4500000000000006</v>
      </c>
      <c r="C23" s="923">
        <f>IF(Input!$E$52&gt;0,AI23,0)</f>
        <v>0</v>
      </c>
      <c r="D23" s="399">
        <f t="shared" si="9"/>
        <v>0</v>
      </c>
      <c r="E23" s="400">
        <f t="shared" si="10"/>
        <v>0</v>
      </c>
      <c r="F23" s="1335">
        <f t="shared" si="11"/>
        <v>0</v>
      </c>
      <c r="G23" s="28"/>
      <c r="H23" s="28"/>
      <c r="I23" s="28"/>
      <c r="J23" s="28"/>
      <c r="K23" s="28"/>
      <c r="W23" s="282">
        <f>Input!$E$52</f>
        <v>0</v>
      </c>
      <c r="X23" s="282">
        <f>Input!$E$57</f>
        <v>851</v>
      </c>
      <c r="Y23" s="70">
        <f>Input!$E$24</f>
        <v>72</v>
      </c>
      <c r="AA23" s="27">
        <f t="shared" si="12"/>
        <v>14</v>
      </c>
      <c r="AB23" s="1318">
        <f t="shared" si="1"/>
        <v>0</v>
      </c>
      <c r="AC23" s="1312">
        <v>0</v>
      </c>
      <c r="AD23" s="1313">
        <f>Income_Expense!$D$10+Income_Expense!$D$11+Income_Expense!$D$12+Income_Expense!$D$13</f>
        <v>14265</v>
      </c>
      <c r="AE23" s="1314">
        <f t="shared" si="2"/>
        <v>14265</v>
      </c>
      <c r="AF23" s="321">
        <f>Income_Expense!$D$31</f>
        <v>203604.66277709865</v>
      </c>
      <c r="AG23" s="322">
        <f>Income_Expense!$D$34</f>
        <v>13495.833333333334</v>
      </c>
      <c r="AH23" s="323">
        <f t="shared" si="3"/>
        <v>217100.496110432</v>
      </c>
      <c r="AI23" s="290">
        <f t="shared" si="4"/>
        <v>-202835.496110432</v>
      </c>
      <c r="AJ23" s="1323">
        <f t="shared" si="5"/>
        <v>-507.08874027607999</v>
      </c>
      <c r="AK23" s="1324">
        <f t="shared" si="6"/>
        <v>-219.75676718356664</v>
      </c>
      <c r="AL23" s="1287">
        <f t="shared" si="7"/>
        <v>0</v>
      </c>
      <c r="AM23" s="1288">
        <f t="shared" si="8"/>
        <v>-219.75676718356664</v>
      </c>
    </row>
    <row r="24" spans="1:39" x14ac:dyDescent="0.2">
      <c r="B24" s="401">
        <f t="shared" si="13"/>
        <v>2.4000000000000008</v>
      </c>
      <c r="C24" s="923">
        <f>IF(Input!$E$52&gt;0,AI24,0)</f>
        <v>0</v>
      </c>
      <c r="D24" s="399">
        <f t="shared" si="9"/>
        <v>0</v>
      </c>
      <c r="E24" s="400">
        <f t="shared" si="10"/>
        <v>0</v>
      </c>
      <c r="F24" s="1335">
        <f t="shared" si="11"/>
        <v>0</v>
      </c>
      <c r="G24" s="28"/>
      <c r="H24" s="28"/>
      <c r="I24" s="28"/>
      <c r="J24" s="28"/>
      <c r="K24" s="28"/>
      <c r="W24" s="282">
        <f>Input!$E$52</f>
        <v>0</v>
      </c>
      <c r="X24" s="282">
        <f>Input!$E$57</f>
        <v>851</v>
      </c>
      <c r="Y24" s="70">
        <f>Input!$E$24</f>
        <v>72</v>
      </c>
      <c r="AA24" s="27">
        <f t="shared" si="12"/>
        <v>15</v>
      </c>
      <c r="AB24" s="1318">
        <f t="shared" si="1"/>
        <v>0</v>
      </c>
      <c r="AC24" s="1312">
        <v>0</v>
      </c>
      <c r="AD24" s="1313">
        <f>Income_Expense!$D$10+Income_Expense!$D$11+Income_Expense!$D$12+Income_Expense!$D$13</f>
        <v>14265</v>
      </c>
      <c r="AE24" s="1314">
        <f t="shared" si="2"/>
        <v>14265</v>
      </c>
      <c r="AF24" s="321">
        <f>Income_Expense!$D$31</f>
        <v>203604.66277709865</v>
      </c>
      <c r="AG24" s="322">
        <f>Income_Expense!$D$34</f>
        <v>13495.833333333334</v>
      </c>
      <c r="AH24" s="323">
        <f t="shared" si="3"/>
        <v>217100.496110432</v>
      </c>
      <c r="AI24" s="290">
        <f t="shared" si="4"/>
        <v>-202835.496110432</v>
      </c>
      <c r="AJ24" s="1323">
        <f t="shared" si="5"/>
        <v>-507.08874027607999</v>
      </c>
      <c r="AK24" s="1324">
        <f t="shared" si="6"/>
        <v>-219.75676718356664</v>
      </c>
      <c r="AL24" s="1287">
        <f t="shared" si="7"/>
        <v>0</v>
      </c>
      <c r="AM24" s="1288">
        <f t="shared" si="8"/>
        <v>-219.75676718356664</v>
      </c>
    </row>
    <row r="25" spans="1:39" x14ac:dyDescent="0.2">
      <c r="B25" s="401">
        <f t="shared" si="13"/>
        <v>2.350000000000001</v>
      </c>
      <c r="C25" s="923">
        <f>IF(Input!$E$52&gt;0,AI25,0)</f>
        <v>0</v>
      </c>
      <c r="D25" s="399">
        <f t="shared" si="9"/>
        <v>0</v>
      </c>
      <c r="E25" s="400">
        <f t="shared" si="10"/>
        <v>0</v>
      </c>
      <c r="F25" s="1335">
        <f t="shared" si="11"/>
        <v>0</v>
      </c>
      <c r="G25" s="28"/>
      <c r="H25" s="28"/>
      <c r="I25" s="28"/>
      <c r="J25" s="28"/>
      <c r="K25" s="28"/>
      <c r="W25" s="282">
        <f>Input!$E$52</f>
        <v>0</v>
      </c>
      <c r="X25" s="282">
        <f>Input!$E$57</f>
        <v>851</v>
      </c>
      <c r="Y25" s="70">
        <f>Input!$E$24</f>
        <v>72</v>
      </c>
      <c r="AA25" s="27">
        <f t="shared" si="12"/>
        <v>16</v>
      </c>
      <c r="AB25" s="1318">
        <f t="shared" si="1"/>
        <v>0</v>
      </c>
      <c r="AC25" s="1312">
        <v>0</v>
      </c>
      <c r="AD25" s="1313">
        <f>Income_Expense!$D$10+Income_Expense!$D$11+Income_Expense!$D$12+Income_Expense!$D$13</f>
        <v>14265</v>
      </c>
      <c r="AE25" s="1314">
        <f t="shared" si="2"/>
        <v>14265</v>
      </c>
      <c r="AF25" s="321">
        <f>Income_Expense!$D$31</f>
        <v>203604.66277709865</v>
      </c>
      <c r="AG25" s="322">
        <f>Income_Expense!$D$34</f>
        <v>13495.833333333334</v>
      </c>
      <c r="AH25" s="323">
        <f t="shared" si="3"/>
        <v>217100.496110432</v>
      </c>
      <c r="AI25" s="290">
        <f t="shared" si="4"/>
        <v>-202835.496110432</v>
      </c>
      <c r="AJ25" s="1323">
        <f t="shared" si="5"/>
        <v>-507.08874027607999</v>
      </c>
      <c r="AK25" s="1324">
        <f t="shared" si="6"/>
        <v>-219.75676718356664</v>
      </c>
      <c r="AL25" s="1287">
        <f t="shared" si="7"/>
        <v>0</v>
      </c>
      <c r="AM25" s="1288">
        <f t="shared" si="8"/>
        <v>-219.75676718356664</v>
      </c>
    </row>
    <row r="26" spans="1:39" x14ac:dyDescent="0.2">
      <c r="B26" s="401">
        <f t="shared" si="13"/>
        <v>2.3000000000000012</v>
      </c>
      <c r="C26" s="923">
        <f>IF(Input!$E$52&gt;0,AI26,0)</f>
        <v>0</v>
      </c>
      <c r="D26" s="399">
        <f t="shared" si="9"/>
        <v>0</v>
      </c>
      <c r="E26" s="400">
        <f t="shared" si="10"/>
        <v>0</v>
      </c>
      <c r="F26" s="1335">
        <f t="shared" si="11"/>
        <v>0</v>
      </c>
      <c r="G26" s="28"/>
      <c r="H26" s="28"/>
      <c r="I26" s="28"/>
      <c r="J26" s="28"/>
      <c r="K26" s="28"/>
      <c r="W26" s="282">
        <f>Input!$E$52</f>
        <v>0</v>
      </c>
      <c r="X26" s="282">
        <f>Input!$E$57</f>
        <v>851</v>
      </c>
      <c r="Y26" s="70">
        <f>Input!$E$24</f>
        <v>72</v>
      </c>
      <c r="AA26" s="27">
        <f t="shared" si="12"/>
        <v>17</v>
      </c>
      <c r="AB26" s="1318">
        <f t="shared" si="1"/>
        <v>0</v>
      </c>
      <c r="AC26" s="1312">
        <v>0</v>
      </c>
      <c r="AD26" s="1313">
        <f>Income_Expense!$D$10+Income_Expense!$D$11+Income_Expense!$D$12+Income_Expense!$D$13</f>
        <v>14265</v>
      </c>
      <c r="AE26" s="1314">
        <f t="shared" si="2"/>
        <v>14265</v>
      </c>
      <c r="AF26" s="321">
        <f>Income_Expense!$D$31</f>
        <v>203604.66277709865</v>
      </c>
      <c r="AG26" s="322">
        <f>Income_Expense!$D$34</f>
        <v>13495.833333333334</v>
      </c>
      <c r="AH26" s="323">
        <f t="shared" si="3"/>
        <v>217100.496110432</v>
      </c>
      <c r="AI26" s="290">
        <f t="shared" si="4"/>
        <v>-202835.496110432</v>
      </c>
      <c r="AJ26" s="1323">
        <f t="shared" si="5"/>
        <v>-507.08874027607999</v>
      </c>
      <c r="AK26" s="1324">
        <f t="shared" si="6"/>
        <v>-219.75676718356664</v>
      </c>
      <c r="AL26" s="1287">
        <f t="shared" si="7"/>
        <v>0</v>
      </c>
      <c r="AM26" s="1288">
        <f t="shared" si="8"/>
        <v>-219.75676718356664</v>
      </c>
    </row>
    <row r="27" spans="1:39" x14ac:dyDescent="0.2">
      <c r="B27" s="401">
        <f t="shared" si="13"/>
        <v>2.2500000000000013</v>
      </c>
      <c r="C27" s="923">
        <f>IF(Input!$E$52&gt;0,AI27,0)</f>
        <v>0</v>
      </c>
      <c r="D27" s="399">
        <f t="shared" si="9"/>
        <v>0</v>
      </c>
      <c r="E27" s="400">
        <f t="shared" si="10"/>
        <v>0</v>
      </c>
      <c r="F27" s="1335">
        <f t="shared" si="11"/>
        <v>0</v>
      </c>
      <c r="G27" s="28"/>
      <c r="H27" s="28"/>
      <c r="I27" s="28"/>
      <c r="J27" s="28"/>
      <c r="K27" s="28"/>
      <c r="W27" s="282">
        <f>Input!$E$52</f>
        <v>0</v>
      </c>
      <c r="X27" s="282">
        <f>Input!$E$57</f>
        <v>851</v>
      </c>
      <c r="Y27" s="70">
        <f>Input!$E$24</f>
        <v>72</v>
      </c>
      <c r="AA27" s="27">
        <f t="shared" si="12"/>
        <v>18</v>
      </c>
      <c r="AB27" s="1318">
        <f t="shared" si="1"/>
        <v>0</v>
      </c>
      <c r="AC27" s="1312">
        <v>0</v>
      </c>
      <c r="AD27" s="1313">
        <f>Income_Expense!$D$10+Income_Expense!$D$11+Income_Expense!$D$12+Income_Expense!$D$13</f>
        <v>14265</v>
      </c>
      <c r="AE27" s="1314">
        <f t="shared" si="2"/>
        <v>14265</v>
      </c>
      <c r="AF27" s="321">
        <f>Income_Expense!$D$31</f>
        <v>203604.66277709865</v>
      </c>
      <c r="AG27" s="322">
        <f>Income_Expense!$D$34</f>
        <v>13495.833333333334</v>
      </c>
      <c r="AH27" s="323">
        <f t="shared" si="3"/>
        <v>217100.496110432</v>
      </c>
      <c r="AI27" s="290">
        <f t="shared" si="4"/>
        <v>-202835.496110432</v>
      </c>
      <c r="AJ27" s="1323">
        <f t="shared" si="5"/>
        <v>-507.08874027607999</v>
      </c>
      <c r="AK27" s="1324">
        <f t="shared" si="6"/>
        <v>-219.75676718356664</v>
      </c>
      <c r="AL27" s="1287">
        <f t="shared" si="7"/>
        <v>0</v>
      </c>
      <c r="AM27" s="1288">
        <f t="shared" si="8"/>
        <v>-219.75676718356664</v>
      </c>
    </row>
    <row r="28" spans="1:39" x14ac:dyDescent="0.2">
      <c r="B28" s="401">
        <f t="shared" si="13"/>
        <v>2.2000000000000015</v>
      </c>
      <c r="C28" s="923">
        <f>IF(Input!$E$52&gt;0,AI28,0)</f>
        <v>0</v>
      </c>
      <c r="D28" s="399">
        <f t="shared" si="9"/>
        <v>0</v>
      </c>
      <c r="E28" s="400">
        <f t="shared" si="10"/>
        <v>0</v>
      </c>
      <c r="F28" s="1335">
        <f t="shared" si="11"/>
        <v>0</v>
      </c>
      <c r="G28" s="28"/>
      <c r="H28" s="28"/>
      <c r="I28" s="28"/>
      <c r="J28" s="28"/>
      <c r="K28" s="28"/>
      <c r="W28" s="282">
        <f>Input!$E$52</f>
        <v>0</v>
      </c>
      <c r="X28" s="282">
        <f>Input!$E$57</f>
        <v>851</v>
      </c>
      <c r="Y28" s="70">
        <f>Input!$E$24</f>
        <v>72</v>
      </c>
      <c r="AA28" s="27">
        <f t="shared" si="12"/>
        <v>19</v>
      </c>
      <c r="AB28" s="1318">
        <f t="shared" si="1"/>
        <v>0</v>
      </c>
      <c r="AC28" s="1312">
        <v>0</v>
      </c>
      <c r="AD28" s="1313">
        <f>Income_Expense!$D$10+Income_Expense!$D$11+Income_Expense!$D$12+Income_Expense!$D$13</f>
        <v>14265</v>
      </c>
      <c r="AE28" s="1314">
        <f t="shared" si="2"/>
        <v>14265</v>
      </c>
      <c r="AF28" s="321">
        <f>Income_Expense!$D$31</f>
        <v>203604.66277709865</v>
      </c>
      <c r="AG28" s="322">
        <f>Income_Expense!$D$34</f>
        <v>13495.833333333334</v>
      </c>
      <c r="AH28" s="323">
        <f t="shared" si="3"/>
        <v>217100.496110432</v>
      </c>
      <c r="AI28" s="290">
        <f t="shared" si="4"/>
        <v>-202835.496110432</v>
      </c>
      <c r="AJ28" s="1323">
        <f t="shared" si="5"/>
        <v>-507.08874027607999</v>
      </c>
      <c r="AK28" s="1324">
        <f t="shared" si="6"/>
        <v>-219.75676718356664</v>
      </c>
      <c r="AL28" s="1287">
        <f t="shared" si="7"/>
        <v>0</v>
      </c>
      <c r="AM28" s="1288">
        <f t="shared" si="8"/>
        <v>-219.75676718356664</v>
      </c>
    </row>
    <row r="29" spans="1:39" x14ac:dyDescent="0.2">
      <c r="B29" s="401">
        <f t="shared" si="13"/>
        <v>2.1500000000000017</v>
      </c>
      <c r="C29" s="923">
        <f>IF(Input!$E$52&gt;0,AI29,0)</f>
        <v>0</v>
      </c>
      <c r="D29" s="399">
        <f t="shared" si="9"/>
        <v>0</v>
      </c>
      <c r="E29" s="400">
        <f t="shared" si="10"/>
        <v>0</v>
      </c>
      <c r="F29" s="1335">
        <f t="shared" si="11"/>
        <v>0</v>
      </c>
      <c r="G29" s="28"/>
      <c r="H29" s="28"/>
      <c r="I29" s="28"/>
      <c r="J29" s="28"/>
      <c r="K29" s="28"/>
      <c r="W29" s="282">
        <f>Input!$E$52</f>
        <v>0</v>
      </c>
      <c r="X29" s="282">
        <f>Input!$E$57</f>
        <v>851</v>
      </c>
      <c r="Y29" s="70">
        <f>Input!$E$24</f>
        <v>72</v>
      </c>
      <c r="AA29" s="27">
        <f t="shared" si="12"/>
        <v>20</v>
      </c>
      <c r="AB29" s="1318">
        <f t="shared" si="1"/>
        <v>0</v>
      </c>
      <c r="AC29" s="1312">
        <v>0</v>
      </c>
      <c r="AD29" s="1313">
        <f>Income_Expense!$D$10+Income_Expense!$D$11+Income_Expense!$D$12+Income_Expense!$D$13</f>
        <v>14265</v>
      </c>
      <c r="AE29" s="1314">
        <f t="shared" si="2"/>
        <v>14265</v>
      </c>
      <c r="AF29" s="321">
        <f>Income_Expense!$D$31</f>
        <v>203604.66277709865</v>
      </c>
      <c r="AG29" s="322">
        <f>Income_Expense!$D$34</f>
        <v>13495.833333333334</v>
      </c>
      <c r="AH29" s="323">
        <f t="shared" si="3"/>
        <v>217100.496110432</v>
      </c>
      <c r="AI29" s="290">
        <f t="shared" si="4"/>
        <v>-202835.496110432</v>
      </c>
      <c r="AJ29" s="1323">
        <f t="shared" si="5"/>
        <v>-507.08874027607999</v>
      </c>
      <c r="AK29" s="1324">
        <f t="shared" si="6"/>
        <v>-219.75676718356664</v>
      </c>
      <c r="AL29" s="1287">
        <f t="shared" si="7"/>
        <v>0</v>
      </c>
      <c r="AM29" s="1288">
        <f t="shared" si="8"/>
        <v>-219.75676718356664</v>
      </c>
    </row>
    <row r="30" spans="1:39" ht="13.5" thickBot="1" x14ac:dyDescent="0.25">
      <c r="B30" s="1303">
        <f t="shared" si="13"/>
        <v>2.1000000000000019</v>
      </c>
      <c r="C30" s="1306">
        <f>IF(Input!$E$52&gt;0,AI30,0)</f>
        <v>0</v>
      </c>
      <c r="D30" s="1336">
        <f t="shared" si="9"/>
        <v>0</v>
      </c>
      <c r="E30" s="1328">
        <f t="shared" si="10"/>
        <v>0</v>
      </c>
      <c r="F30" s="1295">
        <f t="shared" si="11"/>
        <v>0</v>
      </c>
      <c r="G30" s="28"/>
      <c r="H30" s="28"/>
      <c r="I30" s="28"/>
      <c r="J30" s="28"/>
      <c r="K30" s="28"/>
      <c r="V30" s="27" t="s">
        <v>790</v>
      </c>
      <c r="W30" s="282">
        <f>Input!$E$52</f>
        <v>0</v>
      </c>
      <c r="X30" s="282">
        <f>Input!$E$57</f>
        <v>851</v>
      </c>
      <c r="Y30" s="70">
        <f>Input!$E$24</f>
        <v>72</v>
      </c>
      <c r="AA30" s="27">
        <f t="shared" si="12"/>
        <v>21</v>
      </c>
      <c r="AB30" s="307">
        <f t="shared" si="1"/>
        <v>0</v>
      </c>
      <c r="AC30" s="1315">
        <f>(B27/$B$49)*$X$60*$X$61*X30</f>
        <v>229770.00000000015</v>
      </c>
      <c r="AD30" s="1316">
        <f>Income_Expense!$D$10+Income_Expense!$D$11+Income_Expense!$D$12+Income_Expense!$D$13</f>
        <v>14265</v>
      </c>
      <c r="AE30" s="1317">
        <f t="shared" si="2"/>
        <v>244035.00000000015</v>
      </c>
      <c r="AF30" s="307">
        <f>Income_Expense!$D$31</f>
        <v>203604.66277709865</v>
      </c>
      <c r="AG30" s="308">
        <f>Income_Expense!$D$34</f>
        <v>13495.833333333334</v>
      </c>
      <c r="AH30" s="313">
        <f t="shared" si="3"/>
        <v>217100.496110432</v>
      </c>
      <c r="AI30" s="1322">
        <f t="shared" si="4"/>
        <v>26934.50388956815</v>
      </c>
      <c r="AJ30" s="1327">
        <f t="shared" si="5"/>
        <v>67.336259723920378</v>
      </c>
      <c r="AK30" s="1328">
        <f t="shared" si="6"/>
        <v>29.181477670171343</v>
      </c>
      <c r="AL30" s="1291">
        <f t="shared" si="7"/>
        <v>0</v>
      </c>
      <c r="AM30" s="1292">
        <f t="shared" si="8"/>
        <v>29.181477670171343</v>
      </c>
    </row>
    <row r="31" spans="1:39" x14ac:dyDescent="0.2">
      <c r="A31" s="28"/>
      <c r="B31" s="28"/>
      <c r="C31" s="28"/>
      <c r="D31" s="28"/>
      <c r="E31" s="28"/>
      <c r="F31" s="28"/>
      <c r="G31" s="28"/>
      <c r="H31" s="28"/>
      <c r="I31" s="28"/>
      <c r="J31" s="28"/>
      <c r="K31" s="28"/>
      <c r="V31" s="56" t="s">
        <v>629</v>
      </c>
      <c r="W31" s="833">
        <f>Input!$E$53</f>
        <v>2.6</v>
      </c>
      <c r="X31" s="833">
        <f>Input!$E$58</f>
        <v>2.2999999999999998</v>
      </c>
      <c r="Y31" s="833">
        <f>X31</f>
        <v>2.2999999999999998</v>
      </c>
      <c r="AJ31" s="757">
        <f>Income_Expense!$D$99</f>
        <v>400</v>
      </c>
      <c r="AK31" s="757">
        <f>Income_Expense!$D$158</f>
        <v>923</v>
      </c>
      <c r="AL31" s="506" t="s">
        <v>643</v>
      </c>
    </row>
    <row r="32" spans="1:39" x14ac:dyDescent="0.2">
      <c r="A32" s="28"/>
      <c r="B32" s="28"/>
      <c r="C32" s="28"/>
      <c r="D32" s="28"/>
      <c r="E32" s="28"/>
      <c r="F32" s="28"/>
      <c r="G32" s="28"/>
      <c r="H32" s="28"/>
      <c r="I32" s="28"/>
      <c r="J32" s="28"/>
      <c r="K32" s="28"/>
      <c r="V32" s="65" t="s">
        <v>630</v>
      </c>
      <c r="W32" s="1332">
        <f>Input!$E$51</f>
        <v>0</v>
      </c>
      <c r="X32" s="1332">
        <f>Input!$E$56</f>
        <v>120</v>
      </c>
      <c r="Y32" s="1332">
        <f>X32</f>
        <v>120</v>
      </c>
      <c r="AB32" s="30"/>
      <c r="AC32" s="30"/>
      <c r="AD32" s="30"/>
      <c r="AE32" s="30"/>
      <c r="AF32" s="30"/>
      <c r="AK32" s="757">
        <f>Income_Expense!$D$153</f>
        <v>851</v>
      </c>
      <c r="AL32" s="366" t="s">
        <v>939</v>
      </c>
    </row>
    <row r="33" spans="1:39" x14ac:dyDescent="0.2">
      <c r="A33" s="28"/>
      <c r="B33" s="28"/>
      <c r="C33" s="28"/>
      <c r="D33" s="28"/>
      <c r="E33" s="28"/>
      <c r="F33" s="28"/>
      <c r="G33" s="28"/>
      <c r="H33" s="28"/>
      <c r="I33" s="28"/>
      <c r="J33" s="28"/>
      <c r="K33" s="28"/>
    </row>
    <row r="34" spans="1:39" x14ac:dyDescent="0.2">
      <c r="A34" s="28"/>
      <c r="B34" s="28"/>
      <c r="C34" s="28"/>
      <c r="D34" s="28"/>
      <c r="E34" s="28"/>
      <c r="F34" s="28"/>
      <c r="G34" s="28"/>
      <c r="H34" s="28"/>
      <c r="I34" s="28"/>
      <c r="J34" s="28"/>
      <c r="K34" s="28"/>
    </row>
    <row r="35" spans="1:39" x14ac:dyDescent="0.2">
      <c r="A35" s="28"/>
      <c r="B35" s="28"/>
      <c r="C35" s="28"/>
      <c r="D35" s="28"/>
      <c r="E35" s="28"/>
      <c r="F35" s="28"/>
      <c r="G35" s="28"/>
      <c r="H35" s="28"/>
      <c r="I35" s="28"/>
      <c r="AL35" s="65" t="s">
        <v>950</v>
      </c>
    </row>
    <row r="36" spans="1:39" ht="15.75" thickBot="1" x14ac:dyDescent="0.3">
      <c r="B36" s="95" t="s">
        <v>951</v>
      </c>
      <c r="C36" s="95"/>
      <c r="D36" s="95"/>
      <c r="AL36" s="833">
        <f>Income_Expense!$D$43-Income_Expense!$D$41</f>
        <v>-2410.3490100774216</v>
      </c>
    </row>
    <row r="37" spans="1:39" x14ac:dyDescent="0.2">
      <c r="B37" s="278" t="s">
        <v>622</v>
      </c>
      <c r="C37" s="1206"/>
      <c r="D37" s="280" t="s">
        <v>619</v>
      </c>
      <c r="E37" s="1281"/>
      <c r="F37" s="1297" t="s">
        <v>955</v>
      </c>
      <c r="G37" s="29"/>
      <c r="W37" s="56" t="s">
        <v>635</v>
      </c>
      <c r="AA37" s="66"/>
      <c r="AB37" s="38"/>
      <c r="AC37" s="38"/>
      <c r="AD37" s="304"/>
      <c r="AE37" s="164" t="s">
        <v>174</v>
      </c>
      <c r="AF37" s="1"/>
      <c r="AG37" s="182" t="s">
        <v>653</v>
      </c>
      <c r="AH37" s="164" t="s">
        <v>654</v>
      </c>
      <c r="AI37" s="279"/>
      <c r="AJ37" s="280" t="s">
        <v>619</v>
      </c>
      <c r="AK37" s="315"/>
      <c r="AL37" s="1283" t="s">
        <v>952</v>
      </c>
      <c r="AM37" s="1220" t="s">
        <v>954</v>
      </c>
    </row>
    <row r="38" spans="1:39" ht="13.5" thickBot="1" x14ac:dyDescent="0.25">
      <c r="B38" s="281" t="s">
        <v>623</v>
      </c>
      <c r="C38" s="922" t="s">
        <v>174</v>
      </c>
      <c r="D38" s="288" t="s">
        <v>620</v>
      </c>
      <c r="E38" s="1296" t="s">
        <v>621</v>
      </c>
      <c r="F38" s="281" t="s">
        <v>956</v>
      </c>
      <c r="W38" s="27" t="s">
        <v>628</v>
      </c>
      <c r="X38" s="27" t="s">
        <v>627</v>
      </c>
      <c r="Y38" s="27" t="s">
        <v>656</v>
      </c>
      <c r="Z38" s="27"/>
      <c r="AA38" s="364"/>
      <c r="AB38" s="310" t="s">
        <v>646</v>
      </c>
      <c r="AC38" s="310" t="s">
        <v>713</v>
      </c>
      <c r="AD38" s="310" t="s">
        <v>25</v>
      </c>
      <c r="AE38" s="299" t="s">
        <v>626</v>
      </c>
      <c r="AF38" s="311" t="s">
        <v>631</v>
      </c>
      <c r="AG38" s="312" t="s">
        <v>632</v>
      </c>
      <c r="AH38" s="299" t="s">
        <v>655</v>
      </c>
      <c r="AI38" s="297" t="s">
        <v>174</v>
      </c>
      <c r="AJ38" s="298" t="s">
        <v>633</v>
      </c>
      <c r="AK38" s="299" t="s">
        <v>634</v>
      </c>
      <c r="AL38" s="1284" t="s">
        <v>634</v>
      </c>
      <c r="AM38" s="334" t="s">
        <v>953</v>
      </c>
    </row>
    <row r="39" spans="1:39" x14ac:dyDescent="0.2">
      <c r="B39" s="398">
        <f t="shared" ref="B39:B48" si="14">B40+0.05</f>
        <v>2.799999999999998</v>
      </c>
      <c r="C39" s="340">
        <f>IF(Input!$E$57&gt;0,AI39,0)</f>
        <v>83100.50388956783</v>
      </c>
      <c r="D39" s="399">
        <f>IF(X39&lt;1,0,AJ39)</f>
        <v>207.75125972391959</v>
      </c>
      <c r="E39" s="399">
        <f>IF(X39&lt;1,0,AK39)</f>
        <v>90.033048634418023</v>
      </c>
      <c r="F39" s="1294">
        <f>IF(X39&lt;1,0,AM39)</f>
        <v>92.644477681089114</v>
      </c>
      <c r="W39" s="282">
        <f>Input!$E$52</f>
        <v>0</v>
      </c>
      <c r="X39" s="282">
        <f>Input!$E$57</f>
        <v>851</v>
      </c>
      <c r="Y39" s="70">
        <f>Input!$E$24</f>
        <v>72</v>
      </c>
      <c r="Z39" s="27"/>
      <c r="AA39" s="27">
        <v>1</v>
      </c>
      <c r="AB39" s="1330">
        <f t="shared" ref="AB39:AB59" si="15">(B39/$B$49)*$W$60*$W$61*W39</f>
        <v>0</v>
      </c>
      <c r="AC39" s="369">
        <f t="shared" ref="AC39:AC59" si="16">(B39/$B$49)*$X$60*$X$61*X39</f>
        <v>285935.99999999983</v>
      </c>
      <c r="AD39" s="306">
        <f>Income_Expense!$D$10+Income_Expense!$D$11+Income_Expense!$D$12+Income_Expense!$D$13</f>
        <v>14265</v>
      </c>
      <c r="AE39" s="309">
        <f>AB39+AC39+AD39</f>
        <v>300200.99999999983</v>
      </c>
      <c r="AF39" s="305">
        <f>Income_Expense!$D$31</f>
        <v>203604.66277709865</v>
      </c>
      <c r="AG39" s="306">
        <f>Income_Expense!$D$34</f>
        <v>13495.833333333334</v>
      </c>
      <c r="AH39" s="314">
        <f>AF39+AG39</f>
        <v>217100.496110432</v>
      </c>
      <c r="AI39" s="316">
        <f>AE39-AH39</f>
        <v>83100.50388956783</v>
      </c>
      <c r="AJ39" s="132">
        <f t="shared" ref="AJ39:AJ59" si="17">AI39/$AJ$60</f>
        <v>207.75125972391959</v>
      </c>
      <c r="AK39" s="303">
        <f t="shared" ref="AK39:AK59" si="18">AI39/$AK$60</f>
        <v>90.033048634418023</v>
      </c>
      <c r="AL39" s="1285">
        <f>IF(X39&gt;0,$AL$36/$AK$60,0)</f>
        <v>-2.6114290466710961</v>
      </c>
      <c r="AM39" s="1286">
        <f>AK39-AL39</f>
        <v>92.644477681089114</v>
      </c>
    </row>
    <row r="40" spans="1:39" x14ac:dyDescent="0.2">
      <c r="B40" s="401">
        <f t="shared" si="14"/>
        <v>2.7499999999999982</v>
      </c>
      <c r="C40" s="923">
        <f>IF(Input!$E$57&gt;0,AI40,0)</f>
        <v>77994.50388956783</v>
      </c>
      <c r="D40" s="399">
        <f t="shared" ref="D40:D41" si="19">IF(X40&lt;1,0,AJ40)</f>
        <v>194.98625972391957</v>
      </c>
      <c r="E40" s="399">
        <f>IF(X40&lt;1,0,AK40)</f>
        <v>84.501087637668292</v>
      </c>
      <c r="F40" s="1335">
        <f t="shared" ref="F40:F41" si="20">IF(X40&lt;1,0,AM40)</f>
        <v>87.112516684339383</v>
      </c>
      <c r="W40" s="282">
        <f>Input!$E$52</f>
        <v>0</v>
      </c>
      <c r="X40" s="282">
        <f>Input!$E$57</f>
        <v>851</v>
      </c>
      <c r="Y40" s="70">
        <f>Input!$E$24</f>
        <v>72</v>
      </c>
      <c r="Z40" s="27"/>
      <c r="AA40" s="27">
        <f>AA39+1</f>
        <v>2</v>
      </c>
      <c r="AB40" s="1318">
        <f t="shared" si="15"/>
        <v>0</v>
      </c>
      <c r="AC40" s="325">
        <f t="shared" si="16"/>
        <v>280829.99999999983</v>
      </c>
      <c r="AD40" s="322">
        <f>Income_Expense!$D$10+Income_Expense!$D$11+Income_Expense!$D$12+Income_Expense!$D$13</f>
        <v>14265</v>
      </c>
      <c r="AE40" s="323">
        <f t="shared" ref="AE40:AE59" si="21">AB40+AC40+AD40</f>
        <v>295094.99999999983</v>
      </c>
      <c r="AF40" s="321">
        <f>Income_Expense!$D$31</f>
        <v>203604.66277709865</v>
      </c>
      <c r="AG40" s="322">
        <f>Income_Expense!$D$34</f>
        <v>13495.833333333334</v>
      </c>
      <c r="AH40" s="323">
        <f t="shared" ref="AH40:AH59" si="22">AF40+AG40</f>
        <v>217100.496110432</v>
      </c>
      <c r="AI40" s="324">
        <f t="shared" ref="AI40:AI59" si="23">AE40-AH40</f>
        <v>77994.50388956783</v>
      </c>
      <c r="AJ40" s="301">
        <f t="shared" si="17"/>
        <v>194.98625972391957</v>
      </c>
      <c r="AK40" s="292">
        <f t="shared" si="18"/>
        <v>84.501087637668292</v>
      </c>
      <c r="AL40" s="1287">
        <f t="shared" ref="AL40:AL59" si="24">IF(X40&gt;0,$AL$36/$AK$60,0)</f>
        <v>-2.6114290466710961</v>
      </c>
      <c r="AM40" s="1288">
        <f t="shared" ref="AM40:AM59" si="25">AK40-AL40</f>
        <v>87.112516684339383</v>
      </c>
    </row>
    <row r="41" spans="1:39" x14ac:dyDescent="0.2">
      <c r="B41" s="401">
        <f t="shared" si="14"/>
        <v>2.6999999999999984</v>
      </c>
      <c r="C41" s="923">
        <f>IF(Input!$E$57&gt;0,AI41,0)</f>
        <v>72888.503889567888</v>
      </c>
      <c r="D41" s="399">
        <f t="shared" si="19"/>
        <v>182.22125972391973</v>
      </c>
      <c r="E41" s="399">
        <f t="shared" ref="E41:E47" si="26">IF(X41&lt;1,0,AK41)</f>
        <v>78.969126640918617</v>
      </c>
      <c r="F41" s="1335">
        <f t="shared" si="20"/>
        <v>81.580555687589708</v>
      </c>
      <c r="W41" s="282">
        <f>Input!$E$52</f>
        <v>0</v>
      </c>
      <c r="X41" s="282">
        <f>Input!$E$57</f>
        <v>851</v>
      </c>
      <c r="Y41" s="70">
        <f>Input!$E$24</f>
        <v>72</v>
      </c>
      <c r="Z41" s="27"/>
      <c r="AA41" s="27">
        <f t="shared" ref="AA41:AA59" si="27">AA40+1</f>
        <v>3</v>
      </c>
      <c r="AB41" s="1318">
        <f t="shared" si="15"/>
        <v>0</v>
      </c>
      <c r="AC41" s="325">
        <f t="shared" si="16"/>
        <v>275723.99999999988</v>
      </c>
      <c r="AD41" s="322">
        <f>Income_Expense!$D$10+Income_Expense!$D$11+Income_Expense!$D$12+Income_Expense!$D$13</f>
        <v>14265</v>
      </c>
      <c r="AE41" s="323">
        <f t="shared" si="21"/>
        <v>289988.99999999988</v>
      </c>
      <c r="AF41" s="321">
        <f>Income_Expense!$D$31</f>
        <v>203604.66277709865</v>
      </c>
      <c r="AG41" s="322">
        <f>Income_Expense!$D$34</f>
        <v>13495.833333333334</v>
      </c>
      <c r="AH41" s="323">
        <f t="shared" si="22"/>
        <v>217100.496110432</v>
      </c>
      <c r="AI41" s="324">
        <f t="shared" si="23"/>
        <v>72888.503889567888</v>
      </c>
      <c r="AJ41" s="301">
        <f t="shared" si="17"/>
        <v>182.22125972391973</v>
      </c>
      <c r="AK41" s="292">
        <f t="shared" si="18"/>
        <v>78.969126640918617</v>
      </c>
      <c r="AL41" s="1287">
        <f t="shared" si="24"/>
        <v>-2.6114290466710961</v>
      </c>
      <c r="AM41" s="1288">
        <f t="shared" si="25"/>
        <v>81.580555687589708</v>
      </c>
    </row>
    <row r="42" spans="1:39" x14ac:dyDescent="0.2">
      <c r="B42" s="401">
        <f t="shared" si="14"/>
        <v>2.6499999999999986</v>
      </c>
      <c r="C42" s="923">
        <f>IF(Input!$E$57&gt;0,AI42,0)</f>
        <v>67782.503889567888</v>
      </c>
      <c r="D42" s="399">
        <f t="shared" ref="D42:D47" si="28">IF(X42&lt;1,0,AJ42)</f>
        <v>169.45625972391971</v>
      </c>
      <c r="E42" s="399">
        <f t="shared" si="26"/>
        <v>73.4371656441689</v>
      </c>
      <c r="F42" s="1335">
        <f t="shared" ref="F42:F47" si="29">IF(X42&lt;1,0,AM42)</f>
        <v>76.048594690839991</v>
      </c>
      <c r="W42" s="282">
        <f>Input!$E$52</f>
        <v>0</v>
      </c>
      <c r="X42" s="282">
        <f>Input!$E$57</f>
        <v>851</v>
      </c>
      <c r="Y42" s="70">
        <f>Input!$E$24</f>
        <v>72</v>
      </c>
      <c r="Z42" s="282"/>
      <c r="AA42" s="27">
        <f t="shared" si="27"/>
        <v>4</v>
      </c>
      <c r="AB42" s="1318">
        <f t="shared" si="15"/>
        <v>0</v>
      </c>
      <c r="AC42" s="325">
        <f t="shared" si="16"/>
        <v>270617.99999999988</v>
      </c>
      <c r="AD42" s="322">
        <f>Income_Expense!$D$10+Income_Expense!$D$11+Income_Expense!$D$12+Income_Expense!$D$13</f>
        <v>14265</v>
      </c>
      <c r="AE42" s="323">
        <f t="shared" si="21"/>
        <v>284882.99999999988</v>
      </c>
      <c r="AF42" s="321">
        <f>Income_Expense!$D$31</f>
        <v>203604.66277709865</v>
      </c>
      <c r="AG42" s="322">
        <f>Income_Expense!$D$34</f>
        <v>13495.833333333334</v>
      </c>
      <c r="AH42" s="323">
        <f t="shared" si="22"/>
        <v>217100.496110432</v>
      </c>
      <c r="AI42" s="324">
        <f t="shared" si="23"/>
        <v>67782.503889567888</v>
      </c>
      <c r="AJ42" s="301">
        <f t="shared" si="17"/>
        <v>169.45625972391971</v>
      </c>
      <c r="AK42" s="292">
        <f t="shared" si="18"/>
        <v>73.4371656441689</v>
      </c>
      <c r="AL42" s="1287">
        <f t="shared" si="24"/>
        <v>-2.6114290466710961</v>
      </c>
      <c r="AM42" s="1288">
        <f t="shared" si="25"/>
        <v>76.048594690839991</v>
      </c>
    </row>
    <row r="43" spans="1:39" x14ac:dyDescent="0.2">
      <c r="B43" s="401">
        <f t="shared" si="14"/>
        <v>2.5999999999999988</v>
      </c>
      <c r="C43" s="923">
        <f>IF(Input!$E$57&gt;0,AI43,0)</f>
        <v>62676.503889567888</v>
      </c>
      <c r="D43" s="399">
        <f t="shared" si="28"/>
        <v>156.69125972391973</v>
      </c>
      <c r="E43" s="399">
        <f t="shared" si="26"/>
        <v>67.905204647419168</v>
      </c>
      <c r="F43" s="1335">
        <f t="shared" si="29"/>
        <v>70.51663369409026</v>
      </c>
      <c r="W43" s="282">
        <f>Input!$E$52</f>
        <v>0</v>
      </c>
      <c r="X43" s="282">
        <f>Input!$E$57</f>
        <v>851</v>
      </c>
      <c r="Y43" s="70">
        <f>Input!$E$24</f>
        <v>72</v>
      </c>
      <c r="Z43" s="282"/>
      <c r="AA43" s="27">
        <f t="shared" si="27"/>
        <v>5</v>
      </c>
      <c r="AB43" s="1318">
        <f t="shared" si="15"/>
        <v>0</v>
      </c>
      <c r="AC43" s="325">
        <f t="shared" si="16"/>
        <v>265511.99999999988</v>
      </c>
      <c r="AD43" s="322">
        <f>Income_Expense!$D$10+Income_Expense!$D$11+Income_Expense!$D$12+Income_Expense!$D$13</f>
        <v>14265</v>
      </c>
      <c r="AE43" s="323">
        <f t="shared" si="21"/>
        <v>279776.99999999988</v>
      </c>
      <c r="AF43" s="321">
        <f>Income_Expense!$D$31</f>
        <v>203604.66277709865</v>
      </c>
      <c r="AG43" s="322">
        <f>Income_Expense!$D$34</f>
        <v>13495.833333333334</v>
      </c>
      <c r="AH43" s="323">
        <f t="shared" si="22"/>
        <v>217100.496110432</v>
      </c>
      <c r="AI43" s="324">
        <f t="shared" si="23"/>
        <v>62676.503889567888</v>
      </c>
      <c r="AJ43" s="301">
        <f t="shared" si="17"/>
        <v>156.69125972391973</v>
      </c>
      <c r="AK43" s="292">
        <f t="shared" si="18"/>
        <v>67.905204647419168</v>
      </c>
      <c r="AL43" s="1287">
        <f t="shared" si="24"/>
        <v>-2.6114290466710961</v>
      </c>
      <c r="AM43" s="1288">
        <f t="shared" si="25"/>
        <v>70.51663369409026</v>
      </c>
    </row>
    <row r="44" spans="1:39" x14ac:dyDescent="0.2">
      <c r="B44" s="401">
        <f t="shared" si="14"/>
        <v>2.5499999999999989</v>
      </c>
      <c r="C44" s="923">
        <f>IF(Input!$E$57&gt;0,AI44,0)</f>
        <v>57570.503889567888</v>
      </c>
      <c r="D44" s="399">
        <f t="shared" si="28"/>
        <v>143.92625972391971</v>
      </c>
      <c r="E44" s="399">
        <f t="shared" si="26"/>
        <v>62.373243650669437</v>
      </c>
      <c r="F44" s="1335">
        <f t="shared" si="29"/>
        <v>64.984672697340528</v>
      </c>
      <c r="W44" s="282">
        <f>Input!$E$52</f>
        <v>0</v>
      </c>
      <c r="X44" s="282">
        <f>Input!$E$57</f>
        <v>851</v>
      </c>
      <c r="Y44" s="70">
        <f>Input!$E$24</f>
        <v>72</v>
      </c>
      <c r="Z44" s="282"/>
      <c r="AA44" s="27">
        <f t="shared" si="27"/>
        <v>6</v>
      </c>
      <c r="AB44" s="1318">
        <f t="shared" si="15"/>
        <v>0</v>
      </c>
      <c r="AC44" s="325">
        <f t="shared" si="16"/>
        <v>260405.99999999991</v>
      </c>
      <c r="AD44" s="322">
        <f>Income_Expense!$D$10+Income_Expense!$D$11+Income_Expense!$D$12+Income_Expense!$D$13</f>
        <v>14265</v>
      </c>
      <c r="AE44" s="323">
        <f t="shared" si="21"/>
        <v>274670.99999999988</v>
      </c>
      <c r="AF44" s="321">
        <f>Income_Expense!$D$31</f>
        <v>203604.66277709865</v>
      </c>
      <c r="AG44" s="322">
        <f>Income_Expense!$D$34</f>
        <v>13495.833333333334</v>
      </c>
      <c r="AH44" s="323">
        <f t="shared" si="22"/>
        <v>217100.496110432</v>
      </c>
      <c r="AI44" s="324">
        <f t="shared" si="23"/>
        <v>57570.503889567888</v>
      </c>
      <c r="AJ44" s="301">
        <f t="shared" si="17"/>
        <v>143.92625972391971</v>
      </c>
      <c r="AK44" s="292">
        <f t="shared" si="18"/>
        <v>62.373243650669437</v>
      </c>
      <c r="AL44" s="1287">
        <f t="shared" si="24"/>
        <v>-2.6114290466710961</v>
      </c>
      <c r="AM44" s="1288">
        <f t="shared" si="25"/>
        <v>64.984672697340528</v>
      </c>
    </row>
    <row r="45" spans="1:39" x14ac:dyDescent="0.2">
      <c r="B45" s="401">
        <f t="shared" si="14"/>
        <v>2.4999999999999991</v>
      </c>
      <c r="C45" s="923">
        <f>IF(Input!$E$57&gt;0,AI45,0)</f>
        <v>52464.503889567888</v>
      </c>
      <c r="D45" s="399">
        <f t="shared" si="28"/>
        <v>131.16125972391973</v>
      </c>
      <c r="E45" s="399">
        <f t="shared" si="26"/>
        <v>56.841282653919706</v>
      </c>
      <c r="F45" s="1335">
        <f t="shared" si="29"/>
        <v>59.452711700590804</v>
      </c>
      <c r="W45" s="282">
        <f>Input!$E$52</f>
        <v>0</v>
      </c>
      <c r="X45" s="282">
        <f>Input!$E$57</f>
        <v>851</v>
      </c>
      <c r="Y45" s="70">
        <f>Input!$E$24</f>
        <v>72</v>
      </c>
      <c r="Z45" s="282"/>
      <c r="AA45" s="27">
        <f t="shared" si="27"/>
        <v>7</v>
      </c>
      <c r="AB45" s="1318">
        <f t="shared" si="15"/>
        <v>0</v>
      </c>
      <c r="AC45" s="325">
        <f t="shared" si="16"/>
        <v>255299.99999999991</v>
      </c>
      <c r="AD45" s="322">
        <f>Income_Expense!$D$10+Income_Expense!$D$11+Income_Expense!$D$12+Income_Expense!$D$13</f>
        <v>14265</v>
      </c>
      <c r="AE45" s="323">
        <f t="shared" si="21"/>
        <v>269564.99999999988</v>
      </c>
      <c r="AF45" s="321">
        <f>Income_Expense!$D$31</f>
        <v>203604.66277709865</v>
      </c>
      <c r="AG45" s="322">
        <f>Income_Expense!$D$34</f>
        <v>13495.833333333334</v>
      </c>
      <c r="AH45" s="323">
        <f t="shared" si="22"/>
        <v>217100.496110432</v>
      </c>
      <c r="AI45" s="324">
        <f t="shared" si="23"/>
        <v>52464.503889567888</v>
      </c>
      <c r="AJ45" s="301">
        <f t="shared" si="17"/>
        <v>131.16125972391973</v>
      </c>
      <c r="AK45" s="292">
        <f t="shared" si="18"/>
        <v>56.841282653919706</v>
      </c>
      <c r="AL45" s="1287">
        <f t="shared" si="24"/>
        <v>-2.6114290466710961</v>
      </c>
      <c r="AM45" s="1288">
        <f t="shared" si="25"/>
        <v>59.452711700590804</v>
      </c>
    </row>
    <row r="46" spans="1:39" x14ac:dyDescent="0.2">
      <c r="B46" s="401">
        <f t="shared" si="14"/>
        <v>2.4499999999999993</v>
      </c>
      <c r="C46" s="923">
        <f>IF(Input!$E$57&gt;0,AI46,0)</f>
        <v>47358.503889567888</v>
      </c>
      <c r="D46" s="399">
        <f t="shared" si="28"/>
        <v>118.39625972391973</v>
      </c>
      <c r="E46" s="399">
        <f t="shared" si="26"/>
        <v>51.309321657169974</v>
      </c>
      <c r="F46" s="1335">
        <f t="shared" si="29"/>
        <v>53.920750703841072</v>
      </c>
      <c r="W46" s="282">
        <f>Input!$E$52</f>
        <v>0</v>
      </c>
      <c r="X46" s="282">
        <f>Input!$E$57</f>
        <v>851</v>
      </c>
      <c r="Y46" s="70">
        <f>Input!$E$24</f>
        <v>72</v>
      </c>
      <c r="Z46" s="282"/>
      <c r="AA46" s="27">
        <f t="shared" si="27"/>
        <v>8</v>
      </c>
      <c r="AB46" s="1318">
        <f t="shared" si="15"/>
        <v>0</v>
      </c>
      <c r="AC46" s="325">
        <f t="shared" si="16"/>
        <v>250193.99999999991</v>
      </c>
      <c r="AD46" s="322">
        <f>Income_Expense!$D$10+Income_Expense!$D$11+Income_Expense!$D$12+Income_Expense!$D$13</f>
        <v>14265</v>
      </c>
      <c r="AE46" s="323">
        <f t="shared" si="21"/>
        <v>264458.99999999988</v>
      </c>
      <c r="AF46" s="321">
        <f>Income_Expense!$D$31</f>
        <v>203604.66277709865</v>
      </c>
      <c r="AG46" s="322">
        <f>Income_Expense!$D$34</f>
        <v>13495.833333333334</v>
      </c>
      <c r="AH46" s="323">
        <f t="shared" si="22"/>
        <v>217100.496110432</v>
      </c>
      <c r="AI46" s="324">
        <f t="shared" si="23"/>
        <v>47358.503889567888</v>
      </c>
      <c r="AJ46" s="301">
        <f t="shared" si="17"/>
        <v>118.39625972391973</v>
      </c>
      <c r="AK46" s="292">
        <f t="shared" si="18"/>
        <v>51.309321657169974</v>
      </c>
      <c r="AL46" s="1287">
        <f t="shared" si="24"/>
        <v>-2.6114290466710961</v>
      </c>
      <c r="AM46" s="1288">
        <f t="shared" si="25"/>
        <v>53.920750703841072</v>
      </c>
    </row>
    <row r="47" spans="1:39" x14ac:dyDescent="0.2">
      <c r="B47" s="401">
        <f t="shared" si="14"/>
        <v>2.3999999999999995</v>
      </c>
      <c r="C47" s="923">
        <f>IF(Input!$E$57&gt;0,AI47,0)</f>
        <v>42252.503889567917</v>
      </c>
      <c r="D47" s="399">
        <f t="shared" si="28"/>
        <v>105.6312597239198</v>
      </c>
      <c r="E47" s="399">
        <f t="shared" si="26"/>
        <v>45.777360660420278</v>
      </c>
      <c r="F47" s="1335">
        <f t="shared" si="29"/>
        <v>48.388789707091377</v>
      </c>
      <c r="W47" s="282">
        <f>Input!$E$52</f>
        <v>0</v>
      </c>
      <c r="X47" s="282">
        <f>Input!$E$57</f>
        <v>851</v>
      </c>
      <c r="Y47" s="70">
        <f>Input!$E$24</f>
        <v>72</v>
      </c>
      <c r="Z47" s="282"/>
      <c r="AA47" s="27">
        <f t="shared" si="27"/>
        <v>9</v>
      </c>
      <c r="AB47" s="1318">
        <f t="shared" si="15"/>
        <v>0</v>
      </c>
      <c r="AC47" s="325">
        <f t="shared" si="16"/>
        <v>245087.99999999991</v>
      </c>
      <c r="AD47" s="322">
        <f>Income_Expense!$D$10+Income_Expense!$D$11+Income_Expense!$D$12+Income_Expense!$D$13</f>
        <v>14265</v>
      </c>
      <c r="AE47" s="323">
        <f t="shared" si="21"/>
        <v>259352.99999999991</v>
      </c>
      <c r="AF47" s="321">
        <f>Income_Expense!$D$31</f>
        <v>203604.66277709865</v>
      </c>
      <c r="AG47" s="322">
        <f>Income_Expense!$D$34</f>
        <v>13495.833333333334</v>
      </c>
      <c r="AH47" s="323">
        <f t="shared" si="22"/>
        <v>217100.496110432</v>
      </c>
      <c r="AI47" s="324">
        <f t="shared" si="23"/>
        <v>42252.503889567917</v>
      </c>
      <c r="AJ47" s="301">
        <f t="shared" si="17"/>
        <v>105.6312597239198</v>
      </c>
      <c r="AK47" s="292">
        <f t="shared" si="18"/>
        <v>45.777360660420278</v>
      </c>
      <c r="AL47" s="1287">
        <f t="shared" si="24"/>
        <v>-2.6114290466710961</v>
      </c>
      <c r="AM47" s="1288">
        <f t="shared" si="25"/>
        <v>48.388789707091377</v>
      </c>
    </row>
    <row r="48" spans="1:39" x14ac:dyDescent="0.2">
      <c r="A48" s="65" t="s">
        <v>950</v>
      </c>
      <c r="B48" s="401">
        <f t="shared" si="14"/>
        <v>2.3499999999999996</v>
      </c>
      <c r="C48" s="923">
        <f>IF(Input!$E$57&gt;0,AI48,0)</f>
        <v>37146.503889567946</v>
      </c>
      <c r="D48" s="399">
        <f t="shared" ref="D48:D59" si="30">IF(X48&lt;1,0,AJ48)</f>
        <v>92.866259723919867</v>
      </c>
      <c r="E48" s="399">
        <f t="shared" ref="E48:E59" si="31">IF(X48&lt;1,0,AK48)</f>
        <v>40.245399663670582</v>
      </c>
      <c r="F48" s="1335">
        <f t="shared" ref="F48:F59" si="32">IF(X48&lt;1,0,AM48)</f>
        <v>42.856828710341681</v>
      </c>
      <c r="W48" s="282">
        <f>Input!$E$52</f>
        <v>0</v>
      </c>
      <c r="X48" s="282">
        <f>Input!$E$57</f>
        <v>851</v>
      </c>
      <c r="Y48" s="70">
        <f>Input!$E$24</f>
        <v>72</v>
      </c>
      <c r="Z48" s="282"/>
      <c r="AA48" s="27">
        <f t="shared" si="27"/>
        <v>10</v>
      </c>
      <c r="AB48" s="1318">
        <f t="shared" si="15"/>
        <v>0</v>
      </c>
      <c r="AC48" s="325">
        <f t="shared" si="16"/>
        <v>239981.99999999994</v>
      </c>
      <c r="AD48" s="322">
        <f>Income_Expense!$D$10+Income_Expense!$D$11+Income_Expense!$D$12+Income_Expense!$D$13</f>
        <v>14265</v>
      </c>
      <c r="AE48" s="323">
        <f t="shared" si="21"/>
        <v>254246.99999999994</v>
      </c>
      <c r="AF48" s="321">
        <f>Income_Expense!$D$31</f>
        <v>203604.66277709865</v>
      </c>
      <c r="AG48" s="322">
        <f>Income_Expense!$D$34</f>
        <v>13495.833333333334</v>
      </c>
      <c r="AH48" s="323">
        <f t="shared" si="22"/>
        <v>217100.496110432</v>
      </c>
      <c r="AI48" s="324">
        <f t="shared" si="23"/>
        <v>37146.503889567946</v>
      </c>
      <c r="AJ48" s="301">
        <f t="shared" si="17"/>
        <v>92.866259723919867</v>
      </c>
      <c r="AK48" s="292">
        <f t="shared" si="18"/>
        <v>40.245399663670582</v>
      </c>
      <c r="AL48" s="1287">
        <f t="shared" si="24"/>
        <v>-2.6114290466710961</v>
      </c>
      <c r="AM48" s="1288">
        <f t="shared" si="25"/>
        <v>42.856828710341681</v>
      </c>
    </row>
    <row r="49" spans="1:49" x14ac:dyDescent="0.2">
      <c r="A49" s="65" t="s">
        <v>652</v>
      </c>
      <c r="B49" s="402">
        <f>Input!$E$58</f>
        <v>2.2999999999999998</v>
      </c>
      <c r="C49" s="924">
        <f>IF(Input!$E$57&gt;0,AI49,0)</f>
        <v>32040.503889568005</v>
      </c>
      <c r="D49" s="1333">
        <f t="shared" si="30"/>
        <v>80.101259723920009</v>
      </c>
      <c r="E49" s="1333">
        <f t="shared" si="31"/>
        <v>34.713438666920915</v>
      </c>
      <c r="F49" s="1302">
        <f t="shared" si="32"/>
        <v>37.324867713592013</v>
      </c>
      <c r="W49" s="296">
        <f>Input!$E$52</f>
        <v>0</v>
      </c>
      <c r="X49" s="296">
        <f>Input!$E$57</f>
        <v>851</v>
      </c>
      <c r="Y49" s="296">
        <f>Input!$E$24</f>
        <v>72</v>
      </c>
      <c r="Z49" s="296"/>
      <c r="AA49" s="27">
        <f t="shared" si="27"/>
        <v>11</v>
      </c>
      <c r="AB49" s="1320">
        <f t="shared" si="15"/>
        <v>0</v>
      </c>
      <c r="AC49" s="325">
        <f t="shared" si="16"/>
        <v>234876</v>
      </c>
      <c r="AD49" s="322">
        <f>Income_Expense!$D$10+Income_Expense!$D$11+Income_Expense!$D$12+Income_Expense!$D$13</f>
        <v>14265</v>
      </c>
      <c r="AE49" s="323">
        <f t="shared" si="21"/>
        <v>249141</v>
      </c>
      <c r="AF49" s="284">
        <f>Income_Expense!$D$31</f>
        <v>203604.66277709865</v>
      </c>
      <c r="AG49" s="325">
        <f>Income_Expense!$D$34</f>
        <v>13495.833333333334</v>
      </c>
      <c r="AH49" s="323">
        <f t="shared" si="22"/>
        <v>217100.496110432</v>
      </c>
      <c r="AI49" s="326">
        <f t="shared" si="23"/>
        <v>32040.503889568005</v>
      </c>
      <c r="AJ49" s="327">
        <f t="shared" si="17"/>
        <v>80.101259723920009</v>
      </c>
      <c r="AK49" s="285">
        <f t="shared" si="18"/>
        <v>34.713438666920915</v>
      </c>
      <c r="AL49" s="1289">
        <f t="shared" si="24"/>
        <v>-2.6114290466710961</v>
      </c>
      <c r="AM49" s="1290">
        <f t="shared" si="25"/>
        <v>37.324867713592013</v>
      </c>
    </row>
    <row r="50" spans="1:49" x14ac:dyDescent="0.2">
      <c r="B50" s="401">
        <f>B49-0.05</f>
        <v>2.25</v>
      </c>
      <c r="C50" s="923">
        <f>IF(Input!$E$57&gt;0,AI50,0)</f>
        <v>26934.503889568005</v>
      </c>
      <c r="D50" s="399">
        <f t="shared" si="30"/>
        <v>67.336259723920008</v>
      </c>
      <c r="E50" s="399">
        <f t="shared" si="31"/>
        <v>29.181477670171187</v>
      </c>
      <c r="F50" s="1335">
        <f t="shared" si="32"/>
        <v>31.792906716842282</v>
      </c>
      <c r="W50" s="282">
        <f>Input!$E$52</f>
        <v>0</v>
      </c>
      <c r="X50" s="282">
        <f>Input!$E$57</f>
        <v>851</v>
      </c>
      <c r="Y50" s="70">
        <f>Input!$E$24</f>
        <v>72</v>
      </c>
      <c r="Z50" s="282"/>
      <c r="AA50" s="27">
        <f t="shared" si="27"/>
        <v>12</v>
      </c>
      <c r="AB50" s="1318">
        <f t="shared" si="15"/>
        <v>0</v>
      </c>
      <c r="AC50" s="325">
        <f t="shared" si="16"/>
        <v>229770</v>
      </c>
      <c r="AD50" s="322">
        <f>Income_Expense!$D$10+Income_Expense!$D$11+Income_Expense!$D$12+Income_Expense!$D$13</f>
        <v>14265</v>
      </c>
      <c r="AE50" s="323">
        <f t="shared" si="21"/>
        <v>244035</v>
      </c>
      <c r="AF50" s="321">
        <f>Income_Expense!$D$31</f>
        <v>203604.66277709865</v>
      </c>
      <c r="AG50" s="322">
        <f>Income_Expense!$D$34</f>
        <v>13495.833333333334</v>
      </c>
      <c r="AH50" s="323">
        <f t="shared" si="22"/>
        <v>217100.496110432</v>
      </c>
      <c r="AI50" s="324">
        <f t="shared" si="23"/>
        <v>26934.503889568005</v>
      </c>
      <c r="AJ50" s="301">
        <f t="shared" si="17"/>
        <v>67.336259723920008</v>
      </c>
      <c r="AK50" s="292">
        <f t="shared" si="18"/>
        <v>29.181477670171187</v>
      </c>
      <c r="AL50" s="1287">
        <f t="shared" si="24"/>
        <v>-2.6114290466710961</v>
      </c>
      <c r="AM50" s="1288">
        <f t="shared" si="25"/>
        <v>31.792906716842282</v>
      </c>
    </row>
    <row r="51" spans="1:49" x14ac:dyDescent="0.2">
      <c r="B51" s="401">
        <f t="shared" ref="B51:B59" si="33">B50-0.05</f>
        <v>2.2000000000000002</v>
      </c>
      <c r="C51" s="923">
        <f>IF(Input!$E$57&gt;0,AI51,0)</f>
        <v>21828.503889568005</v>
      </c>
      <c r="D51" s="399">
        <f t="shared" si="30"/>
        <v>54.571259723920008</v>
      </c>
      <c r="E51" s="399">
        <f t="shared" si="31"/>
        <v>23.649516673421456</v>
      </c>
      <c r="F51" s="1335">
        <f t="shared" si="32"/>
        <v>26.26094572009255</v>
      </c>
      <c r="W51" s="282">
        <f>Input!$E$52</f>
        <v>0</v>
      </c>
      <c r="X51" s="282">
        <f>Input!$E$57</f>
        <v>851</v>
      </c>
      <c r="Y51" s="70">
        <f>Input!$E$24</f>
        <v>72</v>
      </c>
      <c r="Z51" s="282"/>
      <c r="AA51" s="27">
        <f t="shared" si="27"/>
        <v>13</v>
      </c>
      <c r="AB51" s="1318">
        <f t="shared" si="15"/>
        <v>0</v>
      </c>
      <c r="AC51" s="325">
        <f t="shared" si="16"/>
        <v>224664</v>
      </c>
      <c r="AD51" s="322">
        <f>Income_Expense!$D$10+Income_Expense!$D$11+Income_Expense!$D$12+Income_Expense!$D$13</f>
        <v>14265</v>
      </c>
      <c r="AE51" s="323">
        <f t="shared" si="21"/>
        <v>238929</v>
      </c>
      <c r="AF51" s="321">
        <f>Income_Expense!$D$31</f>
        <v>203604.66277709865</v>
      </c>
      <c r="AG51" s="322">
        <f>Income_Expense!$D$34</f>
        <v>13495.833333333334</v>
      </c>
      <c r="AH51" s="323">
        <f t="shared" si="22"/>
        <v>217100.496110432</v>
      </c>
      <c r="AI51" s="324">
        <f t="shared" si="23"/>
        <v>21828.503889568005</v>
      </c>
      <c r="AJ51" s="301">
        <f t="shared" si="17"/>
        <v>54.571259723920008</v>
      </c>
      <c r="AK51" s="292">
        <f t="shared" si="18"/>
        <v>23.649516673421456</v>
      </c>
      <c r="AL51" s="1287">
        <f t="shared" si="24"/>
        <v>-2.6114290466710961</v>
      </c>
      <c r="AM51" s="1288">
        <f t="shared" si="25"/>
        <v>26.26094572009255</v>
      </c>
    </row>
    <row r="52" spans="1:49" x14ac:dyDescent="0.2">
      <c r="B52" s="401">
        <f t="shared" si="33"/>
        <v>2.1500000000000004</v>
      </c>
      <c r="C52" s="923">
        <f>IF(Input!$E$57&gt;0,AI52,0)</f>
        <v>16722.503889568063</v>
      </c>
      <c r="D52" s="399">
        <f t="shared" si="30"/>
        <v>41.806259723920157</v>
      </c>
      <c r="E52" s="399">
        <f t="shared" si="31"/>
        <v>18.117555676671792</v>
      </c>
      <c r="F52" s="1335">
        <f t="shared" si="32"/>
        <v>20.728984723342887</v>
      </c>
      <c r="W52" s="282">
        <f>Input!$E$52</f>
        <v>0</v>
      </c>
      <c r="X52" s="282">
        <f>Input!$E$57</f>
        <v>851</v>
      </c>
      <c r="Y52" s="70">
        <f>Input!$E$24</f>
        <v>72</v>
      </c>
      <c r="Z52" s="282"/>
      <c r="AA52" s="27">
        <f t="shared" si="27"/>
        <v>14</v>
      </c>
      <c r="AB52" s="1318">
        <f t="shared" si="15"/>
        <v>0</v>
      </c>
      <c r="AC52" s="325">
        <f t="shared" si="16"/>
        <v>219558.00000000006</v>
      </c>
      <c r="AD52" s="322">
        <f>Income_Expense!$D$10+Income_Expense!$D$11+Income_Expense!$D$12+Income_Expense!$D$13</f>
        <v>14265</v>
      </c>
      <c r="AE52" s="323">
        <f t="shared" si="21"/>
        <v>233823.00000000006</v>
      </c>
      <c r="AF52" s="321">
        <f>Income_Expense!$D$31</f>
        <v>203604.66277709865</v>
      </c>
      <c r="AG52" s="322">
        <f>Income_Expense!$D$34</f>
        <v>13495.833333333334</v>
      </c>
      <c r="AH52" s="323">
        <f t="shared" si="22"/>
        <v>217100.496110432</v>
      </c>
      <c r="AI52" s="324">
        <f t="shared" si="23"/>
        <v>16722.503889568063</v>
      </c>
      <c r="AJ52" s="301">
        <f t="shared" si="17"/>
        <v>41.806259723920157</v>
      </c>
      <c r="AK52" s="292">
        <f t="shared" si="18"/>
        <v>18.117555676671792</v>
      </c>
      <c r="AL52" s="1287">
        <f t="shared" si="24"/>
        <v>-2.6114290466710961</v>
      </c>
      <c r="AM52" s="1288">
        <f t="shared" si="25"/>
        <v>20.728984723342887</v>
      </c>
    </row>
    <row r="53" spans="1:49" x14ac:dyDescent="0.2">
      <c r="B53" s="401">
        <f t="shared" si="33"/>
        <v>2.1000000000000005</v>
      </c>
      <c r="C53" s="923">
        <f>IF(Input!$E$57&gt;0,AI53,0)</f>
        <v>11616.503889568063</v>
      </c>
      <c r="D53" s="399">
        <f t="shared" si="30"/>
        <v>29.041259723920156</v>
      </c>
      <c r="E53" s="399">
        <f t="shared" si="31"/>
        <v>12.585594679922062</v>
      </c>
      <c r="F53" s="1335">
        <f t="shared" si="32"/>
        <v>15.197023726593159</v>
      </c>
      <c r="W53" s="282">
        <f>Input!$E$52</f>
        <v>0</v>
      </c>
      <c r="X53" s="282">
        <f>Input!$E$57</f>
        <v>851</v>
      </c>
      <c r="Y53" s="70">
        <f>Input!$E$24</f>
        <v>72</v>
      </c>
      <c r="Z53" s="282"/>
      <c r="AA53" s="27">
        <f t="shared" si="27"/>
        <v>15</v>
      </c>
      <c r="AB53" s="1318">
        <f t="shared" si="15"/>
        <v>0</v>
      </c>
      <c r="AC53" s="325">
        <f t="shared" si="16"/>
        <v>214452.00000000006</v>
      </c>
      <c r="AD53" s="322">
        <f>Income_Expense!$D$10+Income_Expense!$D$11+Income_Expense!$D$12+Income_Expense!$D$13</f>
        <v>14265</v>
      </c>
      <c r="AE53" s="323">
        <f t="shared" si="21"/>
        <v>228717.00000000006</v>
      </c>
      <c r="AF53" s="321">
        <f>Income_Expense!$D$31</f>
        <v>203604.66277709865</v>
      </c>
      <c r="AG53" s="322">
        <f>Income_Expense!$D$34</f>
        <v>13495.833333333334</v>
      </c>
      <c r="AH53" s="323">
        <f t="shared" si="22"/>
        <v>217100.496110432</v>
      </c>
      <c r="AI53" s="324">
        <f t="shared" si="23"/>
        <v>11616.503889568063</v>
      </c>
      <c r="AJ53" s="301">
        <f t="shared" si="17"/>
        <v>29.041259723920156</v>
      </c>
      <c r="AK53" s="292">
        <f t="shared" si="18"/>
        <v>12.585594679922062</v>
      </c>
      <c r="AL53" s="1287">
        <f t="shared" si="24"/>
        <v>-2.6114290466710961</v>
      </c>
      <c r="AM53" s="1288">
        <f t="shared" si="25"/>
        <v>15.197023726593159</v>
      </c>
    </row>
    <row r="54" spans="1:49" x14ac:dyDescent="0.2">
      <c r="B54" s="401">
        <f t="shared" si="33"/>
        <v>2.0500000000000007</v>
      </c>
      <c r="C54" s="923">
        <f>IF(Input!$E$57&gt;0,AI54,0)</f>
        <v>6510.5038895680627</v>
      </c>
      <c r="D54" s="399">
        <f t="shared" si="30"/>
        <v>16.276259723920155</v>
      </c>
      <c r="E54" s="399">
        <f t="shared" si="31"/>
        <v>7.0536336831723325</v>
      </c>
      <c r="F54" s="1335">
        <f t="shared" si="32"/>
        <v>9.6650627298434291</v>
      </c>
      <c r="W54" s="282">
        <f>Input!$E$52</f>
        <v>0</v>
      </c>
      <c r="X54" s="282">
        <f>Input!$E$57</f>
        <v>851</v>
      </c>
      <c r="Y54" s="70">
        <f>Input!$E$24</f>
        <v>72</v>
      </c>
      <c r="Z54" s="282"/>
      <c r="AA54" s="27">
        <f t="shared" si="27"/>
        <v>16</v>
      </c>
      <c r="AB54" s="1318">
        <f t="shared" si="15"/>
        <v>0</v>
      </c>
      <c r="AC54" s="325">
        <f t="shared" si="16"/>
        <v>209346.00000000006</v>
      </c>
      <c r="AD54" s="322">
        <f>Income_Expense!$D$10+Income_Expense!$D$11+Income_Expense!$D$12+Income_Expense!$D$13</f>
        <v>14265</v>
      </c>
      <c r="AE54" s="323">
        <f t="shared" si="21"/>
        <v>223611.00000000006</v>
      </c>
      <c r="AF54" s="321">
        <f>Income_Expense!$D$31</f>
        <v>203604.66277709865</v>
      </c>
      <c r="AG54" s="322">
        <f>Income_Expense!$D$34</f>
        <v>13495.833333333334</v>
      </c>
      <c r="AH54" s="323">
        <f t="shared" si="22"/>
        <v>217100.496110432</v>
      </c>
      <c r="AI54" s="324">
        <f t="shared" si="23"/>
        <v>6510.5038895680627</v>
      </c>
      <c r="AJ54" s="301">
        <f t="shared" si="17"/>
        <v>16.276259723920155</v>
      </c>
      <c r="AK54" s="292">
        <f t="shared" si="18"/>
        <v>7.0536336831723325</v>
      </c>
      <c r="AL54" s="1287">
        <f t="shared" si="24"/>
        <v>-2.6114290466710961</v>
      </c>
      <c r="AM54" s="1288">
        <f t="shared" si="25"/>
        <v>9.6650627298434291</v>
      </c>
    </row>
    <row r="55" spans="1:49" x14ac:dyDescent="0.2">
      <c r="B55" s="401">
        <f t="shared" si="33"/>
        <v>2.0000000000000009</v>
      </c>
      <c r="C55" s="923">
        <f>IF(Input!$E$57&gt;0,AI55,0)</f>
        <v>1404.5038895680918</v>
      </c>
      <c r="D55" s="399">
        <f t="shared" si="30"/>
        <v>3.5112597239202294</v>
      </c>
      <c r="E55" s="399">
        <f t="shared" si="31"/>
        <v>1.5216726864226346</v>
      </c>
      <c r="F55" s="1335">
        <f t="shared" si="32"/>
        <v>4.1331017330937305</v>
      </c>
      <c r="W55" s="282">
        <f>Input!$E$52</f>
        <v>0</v>
      </c>
      <c r="X55" s="282">
        <f>Input!$E$57</f>
        <v>851</v>
      </c>
      <c r="Y55" s="70">
        <f>Input!$E$24</f>
        <v>72</v>
      </c>
      <c r="Z55" s="282"/>
      <c r="AA55" s="27">
        <f t="shared" si="27"/>
        <v>17</v>
      </c>
      <c r="AB55" s="1318">
        <f t="shared" si="15"/>
        <v>0</v>
      </c>
      <c r="AC55" s="325">
        <f t="shared" si="16"/>
        <v>204240.00000000009</v>
      </c>
      <c r="AD55" s="322">
        <f>Income_Expense!$D$10+Income_Expense!$D$11+Income_Expense!$D$12+Income_Expense!$D$13</f>
        <v>14265</v>
      </c>
      <c r="AE55" s="323">
        <f t="shared" si="21"/>
        <v>218505.00000000009</v>
      </c>
      <c r="AF55" s="321">
        <f>Income_Expense!$D$31</f>
        <v>203604.66277709865</v>
      </c>
      <c r="AG55" s="322">
        <f>Income_Expense!$D$34</f>
        <v>13495.833333333334</v>
      </c>
      <c r="AH55" s="323">
        <f t="shared" si="22"/>
        <v>217100.496110432</v>
      </c>
      <c r="AI55" s="324">
        <f t="shared" si="23"/>
        <v>1404.5038895680918</v>
      </c>
      <c r="AJ55" s="301">
        <f t="shared" si="17"/>
        <v>3.5112597239202294</v>
      </c>
      <c r="AK55" s="292">
        <f t="shared" si="18"/>
        <v>1.5216726864226346</v>
      </c>
      <c r="AL55" s="1287">
        <f t="shared" si="24"/>
        <v>-2.6114290466710961</v>
      </c>
      <c r="AM55" s="1288">
        <f t="shared" si="25"/>
        <v>4.1331017330937305</v>
      </c>
    </row>
    <row r="56" spans="1:49" x14ac:dyDescent="0.2">
      <c r="B56" s="401">
        <f t="shared" si="33"/>
        <v>1.9500000000000008</v>
      </c>
      <c r="C56" s="923">
        <f>IF(Input!$E$57&gt;0,AI56,0)</f>
        <v>-3701.4961104319082</v>
      </c>
      <c r="D56" s="399">
        <f t="shared" si="30"/>
        <v>-9.2537402760797711</v>
      </c>
      <c r="E56" s="399">
        <f t="shared" si="31"/>
        <v>-4.0102883103270948</v>
      </c>
      <c r="F56" s="1335">
        <f t="shared" si="32"/>
        <v>-1.3988592636559987</v>
      </c>
      <c r="W56" s="282">
        <f>Input!$E$52</f>
        <v>0</v>
      </c>
      <c r="X56" s="282">
        <f>Input!$E$57</f>
        <v>851</v>
      </c>
      <c r="Y56" s="70">
        <f>Input!$E$24</f>
        <v>72</v>
      </c>
      <c r="Z56" s="282"/>
      <c r="AA56" s="27">
        <f t="shared" si="27"/>
        <v>18</v>
      </c>
      <c r="AB56" s="1318">
        <f t="shared" si="15"/>
        <v>0</v>
      </c>
      <c r="AC56" s="325">
        <f t="shared" si="16"/>
        <v>199134.00000000009</v>
      </c>
      <c r="AD56" s="322">
        <f>Income_Expense!$D$10+Income_Expense!$D$11+Income_Expense!$D$12+Income_Expense!$D$13</f>
        <v>14265</v>
      </c>
      <c r="AE56" s="323">
        <f t="shared" si="21"/>
        <v>213399.00000000009</v>
      </c>
      <c r="AF56" s="321">
        <f>Income_Expense!$D$31</f>
        <v>203604.66277709865</v>
      </c>
      <c r="AG56" s="322">
        <f>Income_Expense!$D$34</f>
        <v>13495.833333333334</v>
      </c>
      <c r="AH56" s="323">
        <f t="shared" si="22"/>
        <v>217100.496110432</v>
      </c>
      <c r="AI56" s="324">
        <f t="shared" si="23"/>
        <v>-3701.4961104319082</v>
      </c>
      <c r="AJ56" s="301">
        <f t="shared" si="17"/>
        <v>-9.2537402760797711</v>
      </c>
      <c r="AK56" s="292">
        <f t="shared" si="18"/>
        <v>-4.0102883103270948</v>
      </c>
      <c r="AL56" s="1287">
        <f t="shared" si="24"/>
        <v>-2.6114290466710961</v>
      </c>
      <c r="AM56" s="1288">
        <f t="shared" si="25"/>
        <v>-1.3988592636559987</v>
      </c>
    </row>
    <row r="57" spans="1:49" x14ac:dyDescent="0.2">
      <c r="B57" s="401">
        <f t="shared" si="33"/>
        <v>1.9000000000000008</v>
      </c>
      <c r="C57" s="923">
        <f>IF(Input!$E$57&gt;0,AI57,0)</f>
        <v>-8807.4961104319373</v>
      </c>
      <c r="D57" s="399">
        <f t="shared" si="30"/>
        <v>-22.018740276079843</v>
      </c>
      <c r="E57" s="399">
        <f t="shared" si="31"/>
        <v>-9.5422493070768546</v>
      </c>
      <c r="F57" s="1335">
        <f t="shared" si="32"/>
        <v>-6.930820260405758</v>
      </c>
      <c r="W57" s="282">
        <f>Input!$E$52</f>
        <v>0</v>
      </c>
      <c r="X57" s="282">
        <f>Input!$E$57</f>
        <v>851</v>
      </c>
      <c r="Y57" s="70">
        <f>Input!$E$24</f>
        <v>72</v>
      </c>
      <c r="Z57" s="282"/>
      <c r="AA57" s="27">
        <f t="shared" si="27"/>
        <v>19</v>
      </c>
      <c r="AB57" s="1318">
        <f t="shared" si="15"/>
        <v>0</v>
      </c>
      <c r="AC57" s="325">
        <f t="shared" si="16"/>
        <v>194028.00000000006</v>
      </c>
      <c r="AD57" s="322">
        <f>Income_Expense!$D$10+Income_Expense!$D$11+Income_Expense!$D$12+Income_Expense!$D$13</f>
        <v>14265</v>
      </c>
      <c r="AE57" s="323">
        <f t="shared" si="21"/>
        <v>208293.00000000006</v>
      </c>
      <c r="AF57" s="321">
        <f>Income_Expense!$D$31</f>
        <v>203604.66277709865</v>
      </c>
      <c r="AG57" s="322">
        <f>Income_Expense!$D$34</f>
        <v>13495.833333333334</v>
      </c>
      <c r="AH57" s="323">
        <f t="shared" si="22"/>
        <v>217100.496110432</v>
      </c>
      <c r="AI57" s="324">
        <f t="shared" si="23"/>
        <v>-8807.4961104319373</v>
      </c>
      <c r="AJ57" s="301">
        <f t="shared" si="17"/>
        <v>-22.018740276079843</v>
      </c>
      <c r="AK57" s="292">
        <f t="shared" si="18"/>
        <v>-9.5422493070768546</v>
      </c>
      <c r="AL57" s="1287">
        <f t="shared" si="24"/>
        <v>-2.6114290466710961</v>
      </c>
      <c r="AM57" s="1288">
        <f t="shared" si="25"/>
        <v>-6.930820260405758</v>
      </c>
    </row>
    <row r="58" spans="1:49" x14ac:dyDescent="0.2">
      <c r="B58" s="401">
        <f t="shared" si="33"/>
        <v>1.8500000000000008</v>
      </c>
      <c r="C58" s="923">
        <f>IF(Input!$E$57&gt;0,AI58,0)</f>
        <v>-13913.496110431937</v>
      </c>
      <c r="D58" s="399">
        <f t="shared" si="30"/>
        <v>-34.78374027607984</v>
      </c>
      <c r="E58" s="399">
        <f t="shared" si="31"/>
        <v>-15.074210303826584</v>
      </c>
      <c r="F58" s="1335">
        <f t="shared" si="32"/>
        <v>-12.462781257155488</v>
      </c>
      <c r="W58" s="282">
        <f>Input!$E$52</f>
        <v>0</v>
      </c>
      <c r="X58" s="282">
        <f>Input!$E$57</f>
        <v>851</v>
      </c>
      <c r="Y58" s="70">
        <f>Input!$E$24</f>
        <v>72</v>
      </c>
      <c r="Z58" s="282"/>
      <c r="AA58" s="27">
        <f t="shared" si="27"/>
        <v>20</v>
      </c>
      <c r="AB58" s="1318">
        <f t="shared" si="15"/>
        <v>0</v>
      </c>
      <c r="AC58" s="325">
        <f t="shared" si="16"/>
        <v>188922.00000000006</v>
      </c>
      <c r="AD58" s="322">
        <f>Income_Expense!$D$10+Income_Expense!$D$11+Income_Expense!$D$12+Income_Expense!$D$13</f>
        <v>14265</v>
      </c>
      <c r="AE58" s="323">
        <f t="shared" si="21"/>
        <v>203187.00000000006</v>
      </c>
      <c r="AF58" s="321">
        <f>Income_Expense!$D$31</f>
        <v>203604.66277709865</v>
      </c>
      <c r="AG58" s="322">
        <f>Income_Expense!$D$34</f>
        <v>13495.833333333334</v>
      </c>
      <c r="AH58" s="323">
        <f t="shared" si="22"/>
        <v>217100.496110432</v>
      </c>
      <c r="AI58" s="324">
        <f t="shared" si="23"/>
        <v>-13913.496110431937</v>
      </c>
      <c r="AJ58" s="301">
        <f t="shared" si="17"/>
        <v>-34.78374027607984</v>
      </c>
      <c r="AK58" s="292">
        <f t="shared" si="18"/>
        <v>-15.074210303826584</v>
      </c>
      <c r="AL58" s="1287">
        <f t="shared" si="24"/>
        <v>-2.6114290466710961</v>
      </c>
      <c r="AM58" s="1288">
        <f t="shared" si="25"/>
        <v>-12.462781257155488</v>
      </c>
    </row>
    <row r="59" spans="1:49" ht="13.5" thickBot="1" x14ac:dyDescent="0.25">
      <c r="B59" s="403">
        <f t="shared" si="33"/>
        <v>1.8000000000000007</v>
      </c>
      <c r="C59" s="1306">
        <f>IF(Input!$E$57&gt;0,AI59,0)</f>
        <v>-19019.496110431937</v>
      </c>
      <c r="D59" s="1336">
        <f t="shared" si="30"/>
        <v>-47.54874027607984</v>
      </c>
      <c r="E59" s="1336">
        <f t="shared" si="31"/>
        <v>-20.606171300576314</v>
      </c>
      <c r="F59" s="1295">
        <f t="shared" si="32"/>
        <v>-17.994742253905219</v>
      </c>
      <c r="V59" s="27" t="s">
        <v>790</v>
      </c>
      <c r="W59" s="282">
        <f>Input!$E$52</f>
        <v>0</v>
      </c>
      <c r="X59" s="282">
        <f>Input!$E$57</f>
        <v>851</v>
      </c>
      <c r="Y59" s="70">
        <f>Input!$E$24</f>
        <v>72</v>
      </c>
      <c r="Z59" s="282"/>
      <c r="AA59" s="27">
        <f t="shared" si="27"/>
        <v>21</v>
      </c>
      <c r="AB59" s="1331">
        <f t="shared" si="15"/>
        <v>0</v>
      </c>
      <c r="AC59" s="370">
        <f t="shared" si="16"/>
        <v>183816.00000000006</v>
      </c>
      <c r="AD59" s="826">
        <f>Income_Expense!$D$10+Income_Expense!$D$11+Income_Expense!$D$12+Income_Expense!$D$13</f>
        <v>14265</v>
      </c>
      <c r="AE59" s="827">
        <f t="shared" si="21"/>
        <v>198081.00000000006</v>
      </c>
      <c r="AF59" s="307">
        <f>Income_Expense!$D$31</f>
        <v>203604.66277709865</v>
      </c>
      <c r="AG59" s="308">
        <f>Income_Expense!$D$34</f>
        <v>13495.833333333334</v>
      </c>
      <c r="AH59" s="313">
        <f t="shared" si="22"/>
        <v>217100.496110432</v>
      </c>
      <c r="AI59" s="317">
        <f t="shared" si="23"/>
        <v>-19019.496110431937</v>
      </c>
      <c r="AJ59" s="23">
        <f t="shared" si="17"/>
        <v>-47.54874027607984</v>
      </c>
      <c r="AK59" s="293">
        <f t="shared" si="18"/>
        <v>-20.606171300576314</v>
      </c>
      <c r="AL59" s="1291">
        <f t="shared" si="24"/>
        <v>-2.6114290466710961</v>
      </c>
      <c r="AM59" s="1292">
        <f t="shared" si="25"/>
        <v>-17.994742253905219</v>
      </c>
    </row>
    <row r="60" spans="1:49" x14ac:dyDescent="0.2">
      <c r="V60" t="s">
        <v>629</v>
      </c>
      <c r="W60" s="30">
        <f>Input!$E$53</f>
        <v>2.6</v>
      </c>
      <c r="X60" s="30">
        <f>Input!$E$58</f>
        <v>2.2999999999999998</v>
      </c>
      <c r="Y60" s="30">
        <f>X60</f>
        <v>2.2999999999999998</v>
      </c>
      <c r="AJ60" s="757">
        <f>Income_Expense!$D$99</f>
        <v>400</v>
      </c>
      <c r="AK60" s="757">
        <f>Income_Expense!$D$158</f>
        <v>923</v>
      </c>
      <c r="AL60" s="506" t="s">
        <v>643</v>
      </c>
      <c r="AW60" s="65" t="s">
        <v>950</v>
      </c>
    </row>
    <row r="61" spans="1:49" x14ac:dyDescent="0.2">
      <c r="V61" s="27" t="s">
        <v>630</v>
      </c>
      <c r="W61" s="1282">
        <f>Input!$E$51</f>
        <v>0</v>
      </c>
      <c r="X61" s="1282">
        <f>Input!$E$56</f>
        <v>120</v>
      </c>
      <c r="Y61" s="1282">
        <f>X61</f>
        <v>120</v>
      </c>
      <c r="Z61" s="30"/>
      <c r="AA61" s="30"/>
      <c r="AB61" s="30"/>
      <c r="AC61" s="30"/>
      <c r="AD61" s="30"/>
      <c r="AE61" s="30"/>
      <c r="AF61" s="30"/>
      <c r="AK61" s="757">
        <f>Income_Expense!$D$153</f>
        <v>851</v>
      </c>
      <c r="AL61" s="366" t="s">
        <v>939</v>
      </c>
      <c r="AW61" s="833">
        <f>Income_Expense!$D$43-Income_Expense!$D$41</f>
        <v>-2410.3490100774216</v>
      </c>
    </row>
    <row r="62" spans="1:49" x14ac:dyDescent="0.2">
      <c r="U62" s="27"/>
      <c r="V62" s="282"/>
      <c r="W62" s="282"/>
      <c r="X62" s="282"/>
      <c r="Y62" s="282"/>
      <c r="Z62" s="282"/>
      <c r="AA62" s="282"/>
      <c r="AB62" s="27"/>
      <c r="AC62" s="27"/>
      <c r="AD62" s="27"/>
      <c r="AE62" s="282"/>
      <c r="AF62" s="282"/>
      <c r="AW62" s="65" t="s">
        <v>952</v>
      </c>
    </row>
    <row r="63" spans="1:49" ht="15.75" thickBot="1" x14ac:dyDescent="0.3">
      <c r="B63" s="95" t="s">
        <v>659</v>
      </c>
      <c r="C63" s="95"/>
      <c r="D63" s="95"/>
    </row>
    <row r="64" spans="1:49" ht="13.5" thickBot="1" x14ac:dyDescent="0.25">
      <c r="B64" s="278" t="s">
        <v>624</v>
      </c>
      <c r="C64" s="1206"/>
      <c r="D64" s="1281" t="s">
        <v>619</v>
      </c>
      <c r="E64" s="1298"/>
      <c r="F64" s="280" t="s">
        <v>955</v>
      </c>
      <c r="G64" s="29"/>
      <c r="V64" s="65" t="s">
        <v>0</v>
      </c>
      <c r="W64" s="56" t="s">
        <v>635</v>
      </c>
      <c r="Z64" s="1"/>
      <c r="AA64" s="280" t="s">
        <v>639</v>
      </c>
      <c r="AB64" s="280" t="s">
        <v>640</v>
      </c>
      <c r="AC64" s="280" t="s">
        <v>639</v>
      </c>
      <c r="AD64" s="164" t="s">
        <v>640</v>
      </c>
      <c r="AF64" s="56" t="s">
        <v>647</v>
      </c>
      <c r="AJ64" s="380" t="s">
        <v>716</v>
      </c>
      <c r="AK64" s="137" t="s">
        <v>717</v>
      </c>
      <c r="AL64" s="38"/>
      <c r="AM64" s="164" t="s">
        <v>174</v>
      </c>
      <c r="AN64" s="1"/>
      <c r="AO64" s="280" t="s">
        <v>648</v>
      </c>
      <c r="AP64" s="104"/>
      <c r="AQ64" s="278" t="s">
        <v>632</v>
      </c>
      <c r="AR64" s="278" t="s">
        <v>174</v>
      </c>
      <c r="AS64" s="37"/>
      <c r="AT64" s="280" t="s">
        <v>619</v>
      </c>
      <c r="AU64" s="335"/>
      <c r="AV64" s="333" t="s">
        <v>938</v>
      </c>
      <c r="AW64" s="1297" t="s">
        <v>958</v>
      </c>
    </row>
    <row r="65" spans="1:49" ht="13.5" thickBot="1" x14ac:dyDescent="0.25">
      <c r="B65" s="281" t="s">
        <v>625</v>
      </c>
      <c r="C65" s="353" t="s">
        <v>174</v>
      </c>
      <c r="D65" s="288" t="s">
        <v>620</v>
      </c>
      <c r="E65" s="287" t="s">
        <v>957</v>
      </c>
      <c r="F65" s="1304" t="s">
        <v>956</v>
      </c>
      <c r="G65" s="29"/>
      <c r="V65" s="65" t="s">
        <v>636</v>
      </c>
      <c r="W65" s="65" t="s">
        <v>628</v>
      </c>
      <c r="X65" s="65" t="s">
        <v>627</v>
      </c>
      <c r="Y65" s="65" t="s">
        <v>25</v>
      </c>
      <c r="Z65" s="373" t="s">
        <v>637</v>
      </c>
      <c r="AA65" s="65" t="s">
        <v>638</v>
      </c>
      <c r="AB65" s="65" t="s">
        <v>641</v>
      </c>
      <c r="AC65" s="65" t="s">
        <v>642</v>
      </c>
      <c r="AD65" s="365" t="s">
        <v>643</v>
      </c>
      <c r="AF65" s="65" t="s">
        <v>627</v>
      </c>
      <c r="AG65" s="65" t="s">
        <v>628</v>
      </c>
      <c r="AH65" s="27"/>
      <c r="AJ65" s="297" t="s">
        <v>645</v>
      </c>
      <c r="AK65" s="298" t="s">
        <v>646</v>
      </c>
      <c r="AL65" s="298" t="s">
        <v>657</v>
      </c>
      <c r="AM65" s="299" t="s">
        <v>626</v>
      </c>
      <c r="AN65" s="286" t="s">
        <v>649</v>
      </c>
      <c r="AO65" s="339" t="s">
        <v>650</v>
      </c>
      <c r="AP65" s="287" t="s">
        <v>651</v>
      </c>
      <c r="AQ65" s="281" t="s">
        <v>653</v>
      </c>
      <c r="AR65" s="281" t="s">
        <v>653</v>
      </c>
      <c r="AS65" s="336" t="s">
        <v>942</v>
      </c>
      <c r="AT65" s="288" t="s">
        <v>633</v>
      </c>
      <c r="AU65" s="288" t="s">
        <v>634</v>
      </c>
      <c r="AV65" s="334" t="s">
        <v>939</v>
      </c>
      <c r="AW65" s="281" t="s">
        <v>634</v>
      </c>
    </row>
    <row r="66" spans="1:49" x14ac:dyDescent="0.2">
      <c r="B66" s="405">
        <f t="shared" ref="B66:B73" si="34">B67+0.1</f>
        <v>2.8000000000000007</v>
      </c>
      <c r="C66" s="340">
        <f t="shared" ref="C66:C82" si="35">AS66</f>
        <v>105511.40638933478</v>
      </c>
      <c r="D66" s="302">
        <f t="shared" ref="D66:D82" si="36">AT66</f>
        <v>263.77851597333694</v>
      </c>
      <c r="E66" s="404">
        <f t="shared" ref="E66:E82" si="37">AU66</f>
        <v>86.413928246793404</v>
      </c>
      <c r="F66" s="30">
        <f>AW66</f>
        <v>88.388006060124624</v>
      </c>
      <c r="G66" s="29"/>
      <c r="V66" s="371">
        <f>AD66</f>
        <v>1293.0000000000005</v>
      </c>
      <c r="W66" s="372">
        <f>IF($W$74&gt;0,V66-$Y$74,0)</f>
        <v>0</v>
      </c>
      <c r="X66" s="372">
        <f t="shared" ref="X66:X73" si="38">IF($X$74&gt;0,V66-Y66,0)</f>
        <v>1221.0000000000005</v>
      </c>
      <c r="Y66" s="70">
        <f>Input!$E$24+Input!$E$62+Input!$E$64+Input!$E$66+Input!$E$90</f>
        <v>72</v>
      </c>
      <c r="Z66" s="374">
        <f>(Input!$E$36*B66)*12</f>
        <v>1512.0000000000005</v>
      </c>
      <c r="AA66" s="375">
        <f>ROUND(Input!$E$40*Z66,0)</f>
        <v>151</v>
      </c>
      <c r="AB66" s="379">
        <f>Z66-AA66</f>
        <v>1361.0000000000005</v>
      </c>
      <c r="AC66" s="375">
        <f>ROUND(Input!$E$44*AB66,0)</f>
        <v>68</v>
      </c>
      <c r="AD66" s="427">
        <f>AB66-AC66</f>
        <v>1293.0000000000005</v>
      </c>
      <c r="AF66" s="282">
        <f t="shared" ref="AF66:AF75" si="39">X66</f>
        <v>1221.0000000000005</v>
      </c>
      <c r="AG66" s="282">
        <f>W66</f>
        <v>0</v>
      </c>
      <c r="AH66" s="27"/>
      <c r="AJ66" s="305">
        <f t="shared" ref="AJ66:AJ82" si="40">X66*$X$85*$X$86</f>
        <v>336996.00000000006</v>
      </c>
      <c r="AK66" s="306">
        <f t="shared" ref="AK66:AK82" si="41">W66*$W$85*$W$86</f>
        <v>0</v>
      </c>
      <c r="AL66" s="306">
        <f>Income_Expense!$D$10+Income_Expense!$D$11+Income_Expense!$D$12+Income_Expense!$D$13</f>
        <v>14265</v>
      </c>
      <c r="AM66" s="381">
        <f>AJ66+AK66+AL66</f>
        <v>351261.00000000006</v>
      </c>
      <c r="AN66" s="873">
        <f>Monthly!$AD$65+Monthly!$AD$88*(W66+X66+Y66)-Monthly!$Q$88</f>
        <v>125218.71670915381</v>
      </c>
      <c r="AO66" s="874">
        <f>(AF66+AG66)*(Input!$E$360+Input!$E$365+Input!$E$370)+(Input!$E$22+Input!$E$74)*(Input!$E$361+Input!$E$366+Input!$E$371)</f>
        <v>26173.200000000008</v>
      </c>
      <c r="AP66" s="875">
        <f>Income_Expense!$D$31-Income_Expense!$D$16-Income_Expense!$D$26</f>
        <v>80861.843568178127</v>
      </c>
      <c r="AQ66" s="328">
        <f>Income_Expense!$D$34</f>
        <v>13495.833333333334</v>
      </c>
      <c r="AR66" s="329">
        <f>AN66+AO66+AP66+AQ66</f>
        <v>245749.5936106653</v>
      </c>
      <c r="AS66" s="879">
        <f t="shared" ref="AS66:AS82" si="42">AM66-AN66-AO66-AP66-AQ66</f>
        <v>105511.40638933478</v>
      </c>
      <c r="AT66" s="302">
        <f t="shared" ref="AT66:AT82" si="43">AS66/$AT$83</f>
        <v>263.77851597333694</v>
      </c>
      <c r="AU66" s="302">
        <f>AS66/AV66</f>
        <v>86.413928246793404</v>
      </c>
      <c r="AV66" s="882">
        <f t="shared" ref="AV66:AV73" si="44">AF66+AG66</f>
        <v>1221.0000000000005</v>
      </c>
      <c r="AW66" s="1300">
        <f>AU66-($AW$61/AV66)</f>
        <v>88.388006060124624</v>
      </c>
    </row>
    <row r="67" spans="1:49" x14ac:dyDescent="0.2">
      <c r="B67" s="405">
        <f t="shared" si="34"/>
        <v>2.7000000000000006</v>
      </c>
      <c r="C67" s="342">
        <f t="shared" si="35"/>
        <v>96178.616071796903</v>
      </c>
      <c r="D67" s="291">
        <f t="shared" si="36"/>
        <v>240.44654017949225</v>
      </c>
      <c r="E67" s="406">
        <f t="shared" si="37"/>
        <v>81.923863774954739</v>
      </c>
      <c r="F67" s="1301">
        <f t="shared" ref="F67:F82" si="45">AW67</f>
        <v>83.976971960710628</v>
      </c>
      <c r="G67" s="29"/>
      <c r="V67" s="371">
        <f t="shared" ref="V67:V82" si="46">AD67</f>
        <v>1246.0000000000005</v>
      </c>
      <c r="W67" s="372">
        <f t="shared" ref="W67:W73" si="47">IF($W$74&gt;0,V67-$Y$74,0)</f>
        <v>0</v>
      </c>
      <c r="X67" s="372">
        <f t="shared" si="38"/>
        <v>1174.0000000000005</v>
      </c>
      <c r="Y67" s="70">
        <f>Input!$E$24+Input!$E$62+Input!$E$64+Input!$E$66+Input!$E$90</f>
        <v>72</v>
      </c>
      <c r="Z67" s="374">
        <f>(Input!$E$36*B67)*12</f>
        <v>1458.0000000000005</v>
      </c>
      <c r="AA67" s="375">
        <f>ROUND(Input!$E$40*Z67,0)</f>
        <v>146</v>
      </c>
      <c r="AB67" s="379">
        <f>Z67-AA67</f>
        <v>1312.0000000000005</v>
      </c>
      <c r="AC67" s="375">
        <f>ROUND(Input!$E$44*AB67,0)</f>
        <v>66</v>
      </c>
      <c r="AD67" s="427">
        <f>AB67-AC67</f>
        <v>1246.0000000000005</v>
      </c>
      <c r="AF67" s="282">
        <f t="shared" si="39"/>
        <v>1174.0000000000005</v>
      </c>
      <c r="AG67" s="282">
        <f>W67</f>
        <v>0</v>
      </c>
      <c r="AH67" s="27"/>
      <c r="AJ67" s="321">
        <f t="shared" si="40"/>
        <v>324024.00000000012</v>
      </c>
      <c r="AK67" s="322">
        <f t="shared" si="41"/>
        <v>0</v>
      </c>
      <c r="AL67" s="498">
        <f>Income_Expense!$D$10+Income_Expense!$D$11+Income_Expense!$D$12+Income_Expense!$D$13</f>
        <v>14265</v>
      </c>
      <c r="AM67" s="382">
        <f>AJ67+AK67+AL67</f>
        <v>338289.00000000012</v>
      </c>
      <c r="AN67" s="873">
        <f>Monthly!$AD$65+Monthly!$AD$88*(W67+X67+Y67)-Monthly!$Q$88</f>
        <v>122538.30702669176</v>
      </c>
      <c r="AO67" s="874">
        <f>(AF67+AG67)*(Input!$E$360+Input!$E$365+Input!$E$370)+(Input!$E$22+Input!$E$74)*(Input!$E$361+Input!$E$366+Input!$E$371)</f>
        <v>25214.400000000005</v>
      </c>
      <c r="AP67" s="875">
        <f>Income_Expense!$D$31-Income_Expense!$D$16-Income_Expense!$D$26</f>
        <v>80861.843568178127</v>
      </c>
      <c r="AQ67" s="331">
        <f>Income_Expense!$D$34</f>
        <v>13495.833333333334</v>
      </c>
      <c r="AR67" s="332">
        <f t="shared" ref="AR67:AR82" si="48">AN67+AO67+AP67+AQ67</f>
        <v>242110.38392820323</v>
      </c>
      <c r="AS67" s="337">
        <f t="shared" si="42"/>
        <v>96178.616071796903</v>
      </c>
      <c r="AT67" s="291">
        <f t="shared" si="43"/>
        <v>240.44654017949225</v>
      </c>
      <c r="AU67" s="291">
        <f>AS67/AV67</f>
        <v>81.923863774954739</v>
      </c>
      <c r="AV67" s="882">
        <f t="shared" si="44"/>
        <v>1174.0000000000005</v>
      </c>
      <c r="AW67" s="1301">
        <f t="shared" ref="AW67:AW82" si="49">AU67-($AW$61/AV67)</f>
        <v>83.976971960710628</v>
      </c>
    </row>
    <row r="68" spans="1:49" x14ac:dyDescent="0.2">
      <c r="B68" s="405">
        <f t="shared" si="34"/>
        <v>2.6000000000000005</v>
      </c>
      <c r="C68" s="342">
        <f t="shared" si="35"/>
        <v>87242.965767771224</v>
      </c>
      <c r="D68" s="291">
        <f t="shared" si="36"/>
        <v>218.10741441942807</v>
      </c>
      <c r="E68" s="406">
        <f t="shared" si="37"/>
        <v>77.274548952853138</v>
      </c>
      <c r="F68" s="1301">
        <f t="shared" si="45"/>
        <v>79.409490502965994</v>
      </c>
      <c r="G68" s="29"/>
      <c r="V68" s="371">
        <f t="shared" si="46"/>
        <v>1201.0000000000005</v>
      </c>
      <c r="W68" s="372">
        <f t="shared" si="47"/>
        <v>0</v>
      </c>
      <c r="X68" s="372">
        <f t="shared" si="38"/>
        <v>1129.0000000000005</v>
      </c>
      <c r="Y68" s="70">
        <f>Input!$E$24+Input!$E$62+Input!$E$64+Input!$E$66+Input!$E$90</f>
        <v>72</v>
      </c>
      <c r="Z68" s="374">
        <f>(Input!$E$36*B68)*12</f>
        <v>1404.0000000000005</v>
      </c>
      <c r="AA68" s="375">
        <f>ROUND(Input!$E$40*Z68,0)</f>
        <v>140</v>
      </c>
      <c r="AB68" s="379">
        <f>Z68-AA68</f>
        <v>1264.0000000000005</v>
      </c>
      <c r="AC68" s="375">
        <f>ROUND(Input!$E$44*AB68,0)</f>
        <v>63</v>
      </c>
      <c r="AD68" s="427">
        <f>AB68-AC68</f>
        <v>1201.0000000000005</v>
      </c>
      <c r="AF68" s="282">
        <f t="shared" si="39"/>
        <v>1129.0000000000005</v>
      </c>
      <c r="AG68" s="282">
        <f>W68</f>
        <v>0</v>
      </c>
      <c r="AH68" s="27"/>
      <c r="AJ68" s="321">
        <f t="shared" si="40"/>
        <v>311604.00000000012</v>
      </c>
      <c r="AK68" s="322">
        <f t="shared" si="41"/>
        <v>0</v>
      </c>
      <c r="AL68" s="498">
        <f>Income_Expense!$D$10+Income_Expense!$D$11+Income_Expense!$D$12+Income_Expense!$D$13</f>
        <v>14265</v>
      </c>
      <c r="AM68" s="382">
        <f>AJ68+AK68+AL68</f>
        <v>325869.00000000012</v>
      </c>
      <c r="AN68" s="873">
        <f>Monthly!$AD$65+Monthly!$AD$88*(W68+X68+Y68)-Monthly!$Q$88</f>
        <v>119971.95733071744</v>
      </c>
      <c r="AO68" s="874">
        <f>(AF68+AG68)*(Input!$E$360+Input!$E$365+Input!$E$370)+(Input!$E$22+Input!$E$74)*(Input!$E$361+Input!$E$366+Input!$E$371)</f>
        <v>24296.400000000009</v>
      </c>
      <c r="AP68" s="875">
        <f>Income_Expense!$D$31-Income_Expense!$D$16-Income_Expense!$D$26</f>
        <v>80861.843568178127</v>
      </c>
      <c r="AQ68" s="331">
        <f>Income_Expense!$D$34</f>
        <v>13495.833333333334</v>
      </c>
      <c r="AR68" s="332">
        <f t="shared" si="48"/>
        <v>238626.03423222891</v>
      </c>
      <c r="AS68" s="337">
        <f t="shared" si="42"/>
        <v>87242.965767771224</v>
      </c>
      <c r="AT68" s="291">
        <f t="shared" si="43"/>
        <v>218.10741441942807</v>
      </c>
      <c r="AU68" s="291">
        <f>AS68/AV68</f>
        <v>77.274548952853138</v>
      </c>
      <c r="AV68" s="882">
        <f t="shared" si="44"/>
        <v>1129.0000000000005</v>
      </c>
      <c r="AW68" s="1301">
        <f t="shared" si="49"/>
        <v>79.409490502965994</v>
      </c>
    </row>
    <row r="69" spans="1:49" x14ac:dyDescent="0.2">
      <c r="B69" s="405">
        <f t="shared" si="34"/>
        <v>2.5000000000000004</v>
      </c>
      <c r="C69" s="342">
        <f t="shared" si="35"/>
        <v>77910.175450233233</v>
      </c>
      <c r="D69" s="291">
        <f t="shared" si="36"/>
        <v>194.77543862558309</v>
      </c>
      <c r="E69" s="406">
        <f t="shared" si="37"/>
        <v>72.005707440141606</v>
      </c>
      <c r="F69" s="1301">
        <f t="shared" si="45"/>
        <v>74.23338674705235</v>
      </c>
      <c r="G69" s="29"/>
      <c r="V69" s="371">
        <f t="shared" si="46"/>
        <v>1154.0000000000002</v>
      </c>
      <c r="W69" s="372">
        <f t="shared" si="47"/>
        <v>0</v>
      </c>
      <c r="X69" s="372">
        <f t="shared" si="38"/>
        <v>1082.0000000000002</v>
      </c>
      <c r="Y69" s="70">
        <f>Input!$E$24+Input!$E$62+Input!$E$64+Input!$E$66+Input!$E$90</f>
        <v>72</v>
      </c>
      <c r="Z69" s="374">
        <f>(Input!$E$36*B69)*12</f>
        <v>1350.0000000000002</v>
      </c>
      <c r="AA69" s="375">
        <f>ROUND(Input!$E$40*Z69,0)</f>
        <v>135</v>
      </c>
      <c r="AB69" s="379">
        <f>Z69-AA69</f>
        <v>1215.0000000000002</v>
      </c>
      <c r="AC69" s="375">
        <f>ROUND(Input!$E$44*AB69,0)</f>
        <v>61</v>
      </c>
      <c r="AD69" s="427">
        <f>AB69-AC69</f>
        <v>1154.0000000000002</v>
      </c>
      <c r="AF69" s="282">
        <f t="shared" si="39"/>
        <v>1082.0000000000002</v>
      </c>
      <c r="AG69" s="282">
        <f>W69</f>
        <v>0</v>
      </c>
      <c r="AH69" s="282"/>
      <c r="AJ69" s="321">
        <f t="shared" si="40"/>
        <v>298632.00000000006</v>
      </c>
      <c r="AK69" s="322">
        <f t="shared" si="41"/>
        <v>0</v>
      </c>
      <c r="AL69" s="498">
        <f>Income_Expense!$D$10+Income_Expense!$D$11+Income_Expense!$D$12+Income_Expense!$D$13</f>
        <v>14265</v>
      </c>
      <c r="AM69" s="382">
        <f>AJ69+AK69+AL69</f>
        <v>312897.00000000006</v>
      </c>
      <c r="AN69" s="873">
        <f>Monthly!$AD$65+Monthly!$AD$88*(W69+X69+Y69)-Monthly!$Q$88</f>
        <v>117291.54764825536</v>
      </c>
      <c r="AO69" s="874">
        <f>(AF69+AG69)*(Input!$E$360+Input!$E$365+Input!$E$370)+(Input!$E$22+Input!$E$74)*(Input!$E$361+Input!$E$366+Input!$E$371)</f>
        <v>23337.600000000002</v>
      </c>
      <c r="AP69" s="875">
        <f>Income_Expense!$D$31-Income_Expense!$D$16-Income_Expense!$D$26</f>
        <v>80861.843568178127</v>
      </c>
      <c r="AQ69" s="331">
        <f>Income_Expense!$D$34</f>
        <v>13495.833333333334</v>
      </c>
      <c r="AR69" s="332">
        <f t="shared" si="48"/>
        <v>234986.82454976684</v>
      </c>
      <c r="AS69" s="337">
        <f t="shared" si="42"/>
        <v>77910.175450233233</v>
      </c>
      <c r="AT69" s="291">
        <f t="shared" si="43"/>
        <v>194.77543862558309</v>
      </c>
      <c r="AU69" s="291">
        <f>AS69/AV69</f>
        <v>72.005707440141606</v>
      </c>
      <c r="AV69" s="882">
        <f t="shared" si="44"/>
        <v>1082.0000000000002</v>
      </c>
      <c r="AW69" s="1301">
        <f t="shared" si="49"/>
        <v>74.23338674705235</v>
      </c>
    </row>
    <row r="70" spans="1:49" x14ac:dyDescent="0.2">
      <c r="B70" s="405">
        <f t="shared" si="34"/>
        <v>2.4000000000000004</v>
      </c>
      <c r="C70" s="342">
        <f t="shared" si="35"/>
        <v>68775.955139451355</v>
      </c>
      <c r="D70" s="291">
        <f t="shared" si="36"/>
        <v>171.93988784862839</v>
      </c>
      <c r="E70" s="406">
        <f t="shared" si="37"/>
        <v>66.386057084412485</v>
      </c>
      <c r="F70" s="1301">
        <f t="shared" si="45"/>
        <v>68.712648792981426</v>
      </c>
      <c r="G70" s="29"/>
      <c r="V70" s="371">
        <f t="shared" si="46"/>
        <v>1108.0000000000002</v>
      </c>
      <c r="W70" s="372">
        <f t="shared" si="47"/>
        <v>0</v>
      </c>
      <c r="X70" s="372">
        <f t="shared" si="38"/>
        <v>1036.0000000000002</v>
      </c>
      <c r="Y70" s="70">
        <f>Input!$E$24+Input!$E$62+Input!$E$64+Input!$E$66+Input!$E$90</f>
        <v>72</v>
      </c>
      <c r="Z70" s="374">
        <f>(Input!$E$36*B70)*12</f>
        <v>1296.0000000000002</v>
      </c>
      <c r="AA70" s="375">
        <f>ROUND(Input!$E$40*Z70,0)</f>
        <v>130</v>
      </c>
      <c r="AB70" s="379">
        <f t="shared" ref="AB70:AB82" si="50">Z70-AA70</f>
        <v>1166.0000000000002</v>
      </c>
      <c r="AC70" s="375">
        <f>ROUND(Input!$E$44*AB70,0)</f>
        <v>58</v>
      </c>
      <c r="AD70" s="427">
        <f t="shared" ref="AD70:AD82" si="51">AB70-AC70</f>
        <v>1108.0000000000002</v>
      </c>
      <c r="AF70" s="282">
        <f t="shared" si="39"/>
        <v>1036.0000000000002</v>
      </c>
      <c r="AG70" s="282">
        <f t="shared" ref="AG70:AG75" si="52">W70</f>
        <v>0</v>
      </c>
      <c r="AH70" s="282"/>
      <c r="AJ70" s="321">
        <f t="shared" si="40"/>
        <v>285936</v>
      </c>
      <c r="AK70" s="322">
        <f t="shared" si="41"/>
        <v>0</v>
      </c>
      <c r="AL70" s="498">
        <f>Income_Expense!$D$10+Income_Expense!$D$11+Income_Expense!$D$12+Income_Expense!$D$13</f>
        <v>14265</v>
      </c>
      <c r="AM70" s="382">
        <f t="shared" ref="AM70:AM82" si="53">AJ70+AK70+AL70</f>
        <v>300201</v>
      </c>
      <c r="AN70" s="873">
        <f>Monthly!$AD$65+Monthly!$AD$88*(W70+X70+Y70)-Monthly!$Q$88</f>
        <v>114668.16795903718</v>
      </c>
      <c r="AO70" s="874">
        <f>(AF70+AG70)*(Input!$E$360+Input!$E$365+Input!$E$370)+(Input!$E$22+Input!$E$74)*(Input!$E$361+Input!$E$366+Input!$E$371)</f>
        <v>22399.200000000001</v>
      </c>
      <c r="AP70" s="875">
        <f>Income_Expense!$D$31-Income_Expense!$D$16-Income_Expense!$D$26</f>
        <v>80861.843568178127</v>
      </c>
      <c r="AQ70" s="331">
        <f>Income_Expense!$D$34</f>
        <v>13495.833333333334</v>
      </c>
      <c r="AR70" s="332">
        <f t="shared" si="48"/>
        <v>231425.04486054866</v>
      </c>
      <c r="AS70" s="337">
        <f t="shared" si="42"/>
        <v>68775.955139451355</v>
      </c>
      <c r="AT70" s="291">
        <f t="shared" si="43"/>
        <v>171.93988784862839</v>
      </c>
      <c r="AU70" s="291">
        <f t="shared" ref="AU70:AU82" si="54">AS70/AV70</f>
        <v>66.386057084412485</v>
      </c>
      <c r="AV70" s="882">
        <f t="shared" si="44"/>
        <v>1036.0000000000002</v>
      </c>
      <c r="AW70" s="1301">
        <f t="shared" si="49"/>
        <v>68.712648792981426</v>
      </c>
    </row>
    <row r="71" spans="1:49" x14ac:dyDescent="0.2">
      <c r="B71" s="405">
        <f t="shared" si="34"/>
        <v>2.3000000000000003</v>
      </c>
      <c r="C71" s="342">
        <f t="shared" si="35"/>
        <v>59641.734828669614</v>
      </c>
      <c r="D71" s="291">
        <f t="shared" si="36"/>
        <v>149.10433707167402</v>
      </c>
      <c r="E71" s="406">
        <f t="shared" si="37"/>
        <v>60.244176594615759</v>
      </c>
      <c r="F71" s="1301">
        <f t="shared" si="45"/>
        <v>62.678872564390929</v>
      </c>
      <c r="G71" s="29"/>
      <c r="V71" s="371">
        <f t="shared" si="46"/>
        <v>1062.0000000000002</v>
      </c>
      <c r="W71" s="372">
        <f t="shared" si="47"/>
        <v>0</v>
      </c>
      <c r="X71" s="372">
        <f t="shared" si="38"/>
        <v>990.00000000000023</v>
      </c>
      <c r="Y71" s="70">
        <f>Input!$E$24+Input!$E$62+Input!$E$64+Input!$E$66+Input!$E$90</f>
        <v>72</v>
      </c>
      <c r="Z71" s="374">
        <f>(Input!$E$36*B71)*12</f>
        <v>1242.0000000000002</v>
      </c>
      <c r="AA71" s="375">
        <f>ROUND(Input!$E$40*Z71,0)</f>
        <v>124</v>
      </c>
      <c r="AB71" s="379">
        <f t="shared" si="50"/>
        <v>1118.0000000000002</v>
      </c>
      <c r="AC71" s="375">
        <f>ROUND(Input!$E$44*AB71,0)</f>
        <v>56</v>
      </c>
      <c r="AD71" s="427">
        <f t="shared" si="51"/>
        <v>1062.0000000000002</v>
      </c>
      <c r="AF71" s="282">
        <f t="shared" si="39"/>
        <v>990.00000000000023</v>
      </c>
      <c r="AG71" s="282">
        <f t="shared" si="52"/>
        <v>0</v>
      </c>
      <c r="AH71" s="282"/>
      <c r="AJ71" s="321">
        <f t="shared" si="40"/>
        <v>273240.00000000006</v>
      </c>
      <c r="AK71" s="322">
        <f t="shared" si="41"/>
        <v>0</v>
      </c>
      <c r="AL71" s="498">
        <f>Income_Expense!$D$10+Income_Expense!$D$11+Income_Expense!$D$12+Income_Expense!$D$13</f>
        <v>14265</v>
      </c>
      <c r="AM71" s="382">
        <f t="shared" si="53"/>
        <v>287505.00000000006</v>
      </c>
      <c r="AN71" s="873">
        <f>Monthly!$AD$65+Monthly!$AD$88*(W71+X71+Y71)-Monthly!$Q$88</f>
        <v>112044.78826981899</v>
      </c>
      <c r="AO71" s="874">
        <f>(AF71+AG71)*(Input!$E$360+Input!$E$365+Input!$E$370)+(Input!$E$22+Input!$E$74)*(Input!$E$361+Input!$E$366+Input!$E$371)</f>
        <v>21460.800000000003</v>
      </c>
      <c r="AP71" s="875">
        <f>Income_Expense!$D$31-Income_Expense!$D$16-Income_Expense!$D$26</f>
        <v>80861.843568178127</v>
      </c>
      <c r="AQ71" s="331">
        <f>Income_Expense!$D$34</f>
        <v>13495.833333333334</v>
      </c>
      <c r="AR71" s="332">
        <f t="shared" si="48"/>
        <v>227863.26517133045</v>
      </c>
      <c r="AS71" s="337">
        <f t="shared" si="42"/>
        <v>59641.734828669614</v>
      </c>
      <c r="AT71" s="291">
        <f t="shared" si="43"/>
        <v>149.10433707167402</v>
      </c>
      <c r="AU71" s="291">
        <f t="shared" si="54"/>
        <v>60.244176594615759</v>
      </c>
      <c r="AV71" s="882">
        <f t="shared" si="44"/>
        <v>990.00000000000023</v>
      </c>
      <c r="AW71" s="1301">
        <f t="shared" si="49"/>
        <v>62.678872564390929</v>
      </c>
    </row>
    <row r="72" spans="1:49" x14ac:dyDescent="0.2">
      <c r="B72" s="405">
        <f t="shared" si="34"/>
        <v>2.2000000000000002</v>
      </c>
      <c r="C72" s="342">
        <f t="shared" si="35"/>
        <v>50507.514517887736</v>
      </c>
      <c r="D72" s="291">
        <f t="shared" si="36"/>
        <v>126.26878629471933</v>
      </c>
      <c r="E72" s="406">
        <f t="shared" si="37"/>
        <v>53.503723006236996</v>
      </c>
      <c r="F72" s="1301">
        <f t="shared" si="45"/>
        <v>56.057058821996975</v>
      </c>
      <c r="G72" s="29"/>
      <c r="V72" s="371">
        <f t="shared" si="46"/>
        <v>1016.0000000000002</v>
      </c>
      <c r="W72" s="372">
        <f t="shared" si="47"/>
        <v>0</v>
      </c>
      <c r="X72" s="372">
        <f t="shared" si="38"/>
        <v>944.00000000000023</v>
      </c>
      <c r="Y72" s="70">
        <f>Input!$E$24+Input!$E$62+Input!$E$64+Input!$E$66+Input!$E$90</f>
        <v>72</v>
      </c>
      <c r="Z72" s="374">
        <f>(Input!$E$36*B72)*12</f>
        <v>1188.0000000000002</v>
      </c>
      <c r="AA72" s="375">
        <f>ROUND(Input!$E$40*Z72,0)</f>
        <v>119</v>
      </c>
      <c r="AB72" s="379">
        <f t="shared" si="50"/>
        <v>1069.0000000000002</v>
      </c>
      <c r="AC72" s="375">
        <f>ROUND(Input!$E$44*AB72,0)</f>
        <v>53</v>
      </c>
      <c r="AD72" s="427">
        <f t="shared" si="51"/>
        <v>1016.0000000000002</v>
      </c>
      <c r="AF72" s="282">
        <f t="shared" si="39"/>
        <v>944.00000000000023</v>
      </c>
      <c r="AG72" s="282">
        <f t="shared" si="52"/>
        <v>0</v>
      </c>
      <c r="AH72" s="282"/>
      <c r="AJ72" s="321">
        <f t="shared" si="40"/>
        <v>260544.00000000003</v>
      </c>
      <c r="AK72" s="322">
        <f t="shared" si="41"/>
        <v>0</v>
      </c>
      <c r="AL72" s="498">
        <f>Income_Expense!$D$10+Income_Expense!$D$11+Income_Expense!$D$12+Income_Expense!$D$13</f>
        <v>14265</v>
      </c>
      <c r="AM72" s="382">
        <f t="shared" si="53"/>
        <v>274809</v>
      </c>
      <c r="AN72" s="873">
        <f>Monthly!$AD$65+Monthly!$AD$88*(W72+X72+Y72)-Monthly!$Q$88</f>
        <v>109421.40858060081</v>
      </c>
      <c r="AO72" s="874">
        <f>(AF72+AG72)*(Input!$E$360+Input!$E$365+Input!$E$370)+(Input!$E$22+Input!$E$74)*(Input!$E$361+Input!$E$366+Input!$E$371)</f>
        <v>20522.400000000001</v>
      </c>
      <c r="AP72" s="875">
        <f>Income_Expense!$D$31-Income_Expense!$D$16-Income_Expense!$D$26</f>
        <v>80861.843568178127</v>
      </c>
      <c r="AQ72" s="331">
        <f>Income_Expense!$D$34</f>
        <v>13495.833333333334</v>
      </c>
      <c r="AR72" s="332">
        <f t="shared" si="48"/>
        <v>224301.48548211227</v>
      </c>
      <c r="AS72" s="337">
        <f t="shared" si="42"/>
        <v>50507.514517887736</v>
      </c>
      <c r="AT72" s="291">
        <f t="shared" si="43"/>
        <v>126.26878629471933</v>
      </c>
      <c r="AU72" s="291">
        <f t="shared" si="54"/>
        <v>53.503723006236996</v>
      </c>
      <c r="AV72" s="882">
        <f t="shared" si="44"/>
        <v>944.00000000000023</v>
      </c>
      <c r="AW72" s="1301">
        <f t="shared" si="49"/>
        <v>56.057058821996975</v>
      </c>
    </row>
    <row r="73" spans="1:49" x14ac:dyDescent="0.2">
      <c r="A73" s="65" t="s">
        <v>950</v>
      </c>
      <c r="B73" s="405">
        <f t="shared" si="34"/>
        <v>2.1</v>
      </c>
      <c r="C73" s="342">
        <f t="shared" si="35"/>
        <v>41373.294207105886</v>
      </c>
      <c r="D73" s="291">
        <f t="shared" si="36"/>
        <v>103.43323551776471</v>
      </c>
      <c r="E73" s="406">
        <f t="shared" si="37"/>
        <v>46.072710698336174</v>
      </c>
      <c r="F73" s="1301">
        <f t="shared" si="45"/>
        <v>48.756840999090542</v>
      </c>
      <c r="G73" s="29"/>
      <c r="V73" s="371">
        <f t="shared" si="46"/>
        <v>970</v>
      </c>
      <c r="W73" s="372">
        <f t="shared" si="47"/>
        <v>0</v>
      </c>
      <c r="X73" s="372">
        <f t="shared" si="38"/>
        <v>898</v>
      </c>
      <c r="Y73" s="70">
        <f>Input!$E$24+Input!$E$62+Input!$E$64+Input!$E$66+Input!$E$90</f>
        <v>72</v>
      </c>
      <c r="Z73" s="374">
        <f>(Input!$E$36*B73)*12</f>
        <v>1134</v>
      </c>
      <c r="AA73" s="375">
        <f>ROUND(Input!$E$40*Z73,0)</f>
        <v>113</v>
      </c>
      <c r="AB73" s="379">
        <f t="shared" si="50"/>
        <v>1021</v>
      </c>
      <c r="AC73" s="375">
        <f>ROUND(Input!$E$44*AB73,0)</f>
        <v>51</v>
      </c>
      <c r="AD73" s="427">
        <f t="shared" si="51"/>
        <v>970</v>
      </c>
      <c r="AF73" s="282">
        <f t="shared" si="39"/>
        <v>898</v>
      </c>
      <c r="AG73" s="282">
        <f t="shared" si="52"/>
        <v>0</v>
      </c>
      <c r="AH73" s="282"/>
      <c r="AJ73" s="321">
        <f t="shared" si="40"/>
        <v>247847.99999999994</v>
      </c>
      <c r="AK73" s="322">
        <f t="shared" si="41"/>
        <v>0</v>
      </c>
      <c r="AL73" s="498">
        <f>Income_Expense!$D$10+Income_Expense!$D$11+Income_Expense!$D$12+Income_Expense!$D$13</f>
        <v>14265</v>
      </c>
      <c r="AM73" s="382">
        <f t="shared" si="53"/>
        <v>262112.99999999994</v>
      </c>
      <c r="AN73" s="873">
        <f>Monthly!$AD$65+Monthly!$AD$88*(W73+X73+Y73)-Monthly!$Q$88</f>
        <v>106798.02889138259</v>
      </c>
      <c r="AO73" s="874">
        <f>(AF73+AG73)*(Input!$E$360+Input!$E$365+Input!$E$370)+(Input!$E$22+Input!$E$74)*(Input!$E$361+Input!$E$366+Input!$E$371)</f>
        <v>19583.999999999996</v>
      </c>
      <c r="AP73" s="875">
        <f>Income_Expense!$D$31-Income_Expense!$D$16-Income_Expense!$D$26</f>
        <v>80861.843568178127</v>
      </c>
      <c r="AQ73" s="331">
        <f>Income_Expense!$D$34</f>
        <v>13495.833333333334</v>
      </c>
      <c r="AR73" s="332">
        <f t="shared" si="48"/>
        <v>220739.70579289406</v>
      </c>
      <c r="AS73" s="337">
        <f t="shared" si="42"/>
        <v>41373.294207105886</v>
      </c>
      <c r="AT73" s="291">
        <f t="shared" si="43"/>
        <v>103.43323551776471</v>
      </c>
      <c r="AU73" s="291">
        <f t="shared" si="54"/>
        <v>46.072710698336174</v>
      </c>
      <c r="AV73" s="882">
        <f t="shared" si="44"/>
        <v>898</v>
      </c>
      <c r="AW73" s="1301">
        <f t="shared" si="49"/>
        <v>48.756840999090542</v>
      </c>
    </row>
    <row r="74" spans="1:49" x14ac:dyDescent="0.2">
      <c r="A74" s="65" t="s">
        <v>652</v>
      </c>
      <c r="B74" s="413">
        <f>Input!$E$37</f>
        <v>2</v>
      </c>
      <c r="C74" s="332">
        <f t="shared" si="35"/>
        <v>32040.503889567997</v>
      </c>
      <c r="D74" s="289">
        <f t="shared" si="36"/>
        <v>80.101259723919995</v>
      </c>
      <c r="E74" s="285">
        <f t="shared" si="37"/>
        <v>37.650415851431255</v>
      </c>
      <c r="F74" s="1302">
        <f t="shared" si="45"/>
        <v>40.482788366210833</v>
      </c>
      <c r="G74" s="29"/>
      <c r="V74" s="858">
        <f>AD74</f>
        <v>923</v>
      </c>
      <c r="W74" s="859">
        <f>Input!$E$52</f>
        <v>0</v>
      </c>
      <c r="X74" s="859">
        <f>Input!$E$57</f>
        <v>851</v>
      </c>
      <c r="Y74" s="296">
        <f>Input!$E$24+Input!$E$62+Input!$E$64+Input!$E$66+Input!$E$90</f>
        <v>72</v>
      </c>
      <c r="Z74" s="860">
        <f>(Input!$E$39)</f>
        <v>1080</v>
      </c>
      <c r="AA74" s="757">
        <f>Input!$E$41</f>
        <v>108</v>
      </c>
      <c r="AB74" s="757">
        <f t="shared" si="50"/>
        <v>972</v>
      </c>
      <c r="AC74" s="757">
        <f>ROUND(Input!$E$44*AB74,0)</f>
        <v>49</v>
      </c>
      <c r="AD74" s="809">
        <f t="shared" si="51"/>
        <v>923</v>
      </c>
      <c r="AE74" s="56"/>
      <c r="AF74" s="296">
        <f t="shared" si="39"/>
        <v>851</v>
      </c>
      <c r="AG74" s="296">
        <f t="shared" si="52"/>
        <v>0</v>
      </c>
      <c r="AH74" s="282"/>
      <c r="AJ74" s="284">
        <f t="shared" si="40"/>
        <v>234876</v>
      </c>
      <c r="AK74" s="325">
        <f t="shared" si="41"/>
        <v>0</v>
      </c>
      <c r="AL74" s="854">
        <f>Income_Expense!$D$10+Income_Expense!$D$11+Income_Expense!$D$12+Income_Expense!$D$13</f>
        <v>14265</v>
      </c>
      <c r="AM74" s="323">
        <f t="shared" si="53"/>
        <v>249141</v>
      </c>
      <c r="AN74" s="876">
        <f>Monthly!$AD$65+Monthly!$AD$88*(W74+X74+Y74)-Monthly!$Q$88</f>
        <v>104117.61920892054</v>
      </c>
      <c r="AO74" s="877">
        <f>(AF74+AG74)*(Input!$E$360+Input!$E$365+Input!$E$370)+(Input!$E$22+Input!$E$74)*(Input!$E$361+Input!$E$366+Input!$E$371)</f>
        <v>18625.199999999997</v>
      </c>
      <c r="AP74" s="878">
        <f>Income_Expense!$D$31-Income_Expense!$D$16-Income_Expense!$D$26</f>
        <v>80861.843568178127</v>
      </c>
      <c r="AQ74" s="332">
        <f>Income_Expense!$D$34</f>
        <v>13495.833333333334</v>
      </c>
      <c r="AR74" s="332">
        <f t="shared" si="48"/>
        <v>217100.496110432</v>
      </c>
      <c r="AS74" s="337">
        <f t="shared" si="42"/>
        <v>32040.503889567997</v>
      </c>
      <c r="AT74" s="289">
        <f t="shared" si="43"/>
        <v>80.101259723919995</v>
      </c>
      <c r="AU74" s="289">
        <f t="shared" si="54"/>
        <v>37.650415851431255</v>
      </c>
      <c r="AV74" s="338">
        <f>AF74+AG74</f>
        <v>851</v>
      </c>
      <c r="AW74" s="1302">
        <f t="shared" si="49"/>
        <v>40.482788366210833</v>
      </c>
    </row>
    <row r="75" spans="1:49" x14ac:dyDescent="0.2">
      <c r="B75" s="405">
        <f>B74-0.1</f>
        <v>1.9</v>
      </c>
      <c r="C75" s="342">
        <f t="shared" si="35"/>
        <v>22906.283578786177</v>
      </c>
      <c r="D75" s="291">
        <f t="shared" si="36"/>
        <v>57.265708946965439</v>
      </c>
      <c r="E75" s="406">
        <f t="shared" si="37"/>
        <v>28.455010656877239</v>
      </c>
      <c r="F75" s="1301">
        <f t="shared" si="45"/>
        <v>31.449233029644223</v>
      </c>
      <c r="G75" s="29"/>
      <c r="V75" s="371">
        <f t="shared" si="46"/>
        <v>877</v>
      </c>
      <c r="W75" s="372">
        <f>IF($W$74&gt;0,V75-$Y$74,0)</f>
        <v>0</v>
      </c>
      <c r="X75" s="372">
        <f>IF($X$74&gt;0,V75-Y75,0)</f>
        <v>805</v>
      </c>
      <c r="Y75" s="70">
        <f>Input!$E$24+Input!$E$62+Input!$E$64+Input!$E$66+Input!$E$90</f>
        <v>72</v>
      </c>
      <c r="Z75" s="374">
        <f>(Input!$E$36*B75)*12</f>
        <v>1026</v>
      </c>
      <c r="AA75" s="375">
        <f>ROUND(Input!$E$40*Z75,0)</f>
        <v>103</v>
      </c>
      <c r="AB75" s="379">
        <f t="shared" si="50"/>
        <v>923</v>
      </c>
      <c r="AC75" s="375">
        <f>ROUND(Input!$E$44*AB75,0)</f>
        <v>46</v>
      </c>
      <c r="AD75" s="427">
        <f t="shared" si="51"/>
        <v>877</v>
      </c>
      <c r="AF75" s="282">
        <f t="shared" si="39"/>
        <v>805</v>
      </c>
      <c r="AG75" s="282">
        <f t="shared" si="52"/>
        <v>0</v>
      </c>
      <c r="AH75" s="282"/>
      <c r="AJ75" s="321">
        <f t="shared" si="40"/>
        <v>222179.99999999997</v>
      </c>
      <c r="AK75" s="322">
        <f t="shared" si="41"/>
        <v>0</v>
      </c>
      <c r="AL75" s="498">
        <f>Income_Expense!$D$10+Income_Expense!$D$11+Income_Expense!$D$12+Income_Expense!$D$13</f>
        <v>14265</v>
      </c>
      <c r="AM75" s="382">
        <f t="shared" si="53"/>
        <v>236444.99999999997</v>
      </c>
      <c r="AN75" s="873">
        <f>Monthly!$AD$65+Monthly!$AD$88*(W75+X75+Y75)-Monthly!$Q$88</f>
        <v>101494.23951970233</v>
      </c>
      <c r="AO75" s="874">
        <f>(AF75+AG75)*(Input!$E$360+Input!$E$365+Input!$E$370)+(Input!$E$22+Input!$E$74)*(Input!$E$361+Input!$E$366+Input!$E$371)</f>
        <v>17686.8</v>
      </c>
      <c r="AP75" s="875">
        <f>Income_Expense!$D$31-Income_Expense!$D$16-Income_Expense!$D$26</f>
        <v>80861.843568178127</v>
      </c>
      <c r="AQ75" s="331">
        <f>Income_Expense!$D$34</f>
        <v>13495.833333333334</v>
      </c>
      <c r="AR75" s="332">
        <f t="shared" si="48"/>
        <v>213538.71642121379</v>
      </c>
      <c r="AS75" s="337">
        <f t="shared" si="42"/>
        <v>22906.283578786177</v>
      </c>
      <c r="AT75" s="291">
        <f t="shared" si="43"/>
        <v>57.265708946965439</v>
      </c>
      <c r="AU75" s="291">
        <f t="shared" si="54"/>
        <v>28.455010656877239</v>
      </c>
      <c r="AV75" s="882">
        <f t="shared" ref="AV75:AV82" si="55">AF75+AG75</f>
        <v>805</v>
      </c>
      <c r="AW75" s="1301">
        <f t="shared" si="49"/>
        <v>31.449233029644223</v>
      </c>
    </row>
    <row r="76" spans="1:49" x14ac:dyDescent="0.2">
      <c r="B76" s="405">
        <f t="shared" ref="B76:B82" si="56">B75-0.1</f>
        <v>1.7999999999999998</v>
      </c>
      <c r="C76" s="342">
        <f t="shared" si="35"/>
        <v>11895.263268004312</v>
      </c>
      <c r="D76" s="291">
        <f t="shared" si="36"/>
        <v>29.738158170010777</v>
      </c>
      <c r="E76" s="292">
        <f t="shared" si="37"/>
        <v>13.977982688606712</v>
      </c>
      <c r="F76" s="1301">
        <f t="shared" si="45"/>
        <v>16.81035520338629</v>
      </c>
      <c r="G76" s="29"/>
      <c r="V76" s="371">
        <f t="shared" si="46"/>
        <v>830.99999999999977</v>
      </c>
      <c r="W76" s="372">
        <f t="shared" ref="W76:W82" si="57">IF($W$74&gt;0,V76-$Y$74,0)</f>
        <v>0</v>
      </c>
      <c r="X76" s="372">
        <f>IF($X$74&gt;0,V76-Y76,0)</f>
        <v>758.99999999999977</v>
      </c>
      <c r="Y76" s="70">
        <f>Input!$E$24+Input!$E$62+Input!$E$64+Input!$E$66+Input!$E$90</f>
        <v>72</v>
      </c>
      <c r="Z76" s="374">
        <f>(Input!$E$36*B76)*12</f>
        <v>971.99999999999977</v>
      </c>
      <c r="AA76" s="863">
        <f>ROUND(Input!$E$40*Z76,0)</f>
        <v>97</v>
      </c>
      <c r="AB76" s="863">
        <f t="shared" si="50"/>
        <v>874.99999999999977</v>
      </c>
      <c r="AC76" s="863">
        <f>ROUND(Input!$E$44*AB76,0)</f>
        <v>44</v>
      </c>
      <c r="AD76" s="864">
        <f t="shared" si="51"/>
        <v>830.99999999999977</v>
      </c>
      <c r="AF76" s="296">
        <f>Input!$E$57</f>
        <v>851</v>
      </c>
      <c r="AG76" s="836">
        <f>Input!$E$52</f>
        <v>0</v>
      </c>
      <c r="AH76" s="296"/>
      <c r="AJ76" s="834">
        <f t="shared" si="40"/>
        <v>209483.99999999991</v>
      </c>
      <c r="AK76" s="835">
        <f t="shared" si="41"/>
        <v>0</v>
      </c>
      <c r="AL76" s="498">
        <f>Income_Expense!$D$10+Income_Expense!$D$11+Income_Expense!$D$12+Income_Expense!$D$13</f>
        <v>14265</v>
      </c>
      <c r="AM76" s="382">
        <f t="shared" si="53"/>
        <v>223748.99999999991</v>
      </c>
      <c r="AN76" s="873">
        <f>Monthly!$AD$65+Monthly!$AD$88*(W76+X76+Y76)-Monthly!$Q$88</f>
        <v>98870.859830484143</v>
      </c>
      <c r="AO76" s="874">
        <f>(AF76+AG76)*(Input!$E$360+Input!$E$365+Input!$E$370)+(Input!$E$22+Input!$E$74)*(Input!$E$361+Input!$E$366+Input!$E$371)</f>
        <v>18625.199999999997</v>
      </c>
      <c r="AP76" s="875">
        <f>Income_Expense!$D$31-Income_Expense!$D$16-Income_Expense!$D$26</f>
        <v>80861.843568178127</v>
      </c>
      <c r="AQ76" s="331">
        <f>Income_Expense!$D$34</f>
        <v>13495.833333333334</v>
      </c>
      <c r="AR76" s="332">
        <f t="shared" si="48"/>
        <v>211853.73673199562</v>
      </c>
      <c r="AS76" s="337">
        <f t="shared" si="42"/>
        <v>11895.263268004312</v>
      </c>
      <c r="AT76" s="881">
        <f t="shared" si="43"/>
        <v>29.738158170010777</v>
      </c>
      <c r="AU76" s="881">
        <f t="shared" si="54"/>
        <v>13.977982688606712</v>
      </c>
      <c r="AV76" s="882">
        <f t="shared" si="55"/>
        <v>851</v>
      </c>
      <c r="AW76" s="1301">
        <f t="shared" si="49"/>
        <v>16.81035520338629</v>
      </c>
    </row>
    <row r="77" spans="1:49" x14ac:dyDescent="0.2">
      <c r="B77" s="405">
        <f t="shared" si="56"/>
        <v>1.6999999999999997</v>
      </c>
      <c r="C77" s="342">
        <f t="shared" si="35"/>
        <v>4637.8429572225232</v>
      </c>
      <c r="D77" s="291">
        <f t="shared" si="36"/>
        <v>11.594607393056307</v>
      </c>
      <c r="E77" s="406">
        <f t="shared" si="37"/>
        <v>6.5046885795547329</v>
      </c>
      <c r="F77" s="1301">
        <f t="shared" si="45"/>
        <v>9.8852622262271339</v>
      </c>
      <c r="G77" s="29"/>
      <c r="V77" s="371">
        <f t="shared" si="46"/>
        <v>784.99999999999977</v>
      </c>
      <c r="W77" s="372">
        <f t="shared" si="57"/>
        <v>0</v>
      </c>
      <c r="X77" s="372">
        <f t="shared" ref="X77:X82" si="58">IF($X$74&gt;0,V77-Y77,0)</f>
        <v>712.99999999999977</v>
      </c>
      <c r="Y77" s="70">
        <f>Input!$E$24+Input!$E$62+Input!$E$64+Input!$E$66+Input!$E$90</f>
        <v>72</v>
      </c>
      <c r="Z77" s="374">
        <f>(Input!$E$36*B77)*12</f>
        <v>917.99999999999977</v>
      </c>
      <c r="AA77" s="375">
        <f>ROUND(Input!$E$40*Z77,0)</f>
        <v>92</v>
      </c>
      <c r="AB77" s="379">
        <f t="shared" si="50"/>
        <v>825.99999999999977</v>
      </c>
      <c r="AC77" s="375">
        <f>ROUND(Input!$E$44*AB77,0)</f>
        <v>41</v>
      </c>
      <c r="AD77" s="427">
        <f t="shared" si="51"/>
        <v>784.99999999999977</v>
      </c>
      <c r="AF77" s="282">
        <f t="shared" ref="AF77:AF82" si="59">X77</f>
        <v>712.99999999999977</v>
      </c>
      <c r="AG77" s="282">
        <f t="shared" ref="AG77:AG82" si="60">W77</f>
        <v>0</v>
      </c>
      <c r="AH77" s="282"/>
      <c r="AJ77" s="321">
        <f>X77*$X$85*$X$86</f>
        <v>196787.99999999994</v>
      </c>
      <c r="AK77" s="322">
        <f t="shared" si="41"/>
        <v>0</v>
      </c>
      <c r="AL77" s="498">
        <f>Income_Expense!$D$10+Income_Expense!$D$11+Income_Expense!$D$12+Income_Expense!$D$13</f>
        <v>14265</v>
      </c>
      <c r="AM77" s="382">
        <f t="shared" si="53"/>
        <v>211052.99999999994</v>
      </c>
      <c r="AN77" s="873">
        <f>Monthly!$AD$65+Monthly!$AD$88*(W77+X77+Y77)-Monthly!$Q$88</f>
        <v>96247.480141265958</v>
      </c>
      <c r="AO77" s="874">
        <f>(AF77+AG77)*(Input!$E$360+Input!$E$365+Input!$E$370)+(Input!$E$22+Input!$E$74)*(Input!$E$361+Input!$E$366+Input!$E$371)</f>
        <v>15809.999999999993</v>
      </c>
      <c r="AP77" s="875">
        <f>Income_Expense!$D$31-Income_Expense!$D$16-Income_Expense!$D$26</f>
        <v>80861.843568178127</v>
      </c>
      <c r="AQ77" s="331">
        <f>Income_Expense!$D$34</f>
        <v>13495.833333333334</v>
      </c>
      <c r="AR77" s="332">
        <f t="shared" si="48"/>
        <v>206415.15704277743</v>
      </c>
      <c r="AS77" s="337">
        <f t="shared" si="42"/>
        <v>4637.8429572225232</v>
      </c>
      <c r="AT77" s="291">
        <f t="shared" si="43"/>
        <v>11.594607393056307</v>
      </c>
      <c r="AU77" s="291">
        <f t="shared" si="54"/>
        <v>6.5046885795547329</v>
      </c>
      <c r="AV77" s="882">
        <f t="shared" si="55"/>
        <v>712.99999999999977</v>
      </c>
      <c r="AW77" s="1301">
        <f t="shared" si="49"/>
        <v>9.8852622262271339</v>
      </c>
    </row>
    <row r="78" spans="1:49" x14ac:dyDescent="0.2">
      <c r="B78" s="405">
        <f t="shared" si="56"/>
        <v>1.5999999999999996</v>
      </c>
      <c r="C78" s="342">
        <f t="shared" si="35"/>
        <v>-4496.3773535592827</v>
      </c>
      <c r="D78" s="291">
        <f t="shared" si="36"/>
        <v>-11.240943383898207</v>
      </c>
      <c r="E78" s="406">
        <f t="shared" si="37"/>
        <v>-6.7411954326226153</v>
      </c>
      <c r="F78" s="1301">
        <f t="shared" si="45"/>
        <v>-3.1274787758348754</v>
      </c>
      <c r="G78" s="29"/>
      <c r="V78" s="371">
        <f t="shared" si="46"/>
        <v>738.99999999999977</v>
      </c>
      <c r="W78" s="372">
        <f t="shared" si="57"/>
        <v>0</v>
      </c>
      <c r="X78" s="372">
        <f t="shared" si="58"/>
        <v>666.99999999999977</v>
      </c>
      <c r="Y78" s="70">
        <f>Input!$E$24+Input!$E$62+Input!$E$64+Input!$E$66+Input!$E$90</f>
        <v>72</v>
      </c>
      <c r="Z78" s="374">
        <f>(Input!$E$36*B78)*12</f>
        <v>863.99999999999977</v>
      </c>
      <c r="AA78" s="375">
        <f>ROUND(Input!$E$40*Z78,0)</f>
        <v>86</v>
      </c>
      <c r="AB78" s="379">
        <f t="shared" si="50"/>
        <v>777.99999999999977</v>
      </c>
      <c r="AC78" s="375">
        <f>ROUND(Input!$E$44*AB78,0)</f>
        <v>39</v>
      </c>
      <c r="AD78" s="427">
        <f t="shared" si="51"/>
        <v>738.99999999999977</v>
      </c>
      <c r="AF78" s="282">
        <f t="shared" si="59"/>
        <v>666.99999999999977</v>
      </c>
      <c r="AG78" s="282">
        <f t="shared" si="60"/>
        <v>0</v>
      </c>
      <c r="AH78" s="282"/>
      <c r="AJ78" s="321">
        <f t="shared" si="40"/>
        <v>184091.99999999994</v>
      </c>
      <c r="AK78" s="322">
        <f t="shared" si="41"/>
        <v>0</v>
      </c>
      <c r="AL78" s="498">
        <f>Income_Expense!$D$10+Income_Expense!$D$11+Income_Expense!$D$12+Income_Expense!$D$13</f>
        <v>14265</v>
      </c>
      <c r="AM78" s="382">
        <f t="shared" si="53"/>
        <v>198356.99999999994</v>
      </c>
      <c r="AN78" s="873">
        <f>Monthly!$AD$65+Monthly!$AD$88*(W78+X78+Y78)-Monthly!$Q$88</f>
        <v>93624.100452047773</v>
      </c>
      <c r="AO78" s="874">
        <f>(AF78+AG78)*(Input!$E$360+Input!$E$365+Input!$E$370)+(Input!$E$22+Input!$E$74)*(Input!$E$361+Input!$E$366+Input!$E$371)</f>
        <v>14871.599999999993</v>
      </c>
      <c r="AP78" s="875">
        <f>Income_Expense!$D$31-Income_Expense!$D$16-Income_Expense!$D$26</f>
        <v>80861.843568178127</v>
      </c>
      <c r="AQ78" s="331">
        <f>Income_Expense!$D$34</f>
        <v>13495.833333333334</v>
      </c>
      <c r="AR78" s="332">
        <f t="shared" si="48"/>
        <v>202853.37735355922</v>
      </c>
      <c r="AS78" s="337">
        <f t="shared" si="42"/>
        <v>-4496.3773535592827</v>
      </c>
      <c r="AT78" s="291">
        <f t="shared" si="43"/>
        <v>-11.240943383898207</v>
      </c>
      <c r="AU78" s="291">
        <f t="shared" si="54"/>
        <v>-6.7411954326226153</v>
      </c>
      <c r="AV78" s="882">
        <f t="shared" si="55"/>
        <v>666.99999999999977</v>
      </c>
      <c r="AW78" s="1301">
        <f t="shared" si="49"/>
        <v>-3.1274787758348754</v>
      </c>
    </row>
    <row r="79" spans="1:49" x14ac:dyDescent="0.2">
      <c r="B79" s="405">
        <f t="shared" si="56"/>
        <v>1.4999999999999996</v>
      </c>
      <c r="C79" s="342">
        <f t="shared" si="35"/>
        <v>-13630.597664341132</v>
      </c>
      <c r="D79" s="291">
        <f t="shared" si="36"/>
        <v>-34.076494160852832</v>
      </c>
      <c r="E79" s="406">
        <f t="shared" si="37"/>
        <v>-21.949432631789271</v>
      </c>
      <c r="F79" s="1301">
        <f t="shared" si="45"/>
        <v>-18.068033259683922</v>
      </c>
      <c r="G79" s="29"/>
      <c r="V79" s="371">
        <f t="shared" si="46"/>
        <v>692.99999999999977</v>
      </c>
      <c r="W79" s="372">
        <f t="shared" si="57"/>
        <v>0</v>
      </c>
      <c r="X79" s="372">
        <f t="shared" si="58"/>
        <v>620.99999999999977</v>
      </c>
      <c r="Y79" s="70">
        <f>Input!$E$24+Input!$E$62+Input!$E$64+Input!$E$66+Input!$E$90</f>
        <v>72</v>
      </c>
      <c r="Z79" s="374">
        <f>(Input!$E$36*B79)*12</f>
        <v>809.99999999999977</v>
      </c>
      <c r="AA79" s="375">
        <f>ROUND(Input!$E$40*Z79,0)</f>
        <v>81</v>
      </c>
      <c r="AB79" s="379">
        <f t="shared" si="50"/>
        <v>728.99999999999977</v>
      </c>
      <c r="AC79" s="375">
        <f>ROUND(Input!$E$44*AB79,0)</f>
        <v>36</v>
      </c>
      <c r="AD79" s="427">
        <f t="shared" si="51"/>
        <v>692.99999999999977</v>
      </c>
      <c r="AF79" s="282">
        <f t="shared" si="59"/>
        <v>620.99999999999977</v>
      </c>
      <c r="AG79" s="282">
        <f t="shared" si="60"/>
        <v>0</v>
      </c>
      <c r="AH79" s="282"/>
      <c r="AJ79" s="321">
        <f t="shared" si="40"/>
        <v>171395.99999999991</v>
      </c>
      <c r="AK79" s="322">
        <f t="shared" si="41"/>
        <v>0</v>
      </c>
      <c r="AL79" s="498">
        <f>Income_Expense!$D$10+Income_Expense!$D$11+Income_Expense!$D$12+Income_Expense!$D$13</f>
        <v>14265</v>
      </c>
      <c r="AM79" s="382">
        <f t="shared" si="53"/>
        <v>185660.99999999991</v>
      </c>
      <c r="AN79" s="873">
        <f>Monthly!$AD$65+Monthly!$AD$88*(W79+X79+Y79)-Monthly!$Q$88</f>
        <v>91000.720762829587</v>
      </c>
      <c r="AO79" s="874">
        <f>(AF79+AG79)*(Input!$E$360+Input!$E$365+Input!$E$370)+(Input!$E$22+Input!$E$74)*(Input!$E$361+Input!$E$366+Input!$E$371)</f>
        <v>13933.199999999993</v>
      </c>
      <c r="AP79" s="875">
        <f>Income_Expense!$D$31-Income_Expense!$D$16-Income_Expense!$D$26</f>
        <v>80861.843568178127</v>
      </c>
      <c r="AQ79" s="331">
        <f>Income_Expense!$D$34</f>
        <v>13495.833333333334</v>
      </c>
      <c r="AR79" s="332">
        <f t="shared" si="48"/>
        <v>199291.59766434107</v>
      </c>
      <c r="AS79" s="337">
        <f t="shared" si="42"/>
        <v>-13630.597664341132</v>
      </c>
      <c r="AT79" s="291">
        <f t="shared" si="43"/>
        <v>-34.076494160852832</v>
      </c>
      <c r="AU79" s="291">
        <f t="shared" si="54"/>
        <v>-21.949432631789271</v>
      </c>
      <c r="AV79" s="882">
        <f t="shared" si="55"/>
        <v>620.99999999999977</v>
      </c>
      <c r="AW79" s="1301">
        <f t="shared" si="49"/>
        <v>-18.068033259683922</v>
      </c>
    </row>
    <row r="80" spans="1:49" x14ac:dyDescent="0.2">
      <c r="B80" s="405">
        <f t="shared" si="56"/>
        <v>1.3999999999999995</v>
      </c>
      <c r="C80" s="342">
        <f t="shared" si="35"/>
        <v>-22963.387981879052</v>
      </c>
      <c r="D80" s="291">
        <f t="shared" si="36"/>
        <v>-57.40846995469763</v>
      </c>
      <c r="E80" s="406">
        <f t="shared" si="37"/>
        <v>-40.005902407454812</v>
      </c>
      <c r="F80" s="1301">
        <f t="shared" si="45"/>
        <v>-35.80668810418404</v>
      </c>
      <c r="G80" s="29"/>
      <c r="V80" s="371">
        <f t="shared" si="46"/>
        <v>645.99999999999977</v>
      </c>
      <c r="W80" s="372">
        <f t="shared" si="57"/>
        <v>0</v>
      </c>
      <c r="X80" s="372">
        <f t="shared" si="58"/>
        <v>573.99999999999977</v>
      </c>
      <c r="Y80" s="70">
        <f>Input!$E$24+Input!$E$62+Input!$E$64+Input!$E$66+Input!$E$90</f>
        <v>72</v>
      </c>
      <c r="Z80" s="374">
        <f>(Input!$E$36*B80)*12</f>
        <v>755.99999999999977</v>
      </c>
      <c r="AA80" s="375">
        <f>ROUND(Input!$E$40*Z80,0)</f>
        <v>76</v>
      </c>
      <c r="AB80" s="379">
        <f t="shared" si="50"/>
        <v>679.99999999999977</v>
      </c>
      <c r="AC80" s="375">
        <f>ROUND(Input!$E$44*AB80,0)</f>
        <v>34</v>
      </c>
      <c r="AD80" s="427">
        <f t="shared" si="51"/>
        <v>645.99999999999977</v>
      </c>
      <c r="AF80" s="282">
        <f t="shared" si="59"/>
        <v>573.99999999999977</v>
      </c>
      <c r="AG80" s="282">
        <f t="shared" si="60"/>
        <v>0</v>
      </c>
      <c r="AH80" s="282"/>
      <c r="AJ80" s="321">
        <f t="shared" si="40"/>
        <v>158423.99999999991</v>
      </c>
      <c r="AK80" s="322">
        <f t="shared" si="41"/>
        <v>0</v>
      </c>
      <c r="AL80" s="498">
        <f>Income_Expense!$D$10+Income_Expense!$D$11+Income_Expense!$D$12+Income_Expense!$D$13</f>
        <v>14265</v>
      </c>
      <c r="AM80" s="382">
        <f t="shared" si="53"/>
        <v>172688.99999999991</v>
      </c>
      <c r="AN80" s="873">
        <f>Monthly!$AD$65+Monthly!$AD$88*(W80+X80+Y80)-Monthly!$Q$88</f>
        <v>88320.311080367508</v>
      </c>
      <c r="AO80" s="874">
        <f>(AF80+AG80)*(Input!$E$360+Input!$E$365+Input!$E$370)+(Input!$E$22+Input!$E$74)*(Input!$E$361+Input!$E$366+Input!$E$371)</f>
        <v>12974.399999999994</v>
      </c>
      <c r="AP80" s="875">
        <f>Income_Expense!$D$31-Income_Expense!$D$16-Income_Expense!$D$26</f>
        <v>80861.843568178127</v>
      </c>
      <c r="AQ80" s="331">
        <f>Income_Expense!$D$34</f>
        <v>13495.833333333334</v>
      </c>
      <c r="AR80" s="332">
        <f t="shared" si="48"/>
        <v>195652.38798187897</v>
      </c>
      <c r="AS80" s="337">
        <f t="shared" si="42"/>
        <v>-22963.387981879052</v>
      </c>
      <c r="AT80" s="291">
        <f t="shared" si="43"/>
        <v>-57.40846995469763</v>
      </c>
      <c r="AU80" s="291">
        <f t="shared" si="54"/>
        <v>-40.005902407454812</v>
      </c>
      <c r="AV80" s="882">
        <f t="shared" si="55"/>
        <v>573.99999999999977</v>
      </c>
      <c r="AW80" s="1301">
        <f t="shared" si="49"/>
        <v>-35.80668810418404</v>
      </c>
    </row>
    <row r="81" spans="2:49" x14ac:dyDescent="0.2">
      <c r="B81" s="405">
        <f t="shared" si="56"/>
        <v>1.2999999999999994</v>
      </c>
      <c r="C81" s="342">
        <f t="shared" si="35"/>
        <v>-32097.608292660865</v>
      </c>
      <c r="D81" s="291">
        <f t="shared" si="36"/>
        <v>-80.244020731652157</v>
      </c>
      <c r="E81" s="406">
        <f t="shared" si="37"/>
        <v>-60.790924796706221</v>
      </c>
      <c r="F81" s="1301">
        <f t="shared" si="45"/>
        <v>-56.225869853377766</v>
      </c>
      <c r="G81" s="29"/>
      <c r="V81" s="371">
        <f t="shared" si="46"/>
        <v>599.99999999999966</v>
      </c>
      <c r="W81" s="372">
        <f t="shared" si="57"/>
        <v>0</v>
      </c>
      <c r="X81" s="372">
        <f t="shared" si="58"/>
        <v>527.99999999999966</v>
      </c>
      <c r="Y81" s="70">
        <f>Input!$E$24+Input!$E$62+Input!$E$64+Input!$E$66+Input!$E$90</f>
        <v>72</v>
      </c>
      <c r="Z81" s="374">
        <f>(Input!$E$36*B81)*12</f>
        <v>701.99999999999966</v>
      </c>
      <c r="AA81" s="375">
        <f>ROUND(Input!$E$40*Z81,0)</f>
        <v>70</v>
      </c>
      <c r="AB81" s="379">
        <f t="shared" si="50"/>
        <v>631.99999999999966</v>
      </c>
      <c r="AC81" s="375">
        <f>ROUND(Input!$E$44*AB81,0)</f>
        <v>32</v>
      </c>
      <c r="AD81" s="427">
        <f t="shared" si="51"/>
        <v>599.99999999999966</v>
      </c>
      <c r="AF81" s="282">
        <f t="shared" si="59"/>
        <v>527.99999999999966</v>
      </c>
      <c r="AG81" s="282">
        <f t="shared" si="60"/>
        <v>0</v>
      </c>
      <c r="AH81" s="282"/>
      <c r="AJ81" s="321">
        <f t="shared" si="40"/>
        <v>145727.99999999991</v>
      </c>
      <c r="AK81" s="322">
        <f t="shared" si="41"/>
        <v>0</v>
      </c>
      <c r="AL81" s="498">
        <f>Income_Expense!$D$10+Income_Expense!$D$11+Income_Expense!$D$12+Income_Expense!$D$13</f>
        <v>14265</v>
      </c>
      <c r="AM81" s="382">
        <f t="shared" si="53"/>
        <v>159992.99999999991</v>
      </c>
      <c r="AN81" s="873">
        <f>Monthly!$AD$65+Monthly!$AD$88*(W81+X81+Y81)-Monthly!$Q$88</f>
        <v>85696.931391149323</v>
      </c>
      <c r="AO81" s="874">
        <f>(AF81+AG81)*(Input!$E$360+Input!$E$365+Input!$E$370)+(Input!$E$22+Input!$E$74)*(Input!$E$361+Input!$E$366+Input!$E$371)</f>
        <v>12035.999999999991</v>
      </c>
      <c r="AP81" s="875">
        <f>Income_Expense!$D$31-Income_Expense!$D$16-Income_Expense!$D$26</f>
        <v>80861.843568178127</v>
      </c>
      <c r="AQ81" s="331">
        <f>Income_Expense!$D$34</f>
        <v>13495.833333333334</v>
      </c>
      <c r="AR81" s="332">
        <f t="shared" si="48"/>
        <v>192090.60829266076</v>
      </c>
      <c r="AS81" s="337">
        <f t="shared" si="42"/>
        <v>-32097.608292660865</v>
      </c>
      <c r="AT81" s="291">
        <f t="shared" si="43"/>
        <v>-80.244020731652157</v>
      </c>
      <c r="AU81" s="291">
        <f t="shared" si="54"/>
        <v>-60.790924796706221</v>
      </c>
      <c r="AV81" s="882">
        <f t="shared" si="55"/>
        <v>527.99999999999966</v>
      </c>
      <c r="AW81" s="1301">
        <f t="shared" si="49"/>
        <v>-56.225869853377766</v>
      </c>
    </row>
    <row r="82" spans="2:49" ht="13.5" thickBot="1" x14ac:dyDescent="0.25">
      <c r="B82" s="405">
        <f t="shared" si="56"/>
        <v>1.1999999999999993</v>
      </c>
      <c r="C82" s="1129">
        <f t="shared" si="35"/>
        <v>-41231.828603442678</v>
      </c>
      <c r="D82" s="829">
        <f t="shared" si="36"/>
        <v>-103.07957150860669</v>
      </c>
      <c r="E82" s="828">
        <f t="shared" si="37"/>
        <v>-85.543212870213083</v>
      </c>
      <c r="F82" s="30">
        <f t="shared" si="45"/>
        <v>-80.542488782915527</v>
      </c>
      <c r="G82" s="29"/>
      <c r="V82" s="371">
        <f t="shared" si="46"/>
        <v>553.99999999999966</v>
      </c>
      <c r="W82" s="372">
        <f t="shared" si="57"/>
        <v>0</v>
      </c>
      <c r="X82" s="372">
        <f t="shared" si="58"/>
        <v>481.99999999999966</v>
      </c>
      <c r="Y82" s="70">
        <f>Input!$E$24+Input!$E$62+Input!$E$64+Input!$E$66+Input!$E$90</f>
        <v>72</v>
      </c>
      <c r="Z82" s="920">
        <f>(Input!$E$36*B82)*12</f>
        <v>647.99999999999966</v>
      </c>
      <c r="AA82" s="375">
        <f>ROUND(Input!$E$40*Z82,0)</f>
        <v>65</v>
      </c>
      <c r="AB82" s="379">
        <f t="shared" si="50"/>
        <v>582.99999999999966</v>
      </c>
      <c r="AC82" s="375">
        <f>ROUND(Input!$E$44*AB82,0)</f>
        <v>29</v>
      </c>
      <c r="AD82" s="427">
        <f t="shared" si="51"/>
        <v>553.99999999999966</v>
      </c>
      <c r="AF82" s="282">
        <f t="shared" si="59"/>
        <v>481.99999999999966</v>
      </c>
      <c r="AG82" s="282">
        <f t="shared" si="60"/>
        <v>0</v>
      </c>
      <c r="AH82" s="282"/>
      <c r="AJ82" s="865">
        <f t="shared" si="40"/>
        <v>133031.99999999991</v>
      </c>
      <c r="AK82" s="866">
        <f t="shared" si="41"/>
        <v>0</v>
      </c>
      <c r="AL82" s="866">
        <f>Income_Expense!$D$10+Income_Expense!$D$11+Income_Expense!$D$12+Income_Expense!$D$13</f>
        <v>14265</v>
      </c>
      <c r="AM82" s="867">
        <f t="shared" si="53"/>
        <v>147296.99999999991</v>
      </c>
      <c r="AN82" s="873">
        <f>Monthly!$AD$65+Monthly!$AD$88*(W82+X82+Y82)-Monthly!$Q$88</f>
        <v>83073.551701931137</v>
      </c>
      <c r="AO82" s="874">
        <f>(AF82+AG82)*(Input!$E$360+Input!$E$365+Input!$E$370)+(Input!$E$22+Input!$E$74)*(Input!$E$361+Input!$E$366+Input!$E$371)</f>
        <v>11097.599999999991</v>
      </c>
      <c r="AP82" s="875">
        <f>Income_Expense!$D$31-Income_Expense!$D$16-Income_Expense!$D$26</f>
        <v>80861.843568178127</v>
      </c>
      <c r="AQ82" s="376">
        <f>Income_Expense!$D$34</f>
        <v>13495.833333333334</v>
      </c>
      <c r="AR82" s="377">
        <f t="shared" si="48"/>
        <v>188528.82860344261</v>
      </c>
      <c r="AS82" s="880">
        <f t="shared" si="42"/>
        <v>-41231.828603442678</v>
      </c>
      <c r="AT82" s="921">
        <f t="shared" si="43"/>
        <v>-103.07957150860669</v>
      </c>
      <c r="AU82" s="829">
        <f t="shared" si="54"/>
        <v>-85.543212870213083</v>
      </c>
      <c r="AV82" s="882">
        <f t="shared" si="55"/>
        <v>481.99999999999966</v>
      </c>
      <c r="AW82" s="1303">
        <f t="shared" si="49"/>
        <v>-80.542488782915527</v>
      </c>
    </row>
    <row r="83" spans="2:49" x14ac:dyDescent="0.2">
      <c r="B83" s="830"/>
      <c r="C83" s="830"/>
      <c r="D83" s="830"/>
      <c r="E83" s="831"/>
      <c r="F83" s="832"/>
      <c r="G83" s="132"/>
      <c r="V83" s="375" t="s">
        <v>714</v>
      </c>
      <c r="W83" s="282">
        <f>Input!$E$52</f>
        <v>0</v>
      </c>
      <c r="X83" s="282">
        <f>Input!$E$57</f>
        <v>851</v>
      </c>
      <c r="Y83" s="70">
        <f>Input!$E$24</f>
        <v>72</v>
      </c>
      <c r="Z83" s="70">
        <f>W83+X83+Y83</f>
        <v>923</v>
      </c>
      <c r="AA83" s="861"/>
      <c r="AB83" s="862"/>
      <c r="AC83" s="861"/>
      <c r="AD83" s="862"/>
      <c r="AF83" s="282"/>
      <c r="AG83" s="282"/>
      <c r="AH83" s="282"/>
      <c r="AJ83" s="868"/>
      <c r="AK83" s="868"/>
      <c r="AL83" s="868"/>
      <c r="AM83" s="869"/>
      <c r="AN83" s="868"/>
      <c r="AO83" s="868"/>
      <c r="AP83" s="868"/>
      <c r="AQ83" s="868"/>
      <c r="AR83" s="870"/>
      <c r="AS83" s="871"/>
      <c r="AT83" s="283">
        <f>Input!$E$16</f>
        <v>400</v>
      </c>
      <c r="AU83" s="872"/>
      <c r="AV83" s="1299" t="s">
        <v>939</v>
      </c>
    </row>
    <row r="84" spans="2:49" x14ac:dyDescent="0.2">
      <c r="B84" s="407"/>
      <c r="C84" s="407"/>
      <c r="D84" s="407"/>
      <c r="E84" s="132"/>
      <c r="F84" s="132"/>
      <c r="G84" s="30"/>
      <c r="V84" t="s">
        <v>644</v>
      </c>
      <c r="W84" s="300">
        <f>W76/(X76+W76)</f>
        <v>0</v>
      </c>
      <c r="X84" s="300">
        <f>X76/(X76+W76)</f>
        <v>1</v>
      </c>
      <c r="Y84" s="70"/>
      <c r="Z84" s="27"/>
      <c r="AA84" s="70"/>
      <c r="AB84" s="282"/>
      <c r="AC84" s="70"/>
      <c r="AD84" s="282"/>
      <c r="AF84" s="30">
        <f>Input!$E$58</f>
        <v>2.2999999999999998</v>
      </c>
      <c r="AG84" s="30">
        <f>Input!$E$53</f>
        <v>2.6</v>
      </c>
      <c r="AH84" s="282"/>
      <c r="AJ84" s="306"/>
      <c r="AK84" s="306"/>
      <c r="AL84" s="306"/>
      <c r="AM84" s="369"/>
      <c r="AN84" s="306"/>
      <c r="AO84" s="306"/>
      <c r="AP84" s="306"/>
      <c r="AQ84" s="306"/>
      <c r="AR84" s="369"/>
      <c r="AS84" s="378"/>
      <c r="AU84" s="132"/>
      <c r="AV84" s="379"/>
    </row>
    <row r="85" spans="2:49" x14ac:dyDescent="0.2">
      <c r="B85" s="407"/>
      <c r="C85" s="407"/>
      <c r="D85" s="407"/>
      <c r="E85" s="132"/>
      <c r="F85" s="132"/>
      <c r="G85" s="30"/>
      <c r="V85" t="s">
        <v>629</v>
      </c>
      <c r="W85" s="30">
        <f>Input!$E$53</f>
        <v>2.6</v>
      </c>
      <c r="X85" s="30">
        <f>Input!$E$58</f>
        <v>2.2999999999999998</v>
      </c>
      <c r="AA85" s="70"/>
      <c r="AB85" s="282"/>
      <c r="AC85" s="70"/>
      <c r="AD85" s="282"/>
      <c r="AF85" s="282">
        <f>Input!$E$56</f>
        <v>120</v>
      </c>
      <c r="AG85" s="282">
        <f>Input!$E$51</f>
        <v>0</v>
      </c>
      <c r="AH85" s="282"/>
      <c r="AJ85" s="306"/>
      <c r="AK85" s="306"/>
      <c r="AL85" s="306"/>
      <c r="AM85" s="369"/>
      <c r="AN85" s="306"/>
      <c r="AO85" s="306"/>
      <c r="AP85" s="306"/>
      <c r="AQ85" s="306"/>
      <c r="AR85" s="369"/>
      <c r="AS85" s="378"/>
      <c r="AT85" s="132"/>
      <c r="AU85" s="132"/>
      <c r="AV85" s="379"/>
    </row>
    <row r="86" spans="2:49" x14ac:dyDescent="0.2">
      <c r="B86" s="407"/>
      <c r="C86" s="407"/>
      <c r="D86" s="407"/>
      <c r="E86" s="132"/>
      <c r="F86" s="132"/>
      <c r="G86" s="30"/>
      <c r="V86" s="27" t="s">
        <v>630</v>
      </c>
      <c r="W86" s="282">
        <f>Input!$E$51</f>
        <v>0</v>
      </c>
      <c r="X86" s="282">
        <f>Input!$E$56</f>
        <v>120</v>
      </c>
      <c r="Y86" s="70"/>
      <c r="Z86" s="27"/>
      <c r="AA86" s="70"/>
      <c r="AB86" s="282"/>
      <c r="AC86" s="70"/>
      <c r="AD86" s="282"/>
      <c r="AF86" s="282"/>
      <c r="AG86" s="282"/>
      <c r="AH86" s="282"/>
      <c r="AJ86" s="306"/>
      <c r="AK86" s="306"/>
      <c r="AL86" s="306"/>
      <c r="AM86" s="369"/>
      <c r="AN86" s="306"/>
      <c r="AO86" s="306"/>
      <c r="AP86" s="306"/>
      <c r="AQ86" s="306"/>
      <c r="AR86" s="369"/>
      <c r="AS86" s="378"/>
      <c r="AT86" s="132"/>
      <c r="AU86" s="65" t="s">
        <v>950</v>
      </c>
      <c r="AV86" s="379"/>
    </row>
    <row r="87" spans="2:49" x14ac:dyDescent="0.2">
      <c r="V87" s="4" t="s">
        <v>715</v>
      </c>
      <c r="W87" s="30">
        <f>W85*W86</f>
        <v>0</v>
      </c>
      <c r="X87" s="30">
        <f>X85*X86</f>
        <v>276</v>
      </c>
      <c r="AU87" s="833">
        <f>Income_Expense!$D$43-Income_Expense!$D$41</f>
        <v>-2410.3490100774216</v>
      </c>
    </row>
    <row r="88" spans="2:49" x14ac:dyDescent="0.2">
      <c r="Y88" s="30"/>
      <c r="Z88" s="30"/>
      <c r="AA88" s="30"/>
      <c r="AB88" s="30"/>
      <c r="AC88" s="30"/>
      <c r="AD88" s="30"/>
      <c r="AH88" s="30"/>
      <c r="AU88" s="65" t="s">
        <v>952</v>
      </c>
    </row>
    <row r="89" spans="2:49" ht="15.75" thickBot="1" x14ac:dyDescent="0.3">
      <c r="B89" s="95" t="s">
        <v>660</v>
      </c>
      <c r="C89" s="95"/>
      <c r="D89" s="95"/>
    </row>
    <row r="90" spans="2:49" x14ac:dyDescent="0.2">
      <c r="B90" s="278" t="s">
        <v>940</v>
      </c>
      <c r="C90" s="1206"/>
      <c r="D90" s="1281" t="s">
        <v>619</v>
      </c>
      <c r="E90" s="1298"/>
      <c r="F90" s="1297" t="s">
        <v>955</v>
      </c>
      <c r="AM90" s="278" t="s">
        <v>174</v>
      </c>
      <c r="AN90" s="343" t="s">
        <v>658</v>
      </c>
      <c r="AO90" s="344"/>
      <c r="AP90" s="352" t="s">
        <v>632</v>
      </c>
      <c r="AQ90" s="345" t="s">
        <v>174</v>
      </c>
      <c r="AR90" s="279"/>
      <c r="AS90" s="280" t="s">
        <v>619</v>
      </c>
      <c r="AT90" s="315"/>
      <c r="AU90" s="1297" t="s">
        <v>958</v>
      </c>
    </row>
    <row r="91" spans="2:49" ht="13.5" thickBot="1" x14ac:dyDescent="0.25">
      <c r="B91" s="408" t="s">
        <v>941</v>
      </c>
      <c r="C91" s="409" t="s">
        <v>174</v>
      </c>
      <c r="D91" s="42" t="s">
        <v>620</v>
      </c>
      <c r="E91" s="1305" t="s">
        <v>621</v>
      </c>
      <c r="F91" s="281" t="s">
        <v>956</v>
      </c>
      <c r="AM91" s="281" t="s">
        <v>626</v>
      </c>
      <c r="AN91" s="286" t="s">
        <v>649</v>
      </c>
      <c r="AO91" s="339" t="s">
        <v>25</v>
      </c>
      <c r="AP91" s="353" t="s">
        <v>653</v>
      </c>
      <c r="AQ91" s="287" t="s">
        <v>653</v>
      </c>
      <c r="AR91" s="286" t="s">
        <v>942</v>
      </c>
      <c r="AS91" s="288" t="s">
        <v>633</v>
      </c>
      <c r="AT91" s="287" t="s">
        <v>634</v>
      </c>
      <c r="AU91" s="281" t="s">
        <v>634</v>
      </c>
    </row>
    <row r="92" spans="2:49" x14ac:dyDescent="0.2">
      <c r="B92" s="410">
        <f t="shared" ref="B92:B100" si="61">B93+0.05</f>
        <v>0.49999999999999994</v>
      </c>
      <c r="C92" s="356">
        <f>AR92</f>
        <v>-20018.305714892223</v>
      </c>
      <c r="D92" s="411">
        <f>AS92</f>
        <v>-50.045764287230561</v>
      </c>
      <c r="E92" s="412">
        <f>AT92</f>
        <v>-21.688305216567954</v>
      </c>
      <c r="F92" s="1300">
        <f>AU92</f>
        <v>-19.07687616989686</v>
      </c>
      <c r="AM92" s="340">
        <f>Income_Expense!$D$14</f>
        <v>249141</v>
      </c>
      <c r="AN92" s="349">
        <f t="shared" ref="AN92:AN101" si="62">$AN$102*(1+B92)</f>
        <v>156176.4288133808</v>
      </c>
      <c r="AO92" s="350">
        <f>Income_Expense!$D$31-Income_Expense!$D$16</f>
        <v>99487.043568178124</v>
      </c>
      <c r="AP92" s="354">
        <f>Income_Expense!$D$34</f>
        <v>13495.833333333334</v>
      </c>
      <c r="AQ92" s="351">
        <f>AN92+AO92+AP92</f>
        <v>269159.30571489222</v>
      </c>
      <c r="AR92" s="356">
        <f>AM92-AQ92</f>
        <v>-20018.305714892223</v>
      </c>
      <c r="AS92" s="294">
        <f t="shared" ref="AS92:AS112" si="63">AR92/$AS$113</f>
        <v>-50.045764287230561</v>
      </c>
      <c r="AT92" s="295">
        <f t="shared" ref="AT92:AT112" si="64">AR92/$AT$113</f>
        <v>-21.688305216567954</v>
      </c>
      <c r="AU92" s="1300">
        <f>AT92-($AU$87/$AT$113)</f>
        <v>-19.07687616989686</v>
      </c>
    </row>
    <row r="93" spans="2:49" x14ac:dyDescent="0.2">
      <c r="B93" s="405">
        <f t="shared" si="61"/>
        <v>0.44999999999999996</v>
      </c>
      <c r="C93" s="290">
        <f t="shared" ref="C93:C112" si="65">AR93</f>
        <v>-14812.424754446198</v>
      </c>
      <c r="D93" s="291">
        <f t="shared" ref="D93:D112" si="66">AS93</f>
        <v>-37.031061886115495</v>
      </c>
      <c r="E93" s="292">
        <f t="shared" ref="E93:E112" si="67">AT93</f>
        <v>-16.048130828219065</v>
      </c>
      <c r="F93" s="1301">
        <f t="shared" ref="F93:F112" si="68">AU93</f>
        <v>-13.436701781547969</v>
      </c>
      <c r="AM93" s="342">
        <f>Income_Expense!$D$14</f>
        <v>249141</v>
      </c>
      <c r="AN93" s="321">
        <f t="shared" si="62"/>
        <v>150970.54785293477</v>
      </c>
      <c r="AO93" s="322">
        <f>Income_Expense!$D$31-Income_Expense!$D$16</f>
        <v>99487.043568178124</v>
      </c>
      <c r="AP93" s="331">
        <f>Income_Expense!$D$34</f>
        <v>13495.833333333334</v>
      </c>
      <c r="AQ93" s="330">
        <f t="shared" ref="AQ93:AQ112" si="69">AN93+AO93+AP93</f>
        <v>263953.4247544462</v>
      </c>
      <c r="AR93" s="290">
        <f t="shared" ref="AR93:AR112" si="70">AM93-AQ93</f>
        <v>-14812.424754446198</v>
      </c>
      <c r="AS93" s="291">
        <f t="shared" si="63"/>
        <v>-37.031061886115495</v>
      </c>
      <c r="AT93" s="292">
        <f t="shared" si="64"/>
        <v>-16.048130828219065</v>
      </c>
      <c r="AU93" s="1301">
        <f t="shared" ref="AU93:AU112" si="71">AT93-($AU$87/$AT$113)</f>
        <v>-13.436701781547969</v>
      </c>
    </row>
    <row r="94" spans="2:49" x14ac:dyDescent="0.2">
      <c r="B94" s="405">
        <f t="shared" si="61"/>
        <v>0.39999999999999997</v>
      </c>
      <c r="C94" s="290">
        <f t="shared" si="65"/>
        <v>-9606.5437940002012</v>
      </c>
      <c r="D94" s="291">
        <f t="shared" si="66"/>
        <v>-24.016359485000503</v>
      </c>
      <c r="E94" s="292">
        <f t="shared" si="67"/>
        <v>-10.407956439870206</v>
      </c>
      <c r="F94" s="1301">
        <f t="shared" si="68"/>
        <v>-7.7965273931991099</v>
      </c>
      <c r="AM94" s="342">
        <f>Income_Expense!$D$14</f>
        <v>249141</v>
      </c>
      <c r="AN94" s="321">
        <f t="shared" si="62"/>
        <v>145764.66689248872</v>
      </c>
      <c r="AO94" s="322">
        <f>Income_Expense!$D$31-Income_Expense!$D$16</f>
        <v>99487.043568178124</v>
      </c>
      <c r="AP94" s="331">
        <f>Income_Expense!$D$34</f>
        <v>13495.833333333334</v>
      </c>
      <c r="AQ94" s="330">
        <f t="shared" si="69"/>
        <v>258747.5437940002</v>
      </c>
      <c r="AR94" s="290">
        <f t="shared" si="70"/>
        <v>-9606.5437940002012</v>
      </c>
      <c r="AS94" s="291">
        <f t="shared" si="63"/>
        <v>-24.016359485000503</v>
      </c>
      <c r="AT94" s="292">
        <f t="shared" si="64"/>
        <v>-10.407956439870206</v>
      </c>
      <c r="AU94" s="1301">
        <f t="shared" si="71"/>
        <v>-7.7965273931991099</v>
      </c>
    </row>
    <row r="95" spans="2:49" x14ac:dyDescent="0.2">
      <c r="B95" s="405">
        <f t="shared" si="61"/>
        <v>0.35</v>
      </c>
      <c r="C95" s="290">
        <f t="shared" si="65"/>
        <v>-4400.6628335541754</v>
      </c>
      <c r="D95" s="291">
        <f t="shared" si="66"/>
        <v>-11.001657083885439</v>
      </c>
      <c r="E95" s="292">
        <f t="shared" si="67"/>
        <v>-4.7677820515213165</v>
      </c>
      <c r="F95" s="1301">
        <f t="shared" si="68"/>
        <v>-2.1563530048502204</v>
      </c>
      <c r="AM95" s="342">
        <f>Income_Expense!$D$14</f>
        <v>249141</v>
      </c>
      <c r="AN95" s="321">
        <f t="shared" si="62"/>
        <v>140558.78593204272</v>
      </c>
      <c r="AO95" s="322">
        <f>Income_Expense!$D$31-Income_Expense!$D$16</f>
        <v>99487.043568178124</v>
      </c>
      <c r="AP95" s="331">
        <f>Income_Expense!$D$34</f>
        <v>13495.833333333334</v>
      </c>
      <c r="AQ95" s="330">
        <f t="shared" si="69"/>
        <v>253541.66283355418</v>
      </c>
      <c r="AR95" s="290">
        <f t="shared" si="70"/>
        <v>-4400.6628335541754</v>
      </c>
      <c r="AS95" s="291">
        <f t="shared" si="63"/>
        <v>-11.001657083885439</v>
      </c>
      <c r="AT95" s="292">
        <f t="shared" si="64"/>
        <v>-4.7677820515213165</v>
      </c>
      <c r="AU95" s="1301">
        <f t="shared" si="71"/>
        <v>-2.1563530048502204</v>
      </c>
    </row>
    <row r="96" spans="2:49" x14ac:dyDescent="0.2">
      <c r="B96" s="405">
        <f t="shared" si="61"/>
        <v>0.3</v>
      </c>
      <c r="C96" s="290">
        <f t="shared" si="65"/>
        <v>805.21812689185026</v>
      </c>
      <c r="D96" s="291">
        <f t="shared" si="66"/>
        <v>2.0130453172296257</v>
      </c>
      <c r="E96" s="292">
        <f t="shared" si="67"/>
        <v>0.87239233682757344</v>
      </c>
      <c r="F96" s="1301">
        <f t="shared" si="68"/>
        <v>3.4838213834986695</v>
      </c>
      <c r="AM96" s="342">
        <f>Income_Expense!$D$14</f>
        <v>249141</v>
      </c>
      <c r="AN96" s="321">
        <f t="shared" si="62"/>
        <v>135352.9049715967</v>
      </c>
      <c r="AO96" s="322">
        <f>Income_Expense!$D$31-Income_Expense!$D$16</f>
        <v>99487.043568178124</v>
      </c>
      <c r="AP96" s="331">
        <f>Income_Expense!$D$34</f>
        <v>13495.833333333334</v>
      </c>
      <c r="AQ96" s="330">
        <f t="shared" si="69"/>
        <v>248335.78187310815</v>
      </c>
      <c r="AR96" s="290">
        <f t="shared" si="70"/>
        <v>805.21812689185026</v>
      </c>
      <c r="AS96" s="291">
        <f t="shared" si="63"/>
        <v>2.0130453172296257</v>
      </c>
      <c r="AT96" s="292">
        <f t="shared" si="64"/>
        <v>0.87239233682757344</v>
      </c>
      <c r="AU96" s="1301">
        <f t="shared" si="71"/>
        <v>3.4838213834986695</v>
      </c>
    </row>
    <row r="97" spans="1:47" x14ac:dyDescent="0.2">
      <c r="B97" s="405">
        <f t="shared" si="61"/>
        <v>0.25</v>
      </c>
      <c r="C97" s="290">
        <f t="shared" si="65"/>
        <v>6011.099087337876</v>
      </c>
      <c r="D97" s="291">
        <f t="shared" si="66"/>
        <v>15.02774771834469</v>
      </c>
      <c r="E97" s="292">
        <f t="shared" si="67"/>
        <v>6.5125667251764634</v>
      </c>
      <c r="F97" s="1301">
        <f t="shared" si="68"/>
        <v>9.1239957718475591</v>
      </c>
      <c r="AM97" s="342">
        <f>Income_Expense!$D$14</f>
        <v>249141</v>
      </c>
      <c r="AN97" s="321">
        <f t="shared" si="62"/>
        <v>130147.02401115066</v>
      </c>
      <c r="AO97" s="322">
        <f>Income_Expense!$D$31-Income_Expense!$D$16</f>
        <v>99487.043568178124</v>
      </c>
      <c r="AP97" s="331">
        <f>Income_Expense!$D$34</f>
        <v>13495.833333333334</v>
      </c>
      <c r="AQ97" s="330">
        <f t="shared" si="69"/>
        <v>243129.90091266212</v>
      </c>
      <c r="AR97" s="290">
        <f t="shared" si="70"/>
        <v>6011.099087337876</v>
      </c>
      <c r="AS97" s="291">
        <f t="shared" si="63"/>
        <v>15.02774771834469</v>
      </c>
      <c r="AT97" s="292">
        <f t="shared" si="64"/>
        <v>6.5125667251764634</v>
      </c>
      <c r="AU97" s="1301">
        <f t="shared" si="71"/>
        <v>9.1239957718475591</v>
      </c>
    </row>
    <row r="98" spans="1:47" x14ac:dyDescent="0.2">
      <c r="B98" s="405">
        <f t="shared" si="61"/>
        <v>0.2</v>
      </c>
      <c r="C98" s="290">
        <f t="shared" si="65"/>
        <v>11216.980047783902</v>
      </c>
      <c r="D98" s="291">
        <f t="shared" si="66"/>
        <v>28.042450119459755</v>
      </c>
      <c r="E98" s="292">
        <f t="shared" si="67"/>
        <v>12.152741113525353</v>
      </c>
      <c r="F98" s="1301">
        <f t="shared" si="68"/>
        <v>14.76417016019645</v>
      </c>
      <c r="AM98" s="342">
        <f>Income_Expense!$D$14</f>
        <v>249141</v>
      </c>
      <c r="AN98" s="321">
        <f t="shared" si="62"/>
        <v>124941.14305070463</v>
      </c>
      <c r="AO98" s="322">
        <f>Income_Expense!$D$31-Income_Expense!$D$16</f>
        <v>99487.043568178124</v>
      </c>
      <c r="AP98" s="331">
        <f>Income_Expense!$D$34</f>
        <v>13495.833333333334</v>
      </c>
      <c r="AQ98" s="330">
        <f t="shared" si="69"/>
        <v>237924.0199522161</v>
      </c>
      <c r="AR98" s="290">
        <f t="shared" si="70"/>
        <v>11216.980047783902</v>
      </c>
      <c r="AS98" s="291">
        <f t="shared" si="63"/>
        <v>28.042450119459755</v>
      </c>
      <c r="AT98" s="292">
        <f t="shared" si="64"/>
        <v>12.152741113525353</v>
      </c>
      <c r="AU98" s="1301">
        <f t="shared" si="71"/>
        <v>14.76417016019645</v>
      </c>
    </row>
    <row r="99" spans="1:47" x14ac:dyDescent="0.2">
      <c r="B99" s="405">
        <f t="shared" si="61"/>
        <v>0.15000000000000002</v>
      </c>
      <c r="C99" s="290">
        <f t="shared" si="65"/>
        <v>16422.861008229927</v>
      </c>
      <c r="D99" s="291">
        <f t="shared" si="66"/>
        <v>41.057152520574817</v>
      </c>
      <c r="E99" s="292">
        <f t="shared" si="67"/>
        <v>17.792915501874244</v>
      </c>
      <c r="F99" s="1301">
        <f t="shared" si="68"/>
        <v>20.404344548545339</v>
      </c>
      <c r="AM99" s="342">
        <f>Income_Expense!$D$14</f>
        <v>249141</v>
      </c>
      <c r="AN99" s="321">
        <f t="shared" si="62"/>
        <v>119735.26209025861</v>
      </c>
      <c r="AO99" s="322">
        <f>Income_Expense!$D$31-Income_Expense!$D$16</f>
        <v>99487.043568178124</v>
      </c>
      <c r="AP99" s="331">
        <f>Income_Expense!$D$34</f>
        <v>13495.833333333334</v>
      </c>
      <c r="AQ99" s="330">
        <f t="shared" si="69"/>
        <v>232718.13899177007</v>
      </c>
      <c r="AR99" s="290">
        <f t="shared" si="70"/>
        <v>16422.861008229927</v>
      </c>
      <c r="AS99" s="291">
        <f t="shared" si="63"/>
        <v>41.057152520574817</v>
      </c>
      <c r="AT99" s="292">
        <f t="shared" si="64"/>
        <v>17.792915501874244</v>
      </c>
      <c r="AU99" s="1301">
        <f t="shared" si="71"/>
        <v>20.404344548545339</v>
      </c>
    </row>
    <row r="100" spans="1:47" x14ac:dyDescent="0.2">
      <c r="B100" s="405">
        <f t="shared" si="61"/>
        <v>0.1</v>
      </c>
      <c r="C100" s="290">
        <f t="shared" si="65"/>
        <v>21628.741968675953</v>
      </c>
      <c r="D100" s="291">
        <f t="shared" si="66"/>
        <v>54.071854921689884</v>
      </c>
      <c r="E100" s="292">
        <f t="shared" si="67"/>
        <v>23.433089890223133</v>
      </c>
      <c r="F100" s="1301">
        <f t="shared" si="68"/>
        <v>26.044518936894228</v>
      </c>
      <c r="AM100" s="342">
        <f>Income_Expense!$D$14</f>
        <v>249141</v>
      </c>
      <c r="AN100" s="321">
        <f t="shared" si="62"/>
        <v>114529.38112981259</v>
      </c>
      <c r="AO100" s="322">
        <f>Income_Expense!$D$31-Income_Expense!$D$16</f>
        <v>99487.043568178124</v>
      </c>
      <c r="AP100" s="331">
        <f>Income_Expense!$D$34</f>
        <v>13495.833333333334</v>
      </c>
      <c r="AQ100" s="330">
        <f t="shared" si="69"/>
        <v>227512.25803132405</v>
      </c>
      <c r="AR100" s="290">
        <f t="shared" si="70"/>
        <v>21628.741968675953</v>
      </c>
      <c r="AS100" s="291">
        <f t="shared" si="63"/>
        <v>54.071854921689884</v>
      </c>
      <c r="AT100" s="292">
        <f t="shared" si="64"/>
        <v>23.433089890223133</v>
      </c>
      <c r="AU100" s="1301">
        <f t="shared" si="71"/>
        <v>26.044518936894228</v>
      </c>
    </row>
    <row r="101" spans="1:47" x14ac:dyDescent="0.2">
      <c r="B101" s="405">
        <v>0.05</v>
      </c>
      <c r="C101" s="290">
        <f t="shared" si="65"/>
        <v>26834.622929121979</v>
      </c>
      <c r="D101" s="291">
        <f t="shared" si="66"/>
        <v>67.08655732280495</v>
      </c>
      <c r="E101" s="292">
        <f t="shared" si="67"/>
        <v>29.073264278572026</v>
      </c>
      <c r="F101" s="1301">
        <f t="shared" si="68"/>
        <v>31.684693325243121</v>
      </c>
      <c r="AM101" s="342">
        <f>Income_Expense!$D$14</f>
        <v>249141</v>
      </c>
      <c r="AN101" s="321">
        <f t="shared" si="62"/>
        <v>109323.50016936655</v>
      </c>
      <c r="AO101" s="322">
        <f>Income_Expense!$D$31-Income_Expense!$D$16</f>
        <v>99487.043568178124</v>
      </c>
      <c r="AP101" s="331">
        <f>Income_Expense!$D$34</f>
        <v>13495.833333333334</v>
      </c>
      <c r="AQ101" s="330">
        <f t="shared" si="69"/>
        <v>222306.37707087802</v>
      </c>
      <c r="AR101" s="290">
        <f t="shared" si="70"/>
        <v>26834.622929121979</v>
      </c>
      <c r="AS101" s="291">
        <f t="shared" si="63"/>
        <v>67.08655732280495</v>
      </c>
      <c r="AT101" s="292">
        <f t="shared" si="64"/>
        <v>29.073264278572026</v>
      </c>
      <c r="AU101" s="1301">
        <f t="shared" si="71"/>
        <v>31.684693325243121</v>
      </c>
    </row>
    <row r="102" spans="1:47" x14ac:dyDescent="0.2">
      <c r="A102" s="65" t="s">
        <v>950</v>
      </c>
      <c r="B102" s="413" t="s">
        <v>652</v>
      </c>
      <c r="C102" s="284">
        <f t="shared" si="65"/>
        <v>32040.503889568005</v>
      </c>
      <c r="D102" s="289">
        <f t="shared" si="66"/>
        <v>80.101259723920009</v>
      </c>
      <c r="E102" s="285">
        <f t="shared" si="67"/>
        <v>34.713438666920915</v>
      </c>
      <c r="F102" s="1302">
        <f t="shared" si="68"/>
        <v>37.324867713592013</v>
      </c>
      <c r="AM102" s="332">
        <f>Income_Expense!$D$14</f>
        <v>249141</v>
      </c>
      <c r="AN102" s="284">
        <f>Income_Expense!$D$16</f>
        <v>104117.61920892053</v>
      </c>
      <c r="AO102" s="325">
        <f>Income_Expense!$D$31-Income_Expense!$D$16</f>
        <v>99487.043568178124</v>
      </c>
      <c r="AP102" s="332">
        <f>Income_Expense!$D$34</f>
        <v>13495.833333333334</v>
      </c>
      <c r="AQ102" s="323">
        <f t="shared" si="69"/>
        <v>217100.496110432</v>
      </c>
      <c r="AR102" s="284">
        <f t="shared" si="70"/>
        <v>32040.503889568005</v>
      </c>
      <c r="AS102" s="289">
        <f t="shared" si="63"/>
        <v>80.101259723920009</v>
      </c>
      <c r="AT102" s="285">
        <f t="shared" si="64"/>
        <v>34.713438666920915</v>
      </c>
      <c r="AU102" s="1302">
        <f t="shared" si="71"/>
        <v>37.324867713592013</v>
      </c>
    </row>
    <row r="103" spans="1:47" x14ac:dyDescent="0.2">
      <c r="B103" s="405">
        <v>-0.05</v>
      </c>
      <c r="C103" s="290">
        <f t="shared" si="65"/>
        <v>37246.38485001403</v>
      </c>
      <c r="D103" s="291">
        <f t="shared" si="66"/>
        <v>93.115962125035082</v>
      </c>
      <c r="E103" s="292">
        <f t="shared" si="67"/>
        <v>40.353613055269804</v>
      </c>
      <c r="F103" s="1301">
        <f t="shared" si="68"/>
        <v>42.965042101940902</v>
      </c>
      <c r="AM103" s="342">
        <f>Income_Expense!$D$14</f>
        <v>249141</v>
      </c>
      <c r="AN103" s="321">
        <f t="shared" ref="AN103:AN112" si="72">$AN$102*(1+B103)</f>
        <v>98911.738248474503</v>
      </c>
      <c r="AO103" s="322">
        <f>Income_Expense!$D$31-Income_Expense!$D$16</f>
        <v>99487.043568178124</v>
      </c>
      <c r="AP103" s="331">
        <f>Income_Expense!$D$34</f>
        <v>13495.833333333334</v>
      </c>
      <c r="AQ103" s="330">
        <f t="shared" si="69"/>
        <v>211894.61514998597</v>
      </c>
      <c r="AR103" s="290">
        <f t="shared" si="70"/>
        <v>37246.38485001403</v>
      </c>
      <c r="AS103" s="291">
        <f t="shared" si="63"/>
        <v>93.115962125035082</v>
      </c>
      <c r="AT103" s="292">
        <f t="shared" si="64"/>
        <v>40.353613055269804</v>
      </c>
      <c r="AU103" s="1301">
        <f t="shared" si="71"/>
        <v>42.965042101940902</v>
      </c>
    </row>
    <row r="104" spans="1:47" x14ac:dyDescent="0.2">
      <c r="B104" s="405">
        <f>B103-0.05</f>
        <v>-0.1</v>
      </c>
      <c r="C104" s="290">
        <f t="shared" si="65"/>
        <v>42452.265810460056</v>
      </c>
      <c r="D104" s="291">
        <f t="shared" si="66"/>
        <v>106.13066452615014</v>
      </c>
      <c r="E104" s="292">
        <f t="shared" si="67"/>
        <v>45.993787443618693</v>
      </c>
      <c r="F104" s="1301">
        <f t="shared" si="68"/>
        <v>48.605216490289791</v>
      </c>
      <c r="AM104" s="342">
        <f>Income_Expense!$D$14</f>
        <v>249141</v>
      </c>
      <c r="AN104" s="321">
        <f t="shared" si="72"/>
        <v>93705.857288028477</v>
      </c>
      <c r="AO104" s="322">
        <f>Income_Expense!$D$31-Income_Expense!$D$16</f>
        <v>99487.043568178124</v>
      </c>
      <c r="AP104" s="331">
        <f>Income_Expense!$D$34</f>
        <v>13495.833333333334</v>
      </c>
      <c r="AQ104" s="330">
        <f t="shared" si="69"/>
        <v>206688.73418953994</v>
      </c>
      <c r="AR104" s="290">
        <f t="shared" si="70"/>
        <v>42452.265810460056</v>
      </c>
      <c r="AS104" s="291">
        <f t="shared" si="63"/>
        <v>106.13066452615014</v>
      </c>
      <c r="AT104" s="292">
        <f t="shared" si="64"/>
        <v>45.993787443618693</v>
      </c>
      <c r="AU104" s="1301">
        <f t="shared" si="71"/>
        <v>48.605216490289791</v>
      </c>
    </row>
    <row r="105" spans="1:47" x14ac:dyDescent="0.2">
      <c r="B105" s="405">
        <f t="shared" ref="B105:B112" si="73">B104-0.05</f>
        <v>-0.15000000000000002</v>
      </c>
      <c r="C105" s="290">
        <f t="shared" si="65"/>
        <v>47658.146770906082</v>
      </c>
      <c r="D105" s="291">
        <f t="shared" si="66"/>
        <v>119.1453669272652</v>
      </c>
      <c r="E105" s="292">
        <f t="shared" si="67"/>
        <v>51.633961831967589</v>
      </c>
      <c r="F105" s="1301">
        <f t="shared" si="68"/>
        <v>54.245390878638688</v>
      </c>
      <c r="AM105" s="342">
        <f>Income_Expense!$D$14</f>
        <v>249141</v>
      </c>
      <c r="AN105" s="321">
        <f t="shared" si="72"/>
        <v>88499.976327582452</v>
      </c>
      <c r="AO105" s="322">
        <f>Income_Expense!$D$31-Income_Expense!$D$16</f>
        <v>99487.043568178124</v>
      </c>
      <c r="AP105" s="331">
        <f>Income_Expense!$D$34</f>
        <v>13495.833333333334</v>
      </c>
      <c r="AQ105" s="330">
        <f t="shared" si="69"/>
        <v>201482.85322909392</v>
      </c>
      <c r="AR105" s="290">
        <f t="shared" si="70"/>
        <v>47658.146770906082</v>
      </c>
      <c r="AS105" s="291">
        <f t="shared" si="63"/>
        <v>119.1453669272652</v>
      </c>
      <c r="AT105" s="292">
        <f t="shared" si="64"/>
        <v>51.633961831967589</v>
      </c>
      <c r="AU105" s="1301">
        <f t="shared" si="71"/>
        <v>54.245390878638688</v>
      </c>
    </row>
    <row r="106" spans="1:47" x14ac:dyDescent="0.2">
      <c r="B106" s="405">
        <f t="shared" si="73"/>
        <v>-0.2</v>
      </c>
      <c r="C106" s="290">
        <f t="shared" si="65"/>
        <v>52864.027731352107</v>
      </c>
      <c r="D106" s="291">
        <f t="shared" si="66"/>
        <v>132.16006932838027</v>
      </c>
      <c r="E106" s="292">
        <f t="shared" si="67"/>
        <v>57.274136220316478</v>
      </c>
      <c r="F106" s="1301">
        <f t="shared" si="68"/>
        <v>59.885565266987577</v>
      </c>
      <c r="AM106" s="342">
        <f>Income_Expense!$D$14</f>
        <v>249141</v>
      </c>
      <c r="AN106" s="321">
        <f t="shared" si="72"/>
        <v>83294.095367136426</v>
      </c>
      <c r="AO106" s="322">
        <f>Income_Expense!$D$31-Income_Expense!$D$16</f>
        <v>99487.043568178124</v>
      </c>
      <c r="AP106" s="331">
        <f>Income_Expense!$D$34</f>
        <v>13495.833333333334</v>
      </c>
      <c r="AQ106" s="330">
        <f t="shared" si="69"/>
        <v>196276.97226864789</v>
      </c>
      <c r="AR106" s="290">
        <f t="shared" si="70"/>
        <v>52864.027731352107</v>
      </c>
      <c r="AS106" s="291">
        <f t="shared" si="63"/>
        <v>132.16006932838027</v>
      </c>
      <c r="AT106" s="292">
        <f t="shared" si="64"/>
        <v>57.274136220316478</v>
      </c>
      <c r="AU106" s="1301">
        <f t="shared" si="71"/>
        <v>59.885565266987577</v>
      </c>
    </row>
    <row r="107" spans="1:47" x14ac:dyDescent="0.2">
      <c r="B107" s="405">
        <f t="shared" si="73"/>
        <v>-0.25</v>
      </c>
      <c r="C107" s="290">
        <f t="shared" si="65"/>
        <v>58069.908691798133</v>
      </c>
      <c r="D107" s="291">
        <f t="shared" si="66"/>
        <v>145.17477172949532</v>
      </c>
      <c r="E107" s="292">
        <f t="shared" si="67"/>
        <v>62.914310608665367</v>
      </c>
      <c r="F107" s="1301">
        <f t="shared" si="68"/>
        <v>65.525739655336466</v>
      </c>
      <c r="AM107" s="342">
        <f>Income_Expense!$D$14</f>
        <v>249141</v>
      </c>
      <c r="AN107" s="321">
        <f t="shared" si="72"/>
        <v>78088.2144066904</v>
      </c>
      <c r="AO107" s="322">
        <f>Income_Expense!$D$31-Income_Expense!$D$16</f>
        <v>99487.043568178124</v>
      </c>
      <c r="AP107" s="331">
        <f>Income_Expense!$D$34</f>
        <v>13495.833333333334</v>
      </c>
      <c r="AQ107" s="330">
        <f t="shared" si="69"/>
        <v>191071.09130820187</v>
      </c>
      <c r="AR107" s="290">
        <f t="shared" si="70"/>
        <v>58069.908691798133</v>
      </c>
      <c r="AS107" s="291">
        <f t="shared" si="63"/>
        <v>145.17477172949532</v>
      </c>
      <c r="AT107" s="292">
        <f t="shared" si="64"/>
        <v>62.914310608665367</v>
      </c>
      <c r="AU107" s="1301">
        <f t="shared" si="71"/>
        <v>65.525739655336466</v>
      </c>
    </row>
    <row r="108" spans="1:47" x14ac:dyDescent="0.2">
      <c r="B108" s="405">
        <f t="shared" si="73"/>
        <v>-0.3</v>
      </c>
      <c r="C108" s="290">
        <f t="shared" si="65"/>
        <v>63275.789652244159</v>
      </c>
      <c r="D108" s="291">
        <f t="shared" si="66"/>
        <v>158.18947413061039</v>
      </c>
      <c r="E108" s="292">
        <f t="shared" si="67"/>
        <v>68.554484997014256</v>
      </c>
      <c r="F108" s="1301">
        <f t="shared" si="68"/>
        <v>71.165914043685348</v>
      </c>
      <c r="AM108" s="342">
        <f>Income_Expense!$D$14</f>
        <v>249141</v>
      </c>
      <c r="AN108" s="321">
        <f t="shared" si="72"/>
        <v>72882.33344624436</v>
      </c>
      <c r="AO108" s="322">
        <f>Income_Expense!$D$31-Income_Expense!$D$16</f>
        <v>99487.043568178124</v>
      </c>
      <c r="AP108" s="331">
        <f>Income_Expense!$D$34</f>
        <v>13495.833333333334</v>
      </c>
      <c r="AQ108" s="330">
        <f t="shared" si="69"/>
        <v>185865.21034775584</v>
      </c>
      <c r="AR108" s="290">
        <f t="shared" si="70"/>
        <v>63275.789652244159</v>
      </c>
      <c r="AS108" s="291">
        <f t="shared" si="63"/>
        <v>158.18947413061039</v>
      </c>
      <c r="AT108" s="292">
        <f t="shared" si="64"/>
        <v>68.554484997014256</v>
      </c>
      <c r="AU108" s="1301">
        <f t="shared" si="71"/>
        <v>71.165914043685348</v>
      </c>
    </row>
    <row r="109" spans="1:47" x14ac:dyDescent="0.2">
      <c r="B109" s="405">
        <f t="shared" si="73"/>
        <v>-0.35</v>
      </c>
      <c r="C109" s="290">
        <f t="shared" si="65"/>
        <v>68481.670612690184</v>
      </c>
      <c r="D109" s="291">
        <f t="shared" si="66"/>
        <v>171.20417653172547</v>
      </c>
      <c r="E109" s="292">
        <f t="shared" si="67"/>
        <v>74.194659385363153</v>
      </c>
      <c r="F109" s="1301">
        <f t="shared" si="68"/>
        <v>76.806088432034244</v>
      </c>
      <c r="AM109" s="342">
        <f>Income_Expense!$D$14</f>
        <v>249141</v>
      </c>
      <c r="AN109" s="321">
        <f t="shared" si="72"/>
        <v>67676.452485798349</v>
      </c>
      <c r="AO109" s="322">
        <f>Income_Expense!$D$31-Income_Expense!$D$16</f>
        <v>99487.043568178124</v>
      </c>
      <c r="AP109" s="331">
        <f>Income_Expense!$D$34</f>
        <v>13495.833333333334</v>
      </c>
      <c r="AQ109" s="330">
        <f t="shared" si="69"/>
        <v>180659.32938730982</v>
      </c>
      <c r="AR109" s="290">
        <f t="shared" si="70"/>
        <v>68481.670612690184</v>
      </c>
      <c r="AS109" s="291">
        <f t="shared" si="63"/>
        <v>171.20417653172547</v>
      </c>
      <c r="AT109" s="292">
        <f t="shared" si="64"/>
        <v>74.194659385363153</v>
      </c>
      <c r="AU109" s="1301">
        <f t="shared" si="71"/>
        <v>76.806088432034244</v>
      </c>
    </row>
    <row r="110" spans="1:47" x14ac:dyDescent="0.2">
      <c r="B110" s="405">
        <f t="shared" si="73"/>
        <v>-0.39999999999999997</v>
      </c>
      <c r="C110" s="290">
        <f t="shared" si="65"/>
        <v>73687.55157313621</v>
      </c>
      <c r="D110" s="291">
        <f t="shared" si="66"/>
        <v>184.21887893284054</v>
      </c>
      <c r="E110" s="292">
        <f t="shared" si="67"/>
        <v>79.834833773712035</v>
      </c>
      <c r="F110" s="1301">
        <f t="shared" si="68"/>
        <v>82.446262820383126</v>
      </c>
      <c r="AM110" s="342">
        <f>Income_Expense!$D$14</f>
        <v>249141</v>
      </c>
      <c r="AN110" s="321">
        <f t="shared" si="72"/>
        <v>62470.571525352323</v>
      </c>
      <c r="AO110" s="322">
        <f>Income_Expense!$D$31-Income_Expense!$D$16</f>
        <v>99487.043568178124</v>
      </c>
      <c r="AP110" s="331">
        <f>Income_Expense!$D$34</f>
        <v>13495.833333333334</v>
      </c>
      <c r="AQ110" s="330">
        <f t="shared" si="69"/>
        <v>175453.44842686379</v>
      </c>
      <c r="AR110" s="290">
        <f t="shared" si="70"/>
        <v>73687.55157313621</v>
      </c>
      <c r="AS110" s="291">
        <f t="shared" si="63"/>
        <v>184.21887893284054</v>
      </c>
      <c r="AT110" s="292">
        <f t="shared" si="64"/>
        <v>79.834833773712035</v>
      </c>
      <c r="AU110" s="1301">
        <f t="shared" si="71"/>
        <v>82.446262820383126</v>
      </c>
    </row>
    <row r="111" spans="1:47" x14ac:dyDescent="0.2">
      <c r="B111" s="405">
        <f t="shared" si="73"/>
        <v>-0.44999999999999996</v>
      </c>
      <c r="C111" s="290">
        <f t="shared" si="65"/>
        <v>78893.432533582236</v>
      </c>
      <c r="D111" s="291">
        <f t="shared" si="66"/>
        <v>197.23358133395558</v>
      </c>
      <c r="E111" s="292">
        <f t="shared" si="67"/>
        <v>85.475008162060931</v>
      </c>
      <c r="F111" s="1301">
        <f t="shared" si="68"/>
        <v>88.086437208732022</v>
      </c>
      <c r="AM111" s="342">
        <f>Income_Expense!$D$14</f>
        <v>249141</v>
      </c>
      <c r="AN111" s="321">
        <f t="shared" si="72"/>
        <v>57264.690564906297</v>
      </c>
      <c r="AO111" s="322">
        <f>Income_Expense!$D$31-Income_Expense!$D$16</f>
        <v>99487.043568178124</v>
      </c>
      <c r="AP111" s="331">
        <f>Income_Expense!$D$34</f>
        <v>13495.833333333334</v>
      </c>
      <c r="AQ111" s="330">
        <f t="shared" si="69"/>
        <v>170247.56746641776</v>
      </c>
      <c r="AR111" s="290">
        <f t="shared" si="70"/>
        <v>78893.432533582236</v>
      </c>
      <c r="AS111" s="291">
        <f t="shared" si="63"/>
        <v>197.23358133395558</v>
      </c>
      <c r="AT111" s="292">
        <f t="shared" si="64"/>
        <v>85.475008162060931</v>
      </c>
      <c r="AU111" s="1301">
        <f t="shared" si="71"/>
        <v>88.086437208732022</v>
      </c>
    </row>
    <row r="112" spans="1:47" ht="13.5" thickBot="1" x14ac:dyDescent="0.25">
      <c r="B112" s="414">
        <f t="shared" si="73"/>
        <v>-0.49999999999999994</v>
      </c>
      <c r="C112" s="318">
        <f t="shared" si="65"/>
        <v>84099.313494028262</v>
      </c>
      <c r="D112" s="319">
        <f t="shared" si="66"/>
        <v>210.24828373507066</v>
      </c>
      <c r="E112" s="320">
        <f t="shared" si="67"/>
        <v>91.115182550409813</v>
      </c>
      <c r="F112" s="1303">
        <f t="shared" si="68"/>
        <v>93.726611597080904</v>
      </c>
      <c r="AM112" s="341">
        <f>Income_Expense!$D$14</f>
        <v>249141</v>
      </c>
      <c r="AN112" s="346">
        <f t="shared" si="72"/>
        <v>52058.809604460264</v>
      </c>
      <c r="AO112" s="347">
        <f>Income_Expense!$D$31-Income_Expense!$D$16</f>
        <v>99487.043568178124</v>
      </c>
      <c r="AP112" s="355">
        <f>Income_Expense!$D$34</f>
        <v>13495.833333333334</v>
      </c>
      <c r="AQ112" s="348">
        <f t="shared" si="69"/>
        <v>165041.68650597174</v>
      </c>
      <c r="AR112" s="318">
        <f t="shared" si="70"/>
        <v>84099.313494028262</v>
      </c>
      <c r="AS112" s="319">
        <f t="shared" si="63"/>
        <v>210.24828373507066</v>
      </c>
      <c r="AT112" s="320">
        <f t="shared" si="64"/>
        <v>91.115182550409813</v>
      </c>
      <c r="AU112" s="1303">
        <f t="shared" si="71"/>
        <v>93.726611597080904</v>
      </c>
    </row>
    <row r="113" spans="45:47" x14ac:dyDescent="0.2">
      <c r="AS113" s="757">
        <f>Income_Expense!$D$99</f>
        <v>400</v>
      </c>
      <c r="AT113" s="757">
        <f>Income_Expense!$D$158</f>
        <v>923</v>
      </c>
      <c r="AU113" s="506" t="s">
        <v>643</v>
      </c>
    </row>
    <row r="114" spans="45:47" x14ac:dyDescent="0.2">
      <c r="AS114" s="431"/>
      <c r="AT114" s="757">
        <f>Income_Expense!$D$153</f>
        <v>851</v>
      </c>
      <c r="AU114" s="366" t="s">
        <v>939</v>
      </c>
    </row>
  </sheetData>
  <sheetProtection sheet="1" objects="1" scenarios="1"/>
  <phoneticPr fontId="10" type="noConversion"/>
  <pageMargins left="0.75" right="0.75" top="1" bottom="1" header="0.5" footer="0.5"/>
  <pageSetup scale="22" orientation="landscape" r:id="rId1"/>
  <headerFooter alignWithMargins="0">
    <oddFooter>&amp;CEwePLAN Copyright Government of Saskatchewan, Developed by Brad Marceniuk&amp;RPage 3</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3313" r:id="rId4" name="Button 1">
              <controlPr defaultSize="0" print="0" autoFill="0" autoPict="0" macro="[0]!AcceleratedSensitivity">
                <anchor moveWithCells="1" sizeWithCells="1">
                  <from>
                    <xdr:col>0</xdr:col>
                    <xdr:colOff>504825</xdr:colOff>
                    <xdr:row>0</xdr:row>
                    <xdr:rowOff>161925</xdr:rowOff>
                  </from>
                  <to>
                    <xdr:col>6</xdr:col>
                    <xdr:colOff>561975</xdr:colOff>
                    <xdr:row>2</xdr:row>
                    <xdr:rowOff>142875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
    <pageSetUpPr fitToPage="1"/>
  </sheetPr>
  <dimension ref="A1:I54"/>
  <sheetViews>
    <sheetView showGridLines="0" showRowColHeaders="0" zoomScale="112" zoomScaleNormal="112" workbookViewId="0">
      <selection activeCell="B5" sqref="B5"/>
    </sheetView>
  </sheetViews>
  <sheetFormatPr defaultRowHeight="12.75" x14ac:dyDescent="0.2"/>
  <cols>
    <col min="2" max="2" width="40.7109375" customWidth="1"/>
    <col min="3" max="9" width="10.7109375" customWidth="1"/>
    <col min="10" max="12" width="12.7109375" customWidth="1"/>
  </cols>
  <sheetData>
    <row r="1" spans="1:9" x14ac:dyDescent="0.2">
      <c r="A1" s="28"/>
      <c r="B1" s="28"/>
      <c r="C1" s="28"/>
      <c r="D1" s="28"/>
      <c r="E1" s="28"/>
      <c r="F1" s="28"/>
      <c r="G1" s="28"/>
      <c r="H1" s="28"/>
      <c r="I1" s="28"/>
    </row>
    <row r="2" spans="1:9" x14ac:dyDescent="0.2">
      <c r="A2" s="28"/>
      <c r="B2" s="28"/>
      <c r="C2" s="28"/>
      <c r="D2" s="28"/>
      <c r="E2" s="28"/>
      <c r="F2" s="28"/>
      <c r="G2" s="28"/>
      <c r="H2" s="28"/>
      <c r="I2" s="28"/>
    </row>
    <row r="3" spans="1:9" x14ac:dyDescent="0.2">
      <c r="A3" s="28"/>
      <c r="B3" s="28"/>
      <c r="C3" s="28"/>
      <c r="D3" s="28"/>
      <c r="E3" s="28"/>
      <c r="F3" s="28"/>
      <c r="G3" s="28"/>
      <c r="H3" s="28"/>
      <c r="I3" s="28"/>
    </row>
    <row r="4" spans="1:9" x14ac:dyDescent="0.2">
      <c r="A4" s="28"/>
      <c r="B4" s="28"/>
      <c r="C4" s="28"/>
      <c r="D4" s="28"/>
      <c r="E4" s="28"/>
      <c r="F4" s="28"/>
      <c r="G4" s="28"/>
      <c r="H4" s="28"/>
      <c r="I4" s="28"/>
    </row>
    <row r="5" spans="1:9" x14ac:dyDescent="0.2">
      <c r="A5" s="28"/>
      <c r="B5" s="28"/>
      <c r="C5" s="28"/>
      <c r="D5" s="28"/>
      <c r="E5" s="28"/>
      <c r="F5" s="28"/>
      <c r="G5" s="28"/>
      <c r="H5" s="28"/>
      <c r="I5" s="28"/>
    </row>
    <row r="6" spans="1:9" ht="16.5" thickBot="1" x14ac:dyDescent="0.3">
      <c r="B6" s="95" t="str">
        <f>Input!$C$10</f>
        <v>Name: Draft Copy 400 Head Ewe Accelerated Operation (45 per month)</v>
      </c>
      <c r="D6" s="96" t="s">
        <v>382</v>
      </c>
    </row>
    <row r="7" spans="1:9" x14ac:dyDescent="0.2">
      <c r="B7" s="37"/>
      <c r="C7" s="97" t="s">
        <v>383</v>
      </c>
      <c r="D7" s="97" t="s">
        <v>812</v>
      </c>
      <c r="E7" s="97" t="s">
        <v>813</v>
      </c>
      <c r="F7" s="97" t="s">
        <v>813</v>
      </c>
      <c r="G7" s="97" t="s">
        <v>813</v>
      </c>
      <c r="H7" s="1220" t="s">
        <v>813</v>
      </c>
      <c r="I7" s="29"/>
    </row>
    <row r="8" spans="1:9" x14ac:dyDescent="0.2">
      <c r="B8" s="3" t="s">
        <v>384</v>
      </c>
      <c r="C8" s="98" t="s">
        <v>385</v>
      </c>
      <c r="D8" s="424" t="str">
        <f>Input!E$15</f>
        <v>Year #1</v>
      </c>
      <c r="E8" s="424" t="str">
        <f>Input!F$15</f>
        <v>Year #2</v>
      </c>
      <c r="F8" s="424" t="str">
        <f>Input!G$15</f>
        <v>Year #3</v>
      </c>
      <c r="G8" s="424" t="str">
        <f>Input!H$15</f>
        <v>Year #4</v>
      </c>
      <c r="H8" s="1221" t="str">
        <f>Input!I$15</f>
        <v>Year #5</v>
      </c>
      <c r="I8" s="29"/>
    </row>
    <row r="9" spans="1:9" x14ac:dyDescent="0.2">
      <c r="B9" s="44" t="str">
        <f>Input!C388</f>
        <v>Cash</v>
      </c>
      <c r="C9" s="99">
        <f>Input!E388</f>
        <v>0</v>
      </c>
      <c r="D9" s="99">
        <f>Input!F388</f>
        <v>34450.852899645426</v>
      </c>
      <c r="E9" s="99">
        <f>Input!G388</f>
        <v>67445.115758284606</v>
      </c>
      <c r="F9" s="99">
        <f>Input!H388</f>
        <v>98375.211779360165</v>
      </c>
      <c r="G9" s="99">
        <f>Input!I388</f>
        <v>127634.99345883574</v>
      </c>
      <c r="H9" s="1222">
        <f>IF((G9+Income_Expense!H44)&gt;0,(G9+Income_Expense!H44),0)</f>
        <v>155191.05450987921</v>
      </c>
      <c r="I9" s="29"/>
    </row>
    <row r="10" spans="1:9" x14ac:dyDescent="0.2">
      <c r="B10" s="44" t="str">
        <f>Input!C389</f>
        <v>Accounts Receivable</v>
      </c>
      <c r="C10" s="67">
        <f>Input!E389</f>
        <v>0</v>
      </c>
      <c r="D10" s="67">
        <f>Input!F389</f>
        <v>0</v>
      </c>
      <c r="E10" s="67">
        <f>Input!G389</f>
        <v>0</v>
      </c>
      <c r="F10" s="67">
        <f>Input!H389</f>
        <v>0</v>
      </c>
      <c r="G10" s="67">
        <f>Input!I389</f>
        <v>0</v>
      </c>
      <c r="H10" s="1192">
        <f>G10</f>
        <v>0</v>
      </c>
      <c r="I10" s="29"/>
    </row>
    <row r="11" spans="1:9" x14ac:dyDescent="0.2">
      <c r="B11" s="44" t="str">
        <f>Input!C390</f>
        <v>Market Inventory - Lambs</v>
      </c>
      <c r="C11" s="67">
        <f>Input!E390</f>
        <v>0</v>
      </c>
      <c r="D11" s="67">
        <f>Input!F390</f>
        <v>0</v>
      </c>
      <c r="E11" s="67">
        <f>Input!G390</f>
        <v>0</v>
      </c>
      <c r="F11" s="67">
        <f>Input!H390</f>
        <v>0</v>
      </c>
      <c r="G11" s="67">
        <f>Input!I390</f>
        <v>0</v>
      </c>
      <c r="H11" s="1192">
        <f>G11</f>
        <v>0</v>
      </c>
      <c r="I11" s="29"/>
    </row>
    <row r="12" spans="1:9" x14ac:dyDescent="0.2">
      <c r="B12" s="44" t="str">
        <f>Input!C393</f>
        <v>Feed Supplies/Hay/Grain</v>
      </c>
      <c r="C12" s="67">
        <f>Input!E393</f>
        <v>0</v>
      </c>
      <c r="D12" s="67">
        <f>Input!F393</f>
        <v>0</v>
      </c>
      <c r="E12" s="67">
        <f>Input!G393</f>
        <v>0</v>
      </c>
      <c r="F12" s="67">
        <f>Input!H393</f>
        <v>0</v>
      </c>
      <c r="G12" s="67">
        <f>Input!I393</f>
        <v>0</v>
      </c>
      <c r="H12" s="1192">
        <f>G12</f>
        <v>0</v>
      </c>
      <c r="I12" s="29"/>
    </row>
    <row r="13" spans="1:9" ht="13.5" thickBot="1" x14ac:dyDescent="0.25">
      <c r="B13" s="44" t="str">
        <f>Input!C394</f>
        <v>General Farm Supplies/Medication</v>
      </c>
      <c r="C13" s="67">
        <f>Input!E394</f>
        <v>0</v>
      </c>
      <c r="D13" s="67">
        <f>Input!F394</f>
        <v>0</v>
      </c>
      <c r="E13" s="67">
        <f>Input!G394</f>
        <v>0</v>
      </c>
      <c r="F13" s="67">
        <f>Input!H394</f>
        <v>0</v>
      </c>
      <c r="G13" s="67">
        <f>Input!I394</f>
        <v>0</v>
      </c>
      <c r="H13" s="1192">
        <f>G13</f>
        <v>0</v>
      </c>
      <c r="I13" s="29"/>
    </row>
    <row r="14" spans="1:9" ht="14.25" thickTop="1" thickBot="1" x14ac:dyDescent="0.25">
      <c r="B14" s="1099" t="s">
        <v>386</v>
      </c>
      <c r="C14" s="1108">
        <f t="shared" ref="C14:H14" si="0">SUM(C9:C13)</f>
        <v>0</v>
      </c>
      <c r="D14" s="1108">
        <f t="shared" si="0"/>
        <v>34450.852899645426</v>
      </c>
      <c r="E14" s="1108">
        <f t="shared" si="0"/>
        <v>67445.115758284606</v>
      </c>
      <c r="F14" s="1108">
        <f t="shared" si="0"/>
        <v>98375.211779360165</v>
      </c>
      <c r="G14" s="1108">
        <f t="shared" si="0"/>
        <v>127634.99345883574</v>
      </c>
      <c r="H14" s="1109">
        <f t="shared" si="0"/>
        <v>155191.05450987921</v>
      </c>
      <c r="I14" s="29"/>
    </row>
    <row r="15" spans="1:9" ht="13.5" thickTop="1" x14ac:dyDescent="0.2">
      <c r="B15" s="3" t="s">
        <v>387</v>
      </c>
      <c r="C15" s="100"/>
      <c r="D15" s="101"/>
      <c r="E15" s="101"/>
      <c r="F15" s="101"/>
      <c r="G15" s="101"/>
      <c r="H15" s="102"/>
      <c r="I15" s="29"/>
    </row>
    <row r="16" spans="1:9" x14ac:dyDescent="0.2">
      <c r="B16" s="44" t="str">
        <f>Input!$C391</f>
        <v>Breeding Stock - Ewes</v>
      </c>
      <c r="C16" s="67">
        <f>Input!E$391</f>
        <v>180000</v>
      </c>
      <c r="D16" s="67">
        <f>Input!F$391</f>
        <v>180000</v>
      </c>
      <c r="E16" s="67">
        <f>Input!G$391</f>
        <v>180000</v>
      </c>
      <c r="F16" s="67">
        <f>Input!H$391</f>
        <v>180000</v>
      </c>
      <c r="G16" s="67">
        <f>Input!I$391</f>
        <v>180000</v>
      </c>
      <c r="H16" s="1192">
        <f>G16</f>
        <v>180000</v>
      </c>
      <c r="I16" s="29"/>
    </row>
    <row r="17" spans="2:9" x14ac:dyDescent="0.2">
      <c r="B17" s="44" t="str">
        <f>Input!$C392</f>
        <v>Breeding Stock - Rams</v>
      </c>
      <c r="C17" s="67">
        <f>Input!E$392</f>
        <v>8000</v>
      </c>
      <c r="D17" s="67">
        <f>Input!F$392</f>
        <v>8000</v>
      </c>
      <c r="E17" s="67">
        <f>Input!G$392</f>
        <v>8000</v>
      </c>
      <c r="F17" s="67">
        <f>Input!H$392</f>
        <v>8000</v>
      </c>
      <c r="G17" s="67">
        <f>Input!I$392</f>
        <v>8000</v>
      </c>
      <c r="H17" s="1192">
        <f>G17</f>
        <v>8000</v>
      </c>
      <c r="I17" s="29"/>
    </row>
    <row r="18" spans="2:9" x14ac:dyDescent="0.2">
      <c r="B18" s="44" t="s">
        <v>389</v>
      </c>
      <c r="C18" s="67">
        <f>Input!E$396</f>
        <v>75000</v>
      </c>
      <c r="D18" s="67">
        <f>Input!F$396</f>
        <v>71250</v>
      </c>
      <c r="E18" s="67">
        <f>Input!G$396</f>
        <v>67687.5</v>
      </c>
      <c r="F18" s="67">
        <f>Input!H$396</f>
        <v>64303.125</v>
      </c>
      <c r="G18" s="67">
        <f>Input!I$396</f>
        <v>61087.96875</v>
      </c>
      <c r="H18" s="1192">
        <f>Depreciation!N6</f>
        <v>58033.5703125</v>
      </c>
      <c r="I18" s="29"/>
    </row>
    <row r="19" spans="2:9" x14ac:dyDescent="0.2">
      <c r="B19" s="44" t="s">
        <v>388</v>
      </c>
      <c r="C19" s="67">
        <f>Input!E$397</f>
        <v>50000</v>
      </c>
      <c r="D19" s="67">
        <f>Input!F$397</f>
        <v>45000</v>
      </c>
      <c r="E19" s="67">
        <f>Input!G$397</f>
        <v>40500</v>
      </c>
      <c r="F19" s="67">
        <f>Input!H$397</f>
        <v>36450</v>
      </c>
      <c r="G19" s="67">
        <f>Input!I$397</f>
        <v>32805</v>
      </c>
      <c r="H19" s="1192">
        <f>Depreciation!N7</f>
        <v>29524.5</v>
      </c>
      <c r="I19" s="29"/>
    </row>
    <row r="20" spans="2:9" x14ac:dyDescent="0.2">
      <c r="B20" s="44" t="s">
        <v>371</v>
      </c>
      <c r="C20" s="67">
        <f>Input!E$395</f>
        <v>100000</v>
      </c>
      <c r="D20" s="67">
        <f>Input!F$395</f>
        <v>100000</v>
      </c>
      <c r="E20" s="67">
        <f>Input!G$395</f>
        <v>100000</v>
      </c>
      <c r="F20" s="67">
        <f>Input!H$395</f>
        <v>100000</v>
      </c>
      <c r="G20" s="67">
        <f>Input!I$395</f>
        <v>100000</v>
      </c>
      <c r="H20" s="1192">
        <f>Depreciation!N5</f>
        <v>100000</v>
      </c>
      <c r="I20" s="29"/>
    </row>
    <row r="21" spans="2:9" ht="13.5" thickBot="1" x14ac:dyDescent="0.25">
      <c r="B21" s="44" t="s">
        <v>390</v>
      </c>
      <c r="C21" s="67">
        <f>Input!E$398</f>
        <v>0</v>
      </c>
      <c r="D21" s="67">
        <f>Input!F$398</f>
        <v>0</v>
      </c>
      <c r="E21" s="67">
        <f>Input!G$398</f>
        <v>0</v>
      </c>
      <c r="F21" s="67">
        <f>Input!H$398</f>
        <v>0</v>
      </c>
      <c r="G21" s="67">
        <f>Input!I$398</f>
        <v>0</v>
      </c>
      <c r="H21" s="1192">
        <f>Depreciation!N8</f>
        <v>0</v>
      </c>
      <c r="I21" s="29"/>
    </row>
    <row r="22" spans="2:9" ht="14.25" thickTop="1" thickBot="1" x14ac:dyDescent="0.25">
      <c r="B22" s="1110" t="s">
        <v>391</v>
      </c>
      <c r="C22" s="1111">
        <f t="shared" ref="C22:H22" si="1">SUM(C16:C21)</f>
        <v>413000</v>
      </c>
      <c r="D22" s="1111">
        <f t="shared" si="1"/>
        <v>404250</v>
      </c>
      <c r="E22" s="1111">
        <f t="shared" si="1"/>
        <v>396187.5</v>
      </c>
      <c r="F22" s="1111">
        <f t="shared" si="1"/>
        <v>388753.125</v>
      </c>
      <c r="G22" s="1111">
        <f t="shared" si="1"/>
        <v>381892.96875</v>
      </c>
      <c r="H22" s="1112">
        <f t="shared" si="1"/>
        <v>375558.0703125</v>
      </c>
      <c r="I22" s="29"/>
    </row>
    <row r="23" spans="2:9" ht="13.5" thickBot="1" x14ac:dyDescent="0.25">
      <c r="B23" s="1105" t="s">
        <v>372</v>
      </c>
      <c r="C23" s="1106">
        <f t="shared" ref="C23:H23" si="2">C14+C22</f>
        <v>413000</v>
      </c>
      <c r="D23" s="1106">
        <f t="shared" si="2"/>
        <v>438700.85289964546</v>
      </c>
      <c r="E23" s="1106">
        <f t="shared" si="2"/>
        <v>463632.61575828458</v>
      </c>
      <c r="F23" s="1106">
        <f t="shared" si="2"/>
        <v>487128.33677936019</v>
      </c>
      <c r="G23" s="1106">
        <f t="shared" si="2"/>
        <v>509527.96220883576</v>
      </c>
      <c r="H23" s="1223">
        <f t="shared" si="2"/>
        <v>530749.12482237921</v>
      </c>
      <c r="I23" s="29"/>
    </row>
    <row r="24" spans="2:9" x14ac:dyDescent="0.2">
      <c r="B24" s="1" t="s">
        <v>392</v>
      </c>
      <c r="C24" s="103"/>
      <c r="D24" s="38"/>
      <c r="E24" s="38"/>
      <c r="F24" s="38"/>
      <c r="G24" s="38"/>
      <c r="H24" s="1224"/>
      <c r="I24" s="29"/>
    </row>
    <row r="25" spans="2:9" x14ac:dyDescent="0.2">
      <c r="B25" s="44" t="s">
        <v>376</v>
      </c>
      <c r="C25" s="67">
        <f>Input!E$402</f>
        <v>0</v>
      </c>
      <c r="D25" s="67">
        <f>Input!F$402</f>
        <v>0</v>
      </c>
      <c r="E25" s="67">
        <f>Input!G$402</f>
        <v>0</v>
      </c>
      <c r="F25" s="67">
        <f>Input!H$402</f>
        <v>0</v>
      </c>
      <c r="G25" s="67">
        <f>Input!I$402</f>
        <v>0</v>
      </c>
      <c r="H25" s="1222">
        <f>IF(Income_Expense!V60&lt;0,Income_Expense!V60*(-1),0)</f>
        <v>0</v>
      </c>
      <c r="I25" s="29"/>
    </row>
    <row r="26" spans="2:9" x14ac:dyDescent="0.2">
      <c r="B26" s="44" t="s">
        <v>377</v>
      </c>
      <c r="C26" s="67">
        <f>Input!E$403</f>
        <v>0</v>
      </c>
      <c r="D26" s="67">
        <f>Input!F$403</f>
        <v>0</v>
      </c>
      <c r="E26" s="67">
        <f>Input!G$403</f>
        <v>0</v>
      </c>
      <c r="F26" s="67">
        <f>Input!H$403</f>
        <v>0</v>
      </c>
      <c r="G26" s="67">
        <f>Input!I$403</f>
        <v>0</v>
      </c>
      <c r="H26" s="1192">
        <f>Input!J$403</f>
        <v>0</v>
      </c>
      <c r="I26" s="29"/>
    </row>
    <row r="27" spans="2:9" x14ac:dyDescent="0.2">
      <c r="B27" s="44" t="s">
        <v>378</v>
      </c>
      <c r="C27" s="67">
        <f>Input!E$404</f>
        <v>0</v>
      </c>
      <c r="D27" s="67">
        <f>Input!F$404</f>
        <v>0</v>
      </c>
      <c r="E27" s="67">
        <f>Input!G$404</f>
        <v>0</v>
      </c>
      <c r="F27" s="67">
        <f>Input!H$404</f>
        <v>0</v>
      </c>
      <c r="G27" s="67">
        <f>Input!I$404</f>
        <v>0</v>
      </c>
      <c r="H27" s="1192">
        <f>Input!J$404</f>
        <v>0</v>
      </c>
      <c r="I27" s="29"/>
    </row>
    <row r="28" spans="2:9" ht="13.5" thickBot="1" x14ac:dyDescent="0.25">
      <c r="B28" s="44" t="s">
        <v>379</v>
      </c>
      <c r="C28" s="68">
        <f>Input!E405</f>
        <v>6110.4843232559124</v>
      </c>
      <c r="D28" s="68">
        <f>Input!F405</f>
        <v>6454.7163281280427</v>
      </c>
      <c r="E28" s="68">
        <f>Input!G405</f>
        <v>6818.3704152937235</v>
      </c>
      <c r="F28" s="68">
        <f>Input!H405</f>
        <v>7202.5441586006355</v>
      </c>
      <c r="G28" s="68">
        <f>Input!I405</f>
        <v>7608.3972600173729</v>
      </c>
      <c r="H28" s="1225">
        <f>Financing!E45</f>
        <v>2182.7441677288275</v>
      </c>
      <c r="I28" s="29"/>
    </row>
    <row r="29" spans="2:9" ht="14.25" thickTop="1" thickBot="1" x14ac:dyDescent="0.25">
      <c r="B29" s="1099" t="s">
        <v>393</v>
      </c>
      <c r="C29" s="1107">
        <f t="shared" ref="C29:H29" si="3">SUM(C25:C28)</f>
        <v>6110.4843232559124</v>
      </c>
      <c r="D29" s="1108">
        <f t="shared" si="3"/>
        <v>6454.7163281280427</v>
      </c>
      <c r="E29" s="1108">
        <f t="shared" si="3"/>
        <v>6818.3704152937235</v>
      </c>
      <c r="F29" s="1108">
        <f t="shared" si="3"/>
        <v>7202.5441586006355</v>
      </c>
      <c r="G29" s="1108">
        <f t="shared" si="3"/>
        <v>7608.3972600173729</v>
      </c>
      <c r="H29" s="1109">
        <f t="shared" si="3"/>
        <v>2182.7441677288275</v>
      </c>
      <c r="I29" s="29"/>
    </row>
    <row r="30" spans="2:9" ht="13.5" thickTop="1" x14ac:dyDescent="0.2">
      <c r="B30" s="3" t="s">
        <v>394</v>
      </c>
      <c r="C30" s="105"/>
      <c r="H30" s="66"/>
      <c r="I30" s="29"/>
    </row>
    <row r="31" spans="2:9" x14ac:dyDescent="0.2">
      <c r="B31" s="106" t="str">
        <f>Input!C414</f>
        <v>Loan#1 - Land and Buildings</v>
      </c>
      <c r="C31" s="107">
        <f>Input!E415</f>
        <v>60000</v>
      </c>
      <c r="D31" s="67">
        <f>Financing!$F$12</f>
        <v>58368.926581388914</v>
      </c>
      <c r="E31" s="67">
        <f>Financing!$F$13</f>
        <v>56639.988757661165</v>
      </c>
      <c r="F31" s="67">
        <f>Financing!$F$14</f>
        <v>54807.314664509751</v>
      </c>
      <c r="G31" s="67">
        <f>Financing!$F$15</f>
        <v>52864.68012576925</v>
      </c>
      <c r="H31" s="1192">
        <f>Financing!$F$16</f>
        <v>50805.48751470432</v>
      </c>
      <c r="I31" s="29"/>
    </row>
    <row r="32" spans="2:9" x14ac:dyDescent="0.2">
      <c r="B32" s="106" t="str">
        <f>Input!C420</f>
        <v>Loan#2 - Machinery and Equipment</v>
      </c>
      <c r="C32" s="107">
        <f>Input!E421</f>
        <v>25000</v>
      </c>
      <c r="D32" s="67">
        <f>Financing!$L$12</f>
        <v>20520.589095355175</v>
      </c>
      <c r="E32" s="67">
        <f>Financing!$L$13</f>
        <v>15794.810590954883</v>
      </c>
      <c r="F32" s="67">
        <f>Financing!$L$14</f>
        <v>10809.114268812576</v>
      </c>
      <c r="G32" s="67">
        <f>Financing!$L$15</f>
        <v>5549.2046489524428</v>
      </c>
      <c r="H32" s="1192">
        <f>Financing!$L$16</f>
        <v>0</v>
      </c>
      <c r="I32" s="29"/>
    </row>
    <row r="33" spans="2:9" x14ac:dyDescent="0.2">
      <c r="B33" s="106" t="str">
        <f>Input!C426</f>
        <v>Loan#3 - Sheep Loan Purchase #1 (Year #1)</v>
      </c>
      <c r="C33" s="107">
        <v>0</v>
      </c>
      <c r="D33" s="107">
        <f>Input!E427</f>
        <v>0</v>
      </c>
      <c r="E33" s="67">
        <f>Financing!$R$13</f>
        <v>0</v>
      </c>
      <c r="F33" s="67">
        <f>Financing!$R$14</f>
        <v>0</v>
      </c>
      <c r="G33" s="67">
        <f>Financing!$R$15</f>
        <v>0</v>
      </c>
      <c r="H33" s="1192">
        <f>Financing!$R$16</f>
        <v>0</v>
      </c>
      <c r="I33" s="29"/>
    </row>
    <row r="34" spans="2:9" x14ac:dyDescent="0.2">
      <c r="B34" s="106" t="str">
        <f>Input!C432</f>
        <v>Loan#4 - Sheep Loan Purchase #2 (Year #2)</v>
      </c>
      <c r="C34" s="107">
        <v>0</v>
      </c>
      <c r="D34" s="107">
        <v>0</v>
      </c>
      <c r="E34" s="67">
        <f>Financing!$X$13</f>
        <v>0</v>
      </c>
      <c r="F34" s="67">
        <f>Financing!$X$14</f>
        <v>0</v>
      </c>
      <c r="G34" s="67">
        <f>Financing!$X$15</f>
        <v>0</v>
      </c>
      <c r="H34" s="1192">
        <f>Financing!$X$16</f>
        <v>0</v>
      </c>
      <c r="I34" s="29"/>
    </row>
    <row r="35" spans="2:9" x14ac:dyDescent="0.2">
      <c r="B35" s="106" t="str">
        <f>Input!C438</f>
        <v>Loan#5 - Sheep Loan Purchase #3 (Year #3)</v>
      </c>
      <c r="C35" s="107">
        <v>0</v>
      </c>
      <c r="D35" s="67">
        <v>0</v>
      </c>
      <c r="E35" s="67">
        <f>Financing!$AD$14</f>
        <v>0</v>
      </c>
      <c r="F35" s="67">
        <f>Financing!$AD$15</f>
        <v>0</v>
      </c>
      <c r="G35" s="67">
        <f>Financing!$AD$16</f>
        <v>0</v>
      </c>
      <c r="H35" s="1192">
        <f>Financing!$AD$17</f>
        <v>0</v>
      </c>
      <c r="I35" s="29"/>
    </row>
    <row r="36" spans="2:9" x14ac:dyDescent="0.2">
      <c r="B36" s="106" t="str">
        <f>Input!C444</f>
        <v>Loan#6 - Sheep Loan Purchase #4 (Year #4)</v>
      </c>
      <c r="C36" s="107">
        <v>0</v>
      </c>
      <c r="D36" s="67">
        <v>0</v>
      </c>
      <c r="E36" s="67">
        <v>0</v>
      </c>
      <c r="F36" s="67">
        <f>Financing!$AJ$15</f>
        <v>0</v>
      </c>
      <c r="G36" s="67">
        <f>Financing!$AJ$16</f>
        <v>0</v>
      </c>
      <c r="H36" s="1192">
        <f>Financing!$AJ$17</f>
        <v>0</v>
      </c>
      <c r="I36" s="29"/>
    </row>
    <row r="37" spans="2:9" ht="13.5" thickBot="1" x14ac:dyDescent="0.25">
      <c r="B37" s="106" t="str">
        <f>Input!C450</f>
        <v>Loan#7 - Sheep Loan Purchase #5 (Year #5)</v>
      </c>
      <c r="C37" s="108">
        <v>0</v>
      </c>
      <c r="D37" s="67">
        <v>0</v>
      </c>
      <c r="E37" s="67">
        <v>0</v>
      </c>
      <c r="F37" s="67">
        <v>0</v>
      </c>
      <c r="G37" s="67">
        <f>Financing!$AP$16</f>
        <v>0</v>
      </c>
      <c r="H37" s="1192">
        <f>Financing!$AP$17</f>
        <v>0</v>
      </c>
      <c r="I37" s="29"/>
    </row>
    <row r="38" spans="2:9" ht="14.25" thickTop="1" thickBot="1" x14ac:dyDescent="0.25">
      <c r="B38" s="1099" t="s">
        <v>395</v>
      </c>
      <c r="C38" s="1100">
        <f t="shared" ref="C38:H38" si="4">SUM(C31:C37)</f>
        <v>85000</v>
      </c>
      <c r="D38" s="1100">
        <f t="shared" si="4"/>
        <v>78889.515676744093</v>
      </c>
      <c r="E38" s="1100">
        <f t="shared" si="4"/>
        <v>72434.799348616041</v>
      </c>
      <c r="F38" s="1100">
        <f t="shared" si="4"/>
        <v>65616.428933322328</v>
      </c>
      <c r="G38" s="1100">
        <f t="shared" si="4"/>
        <v>58413.884774721693</v>
      </c>
      <c r="H38" s="1101">
        <f t="shared" si="4"/>
        <v>50805.48751470432</v>
      </c>
      <c r="I38" s="29"/>
    </row>
    <row r="39" spans="2:9" ht="14.25" thickTop="1" thickBot="1" x14ac:dyDescent="0.25">
      <c r="B39" s="1102" t="s">
        <v>396</v>
      </c>
      <c r="C39" s="1103">
        <f t="shared" ref="C39:H39" si="5">C29+C38</f>
        <v>91110.484323255907</v>
      </c>
      <c r="D39" s="1103">
        <f t="shared" si="5"/>
        <v>85344.23200487213</v>
      </c>
      <c r="E39" s="1103">
        <f t="shared" si="5"/>
        <v>79253.169763909769</v>
      </c>
      <c r="F39" s="1103">
        <f t="shared" si="5"/>
        <v>72818.973091922962</v>
      </c>
      <c r="G39" s="1103">
        <f t="shared" si="5"/>
        <v>66022.282034739066</v>
      </c>
      <c r="H39" s="1104">
        <f t="shared" si="5"/>
        <v>52988.23168243315</v>
      </c>
      <c r="I39" s="29"/>
    </row>
    <row r="40" spans="2:9" ht="13.5" thickBot="1" x14ac:dyDescent="0.25">
      <c r="B40" s="1105" t="s">
        <v>397</v>
      </c>
      <c r="C40" s="1106">
        <f t="shared" ref="C40:H40" si="6">C23-C39</f>
        <v>321889.51567674411</v>
      </c>
      <c r="D40" s="1106">
        <f t="shared" si="6"/>
        <v>353356.62089477334</v>
      </c>
      <c r="E40" s="1106">
        <f t="shared" si="6"/>
        <v>384379.44599437481</v>
      </c>
      <c r="F40" s="1106">
        <f t="shared" si="6"/>
        <v>414309.36368743726</v>
      </c>
      <c r="G40" s="1106">
        <f t="shared" si="6"/>
        <v>443505.68017409672</v>
      </c>
      <c r="H40" s="1226">
        <f t="shared" si="6"/>
        <v>477760.89313994604</v>
      </c>
      <c r="I40" s="29"/>
    </row>
    <row r="50" spans="2:8" x14ac:dyDescent="0.2">
      <c r="C50" s="27" t="str">
        <f t="shared" ref="C50:H50" si="7">C7</f>
        <v>Initial</v>
      </c>
      <c r="D50" s="27" t="str">
        <f t="shared" si="7"/>
        <v>End of</v>
      </c>
      <c r="E50" s="27" t="str">
        <f t="shared" si="7"/>
        <v>End</v>
      </c>
      <c r="F50" s="27" t="str">
        <f t="shared" si="7"/>
        <v>End</v>
      </c>
      <c r="G50" s="27" t="str">
        <f t="shared" si="7"/>
        <v>End</v>
      </c>
      <c r="H50" s="27" t="str">
        <f t="shared" si="7"/>
        <v>End</v>
      </c>
    </row>
    <row r="51" spans="2:8" x14ac:dyDescent="0.2">
      <c r="B51" s="110" t="s">
        <v>424</v>
      </c>
      <c r="C51" s="67">
        <f t="shared" ref="C51:H51" si="8">C11+C12+C13+C16+C17</f>
        <v>188000</v>
      </c>
      <c r="D51" s="67">
        <f t="shared" si="8"/>
        <v>188000</v>
      </c>
      <c r="E51" s="67">
        <f t="shared" si="8"/>
        <v>188000</v>
      </c>
      <c r="F51" s="67">
        <f t="shared" si="8"/>
        <v>188000</v>
      </c>
      <c r="G51" s="67">
        <f t="shared" si="8"/>
        <v>188000</v>
      </c>
      <c r="H51" s="67">
        <f t="shared" si="8"/>
        <v>188000</v>
      </c>
    </row>
    <row r="52" spans="2:8" x14ac:dyDescent="0.2">
      <c r="B52" s="110" t="s">
        <v>368</v>
      </c>
      <c r="C52" s="67">
        <f t="shared" ref="C52:H52" si="9">C10</f>
        <v>0</v>
      </c>
      <c r="D52" s="67">
        <f t="shared" si="9"/>
        <v>0</v>
      </c>
      <c r="E52" s="67">
        <f t="shared" si="9"/>
        <v>0</v>
      </c>
      <c r="F52" s="67">
        <f t="shared" si="9"/>
        <v>0</v>
      </c>
      <c r="G52" s="67">
        <f t="shared" si="9"/>
        <v>0</v>
      </c>
      <c r="H52" s="67">
        <f t="shared" si="9"/>
        <v>0</v>
      </c>
    </row>
    <row r="53" spans="2:8" x14ac:dyDescent="0.2">
      <c r="B53" s="110" t="s">
        <v>377</v>
      </c>
      <c r="C53" s="67">
        <f t="shared" ref="C53:H53" si="10">C26</f>
        <v>0</v>
      </c>
      <c r="D53" s="67">
        <f t="shared" si="10"/>
        <v>0</v>
      </c>
      <c r="E53" s="67">
        <f t="shared" si="10"/>
        <v>0</v>
      </c>
      <c r="F53" s="67">
        <f t="shared" si="10"/>
        <v>0</v>
      </c>
      <c r="G53" s="67">
        <f t="shared" si="10"/>
        <v>0</v>
      </c>
      <c r="H53" s="67">
        <f t="shared" si="10"/>
        <v>0</v>
      </c>
    </row>
    <row r="54" spans="2:8" x14ac:dyDescent="0.2">
      <c r="B54" s="111" t="s">
        <v>425</v>
      </c>
      <c r="D54" s="55">
        <f>D51-C51+C53-D53+D52-C52</f>
        <v>0</v>
      </c>
      <c r="E54" s="55">
        <f>E51-D51+D53-E53+E52-D52</f>
        <v>0</v>
      </c>
      <c r="F54" s="55">
        <f>F51-E51+E53-F53+F52-E52</f>
        <v>0</v>
      </c>
      <c r="G54" s="55">
        <f>G51-F51+F53-G53+G52-F52</f>
        <v>0</v>
      </c>
      <c r="H54" s="55">
        <f>H51-G51+G53-H53+H52-G52</f>
        <v>0</v>
      </c>
    </row>
  </sheetData>
  <sheetProtection sheet="1" objects="1" scenarios="1"/>
  <phoneticPr fontId="10" type="noConversion"/>
  <pageMargins left="0.75" right="0.75" top="1" bottom="1" header="0.5" footer="0.5"/>
  <pageSetup scale="68" orientation="landscape" r:id="rId1"/>
  <headerFooter alignWithMargins="0">
    <oddFooter>&amp;CEwePLAN Copyright Government of Saskatchewan, Developed by Brad Marceniuk</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AcceleratedPrintBalanceSheet">
                <anchor moveWithCells="1" sizeWithCells="1">
                  <from>
                    <xdr:col>1</xdr:col>
                    <xdr:colOff>9525</xdr:colOff>
                    <xdr:row>1</xdr:row>
                    <xdr:rowOff>104775</xdr:rowOff>
                  </from>
                  <to>
                    <xdr:col>2</xdr:col>
                    <xdr:colOff>447675</xdr:colOff>
                    <xdr:row>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B2:R12"/>
  <sheetViews>
    <sheetView showGridLines="0" showRowColHeaders="0" zoomScale="130" zoomScaleNormal="130" workbookViewId="0">
      <selection activeCell="K33" sqref="K33"/>
    </sheetView>
  </sheetViews>
  <sheetFormatPr defaultRowHeight="12.75" x14ac:dyDescent="0.2"/>
  <cols>
    <col min="2" max="2" width="15.7109375" customWidth="1"/>
    <col min="3" max="12" width="12.7109375" customWidth="1"/>
    <col min="13" max="16" width="9.7109375" customWidth="1"/>
  </cols>
  <sheetData>
    <row r="2" spans="2:18" ht="16.5" thickBot="1" x14ac:dyDescent="0.3">
      <c r="E2" s="491" t="s">
        <v>732</v>
      </c>
    </row>
    <row r="3" spans="2:18" x14ac:dyDescent="0.2">
      <c r="B3" s="37"/>
      <c r="C3" s="182" t="s">
        <v>730</v>
      </c>
      <c r="D3" s="38"/>
      <c r="E3" s="38"/>
      <c r="F3" s="38"/>
      <c r="G3" s="38"/>
      <c r="H3" s="104"/>
    </row>
    <row r="4" spans="2:18" x14ac:dyDescent="0.2">
      <c r="B4" s="1098"/>
      <c r="C4" s="1096" t="s">
        <v>4</v>
      </c>
      <c r="D4" s="1096" t="s">
        <v>5</v>
      </c>
      <c r="E4" s="1096" t="s">
        <v>6</v>
      </c>
      <c r="F4" s="1096" t="s">
        <v>7</v>
      </c>
      <c r="G4" s="1096" t="s">
        <v>8</v>
      </c>
      <c r="H4" s="1097" t="s">
        <v>729</v>
      </c>
    </row>
    <row r="5" spans="2:18" x14ac:dyDescent="0.2">
      <c r="B5" s="492" t="s">
        <v>724</v>
      </c>
      <c r="C5" s="67">
        <f>Balance_Sheet!C23</f>
        <v>413000</v>
      </c>
      <c r="D5" s="67">
        <f>Balance_Sheet!D23</f>
        <v>438700.85289964546</v>
      </c>
      <c r="E5" s="67">
        <f>Balance_Sheet!E23</f>
        <v>463632.61575828458</v>
      </c>
      <c r="F5" s="67">
        <f>Balance_Sheet!F23</f>
        <v>487128.33677936019</v>
      </c>
      <c r="G5" s="67">
        <f>Balance_Sheet!G23</f>
        <v>509527.96220883576</v>
      </c>
      <c r="H5" s="493">
        <f>AVERAGE(C5:G5)</f>
        <v>462397.9535292252</v>
      </c>
      <c r="I5" s="27"/>
      <c r="J5" s="27"/>
      <c r="K5" s="27"/>
      <c r="L5" s="27"/>
      <c r="M5" s="27"/>
      <c r="N5" s="27"/>
      <c r="O5" s="27"/>
      <c r="P5" s="27"/>
      <c r="Q5" s="27"/>
      <c r="R5" s="27"/>
    </row>
    <row r="6" spans="2:18" x14ac:dyDescent="0.2">
      <c r="B6" s="492" t="s">
        <v>725</v>
      </c>
      <c r="C6" s="67">
        <f>Balance_Sheet!C39</f>
        <v>91110.484323255907</v>
      </c>
      <c r="D6" s="67">
        <f>Balance_Sheet!D39</f>
        <v>85344.23200487213</v>
      </c>
      <c r="E6" s="67">
        <f>Balance_Sheet!E39</f>
        <v>79253.169763909769</v>
      </c>
      <c r="F6" s="67">
        <f>Balance_Sheet!F39</f>
        <v>72818.973091922962</v>
      </c>
      <c r="G6" s="67">
        <f>Balance_Sheet!G39</f>
        <v>66022.282034739066</v>
      </c>
      <c r="H6" s="493">
        <f>AVERAGE(C6:G6)</f>
        <v>78909.828243739976</v>
      </c>
      <c r="I6" s="440"/>
      <c r="J6" s="440"/>
      <c r="K6" s="440"/>
      <c r="L6" s="440"/>
    </row>
    <row r="7" spans="2:18" x14ac:dyDescent="0.2">
      <c r="B7" s="492" t="s">
        <v>726</v>
      </c>
      <c r="C7" s="67">
        <f>C5-C6</f>
        <v>321889.51567674411</v>
      </c>
      <c r="D7" s="67">
        <f>D5-D6</f>
        <v>353356.62089477334</v>
      </c>
      <c r="E7" s="67">
        <f>E5-E6</f>
        <v>384379.44599437481</v>
      </c>
      <c r="F7" s="67">
        <f>F5-F6</f>
        <v>414309.36368743726</v>
      </c>
      <c r="G7" s="67">
        <f>G5-G6</f>
        <v>443505.68017409672</v>
      </c>
      <c r="H7" s="493">
        <f>AVERAGE(C7:G7)</f>
        <v>383488.12528548524</v>
      </c>
    </row>
    <row r="8" spans="2:18" x14ac:dyDescent="0.2">
      <c r="B8" s="373"/>
      <c r="C8" s="56" t="s">
        <v>733</v>
      </c>
      <c r="H8" s="66"/>
    </row>
    <row r="9" spans="2:18" x14ac:dyDescent="0.2">
      <c r="B9" s="1095" t="s">
        <v>731</v>
      </c>
      <c r="C9" s="1096" t="s">
        <v>4</v>
      </c>
      <c r="D9" s="1096" t="s">
        <v>5</v>
      </c>
      <c r="E9" s="1096" t="s">
        <v>6</v>
      </c>
      <c r="F9" s="1096" t="s">
        <v>7</v>
      </c>
      <c r="G9" s="1096" t="s">
        <v>8</v>
      </c>
      <c r="H9" s="1097" t="s">
        <v>729</v>
      </c>
    </row>
    <row r="10" spans="2:18" x14ac:dyDescent="0.2">
      <c r="B10" s="492" t="s">
        <v>727</v>
      </c>
      <c r="C10" s="447">
        <f>Income_Expense!D37</f>
        <v>32040.503889568005</v>
      </c>
      <c r="D10" s="447">
        <f>Income_Expense!E37</f>
        <v>31727.229186767247</v>
      </c>
      <c r="E10" s="447">
        <f>Income_Expense!F37</f>
        <v>30314.091436369286</v>
      </c>
      <c r="F10" s="447">
        <f>Income_Expense!G37</f>
        <v>29602.169588076213</v>
      </c>
      <c r="G10" s="447">
        <f>Income_Expense!H37</f>
        <v>28829.559873560851</v>
      </c>
      <c r="H10" s="494">
        <f>AVERAGE(C10:G10)</f>
        <v>30502.710794868319</v>
      </c>
    </row>
    <row r="11" spans="2:18" ht="13.5" thickBot="1" x14ac:dyDescent="0.25">
      <c r="B11" s="495" t="s">
        <v>728</v>
      </c>
      <c r="C11" s="496">
        <f>C10/C7</f>
        <v>9.9538824127917591E-2</v>
      </c>
      <c r="D11" s="496">
        <f>D10/D7</f>
        <v>8.9788127095021528E-2</v>
      </c>
      <c r="E11" s="496">
        <f>E10/E7</f>
        <v>7.8865016723118228E-2</v>
      </c>
      <c r="F11" s="496">
        <f>F10/F7</f>
        <v>7.1449434124806907E-2</v>
      </c>
      <c r="G11" s="496">
        <f>G10/G7</f>
        <v>6.5003812041919962E-2</v>
      </c>
      <c r="H11" s="497">
        <f>AVERAGE(C11:G11)</f>
        <v>8.0929042822556849E-2</v>
      </c>
    </row>
    <row r="12" spans="2:18" x14ac:dyDescent="0.2">
      <c r="B12" s="208" t="s">
        <v>734</v>
      </c>
    </row>
  </sheetData>
  <sheetProtection sheet="1"/>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pageSetUpPr fitToPage="1"/>
  </sheetPr>
  <dimension ref="B3:AP203"/>
  <sheetViews>
    <sheetView showGridLines="0" showRowColHeaders="0" workbookViewId="0">
      <selection activeCell="A2" sqref="A2"/>
    </sheetView>
  </sheetViews>
  <sheetFormatPr defaultRowHeight="12.75" x14ac:dyDescent="0.2"/>
  <cols>
    <col min="2" max="6" width="14.7109375" customWidth="1"/>
    <col min="7" max="7" width="8.7109375" customWidth="1"/>
    <col min="8" max="12" width="14.7109375" customWidth="1"/>
    <col min="13" max="13" width="8.7109375" customWidth="1"/>
    <col min="14" max="18" width="14.7109375" customWidth="1"/>
    <col min="20" max="24" width="14.7109375" customWidth="1"/>
    <col min="26" max="30" width="14.7109375" customWidth="1"/>
    <col min="31" max="31" width="8.7109375" customWidth="1"/>
    <col min="32" max="36" width="14.7109375" customWidth="1"/>
    <col min="37" max="37" width="8.7109375" customWidth="1"/>
    <col min="38" max="43" width="14.7109375" customWidth="1"/>
  </cols>
  <sheetData>
    <row r="3" spans="2:42" ht="13.5" thickBot="1" x14ac:dyDescent="0.25"/>
    <row r="4" spans="2:42" x14ac:dyDescent="0.2">
      <c r="B4" s="1" t="str">
        <f>Input!C414</f>
        <v>Loan#1 - Land and Buildings</v>
      </c>
      <c r="C4" s="2"/>
      <c r="D4" s="2"/>
      <c r="E4" s="2"/>
      <c r="F4" s="13"/>
      <c r="G4" s="10"/>
      <c r="H4" s="1" t="str">
        <f>Input!C420</f>
        <v>Loan#2 - Machinery and Equipment</v>
      </c>
      <c r="I4" s="2"/>
      <c r="J4" s="2"/>
      <c r="K4" s="2"/>
      <c r="L4" s="13"/>
      <c r="N4" s="1" t="str">
        <f>Input!C426</f>
        <v>Loan#3 - Sheep Loan Purchase #1 (Year #1)</v>
      </c>
      <c r="O4" s="2"/>
      <c r="P4" s="2"/>
      <c r="Q4" s="2"/>
      <c r="R4" s="13"/>
      <c r="T4" s="1" t="str">
        <f>Input!C432</f>
        <v>Loan#4 - Sheep Loan Purchase #2 (Year #2)</v>
      </c>
      <c r="U4" s="2"/>
      <c r="V4" s="2"/>
      <c r="W4" s="2"/>
      <c r="X4" s="13"/>
      <c r="Z4" s="1" t="str">
        <f>Input!C438</f>
        <v>Loan#5 - Sheep Loan Purchase #3 (Year #3)</v>
      </c>
      <c r="AA4" s="2"/>
      <c r="AB4" s="2"/>
      <c r="AC4" s="2"/>
      <c r="AD4" s="13"/>
      <c r="AF4" s="1" t="str">
        <f>Input!C444</f>
        <v>Loan#6 - Sheep Loan Purchase #4 (Year #4)</v>
      </c>
      <c r="AG4" s="2"/>
      <c r="AH4" s="2"/>
      <c r="AI4" s="2"/>
      <c r="AJ4" s="13"/>
      <c r="AL4" s="1" t="str">
        <f>Input!C450</f>
        <v>Loan#7 - Sheep Loan Purchase #5 (Year #5)</v>
      </c>
      <c r="AM4" s="2"/>
      <c r="AN4" s="2"/>
      <c r="AO4" s="2"/>
      <c r="AP4" s="13"/>
    </row>
    <row r="5" spans="2:42" x14ac:dyDescent="0.2">
      <c r="B5" s="3"/>
      <c r="C5" s="4"/>
      <c r="D5" s="4"/>
      <c r="E5" s="4"/>
      <c r="F5" s="14"/>
      <c r="G5" s="11"/>
      <c r="H5" s="3"/>
      <c r="I5" s="4"/>
      <c r="J5" s="4"/>
      <c r="K5" s="4"/>
      <c r="L5" s="14"/>
      <c r="N5" s="3"/>
      <c r="O5" s="4"/>
      <c r="P5" s="4"/>
      <c r="Q5" s="4"/>
      <c r="R5" s="14"/>
      <c r="T5" s="3"/>
      <c r="U5" s="4"/>
      <c r="V5" s="4"/>
      <c r="W5" s="4"/>
      <c r="X5" s="14"/>
      <c r="Z5" s="3"/>
      <c r="AA5" s="4"/>
      <c r="AB5" s="4"/>
      <c r="AC5" s="4"/>
      <c r="AD5" s="14"/>
      <c r="AF5" s="3"/>
      <c r="AG5" s="4"/>
      <c r="AH5" s="4"/>
      <c r="AI5" s="4"/>
      <c r="AJ5" s="14"/>
      <c r="AL5" s="3"/>
      <c r="AM5" s="4"/>
      <c r="AN5" s="4"/>
      <c r="AO5" s="4"/>
      <c r="AP5" s="14"/>
    </row>
    <row r="6" spans="2:42" x14ac:dyDescent="0.2">
      <c r="B6" s="29"/>
      <c r="C6" s="56" t="s">
        <v>134</v>
      </c>
      <c r="D6" s="26">
        <f>Input!E415</f>
        <v>60000</v>
      </c>
      <c r="E6" s="4">
        <f>IF(D6&gt;0,1,0)</f>
        <v>1</v>
      </c>
      <c r="F6" s="15"/>
      <c r="G6" s="12"/>
      <c r="H6" s="29"/>
      <c r="I6" s="56" t="s">
        <v>134</v>
      </c>
      <c r="J6" s="26">
        <f>Input!E421</f>
        <v>25000</v>
      </c>
      <c r="K6" s="4"/>
      <c r="L6" s="15"/>
      <c r="N6" s="3"/>
      <c r="O6" s="56" t="s">
        <v>134</v>
      </c>
      <c r="P6" s="26">
        <f>Input!E427</f>
        <v>0</v>
      </c>
      <c r="Q6" s="4"/>
      <c r="R6" s="15"/>
      <c r="T6" s="29"/>
      <c r="U6" s="56" t="s">
        <v>134</v>
      </c>
      <c r="V6" s="26">
        <f>Input!E433</f>
        <v>0</v>
      </c>
      <c r="W6" s="4"/>
      <c r="X6" s="15"/>
      <c r="Z6" s="29"/>
      <c r="AA6" s="56" t="s">
        <v>134</v>
      </c>
      <c r="AB6" s="26">
        <f>Input!E439</f>
        <v>0</v>
      </c>
      <c r="AC6" s="4"/>
      <c r="AD6" s="15"/>
      <c r="AF6" s="29"/>
      <c r="AG6" s="56" t="s">
        <v>134</v>
      </c>
      <c r="AH6" s="26">
        <f>Input!E445</f>
        <v>0</v>
      </c>
      <c r="AI6" s="4"/>
      <c r="AJ6" s="15"/>
      <c r="AL6" s="29"/>
      <c r="AM6" s="56" t="s">
        <v>134</v>
      </c>
      <c r="AN6" s="26">
        <f>Input!E451</f>
        <v>0</v>
      </c>
      <c r="AO6" s="4"/>
      <c r="AP6" s="15"/>
    </row>
    <row r="7" spans="2:42" x14ac:dyDescent="0.2">
      <c r="B7" s="29"/>
      <c r="C7" s="4" t="s">
        <v>124</v>
      </c>
      <c r="D7" s="24">
        <f>Input!E416</f>
        <v>0.06</v>
      </c>
      <c r="E7" s="7">
        <f>D7/12</f>
        <v>5.0000000000000001E-3</v>
      </c>
      <c r="F7" s="16"/>
      <c r="G7" s="5"/>
      <c r="H7" s="29"/>
      <c r="I7" s="4" t="s">
        <v>124</v>
      </c>
      <c r="J7" s="24">
        <f>Input!E422</f>
        <v>5.5E-2</v>
      </c>
      <c r="K7" s="4"/>
      <c r="L7" s="16"/>
      <c r="N7" s="29"/>
      <c r="O7" s="4" t="s">
        <v>124</v>
      </c>
      <c r="P7" s="24">
        <f>Input!E428</f>
        <v>0</v>
      </c>
      <c r="Q7" s="4"/>
      <c r="R7" s="16"/>
      <c r="T7" s="29"/>
      <c r="U7" s="4" t="s">
        <v>124</v>
      </c>
      <c r="V7" s="24">
        <f>Input!E434</f>
        <v>0</v>
      </c>
      <c r="W7" s="4"/>
      <c r="X7" s="16"/>
      <c r="Z7" s="29"/>
      <c r="AA7" s="4" t="s">
        <v>124</v>
      </c>
      <c r="AB7" s="24">
        <f>Input!E440</f>
        <v>0</v>
      </c>
      <c r="AC7" s="4"/>
      <c r="AD7" s="16"/>
      <c r="AF7" s="29"/>
      <c r="AG7" s="4" t="s">
        <v>124</v>
      </c>
      <c r="AH7" s="24">
        <f>Input!E446</f>
        <v>0</v>
      </c>
      <c r="AI7" s="4"/>
      <c r="AJ7" s="16"/>
      <c r="AL7" s="29"/>
      <c r="AM7" s="4" t="s">
        <v>124</v>
      </c>
      <c r="AN7" s="24">
        <f>Input!E452</f>
        <v>0</v>
      </c>
      <c r="AO7" s="4"/>
      <c r="AP7" s="16"/>
    </row>
    <row r="8" spans="2:42" x14ac:dyDescent="0.2">
      <c r="B8" s="29"/>
      <c r="C8" s="4" t="s">
        <v>140</v>
      </c>
      <c r="D8" s="25">
        <f>Input!E417</f>
        <v>20</v>
      </c>
      <c r="E8" s="8">
        <f>D8*12</f>
        <v>240</v>
      </c>
      <c r="F8" s="16"/>
      <c r="G8" s="5"/>
      <c r="H8" s="29"/>
      <c r="I8" s="4" t="s">
        <v>140</v>
      </c>
      <c r="J8" s="69">
        <f>Input!E423</f>
        <v>5</v>
      </c>
      <c r="K8" s="4"/>
      <c r="L8" s="16"/>
      <c r="N8" s="29"/>
      <c r="O8" s="4" t="s">
        <v>140</v>
      </c>
      <c r="P8" s="70">
        <f>Input!E429</f>
        <v>0</v>
      </c>
      <c r="Q8" s="4"/>
      <c r="R8" s="16"/>
      <c r="T8" s="29"/>
      <c r="U8" s="4" t="s">
        <v>140</v>
      </c>
      <c r="V8" s="70">
        <f>Input!E435</f>
        <v>0</v>
      </c>
      <c r="W8" s="147" t="s">
        <v>442</v>
      </c>
      <c r="X8" s="71">
        <f>V8+1</f>
        <v>1</v>
      </c>
      <c r="Z8" s="29"/>
      <c r="AA8" s="4" t="s">
        <v>140</v>
      </c>
      <c r="AB8" s="70">
        <f>Input!E441</f>
        <v>0</v>
      </c>
      <c r="AC8" s="147" t="s">
        <v>442</v>
      </c>
      <c r="AD8" s="71">
        <f>AB8+2</f>
        <v>2</v>
      </c>
      <c r="AF8" s="29"/>
      <c r="AG8" s="4" t="s">
        <v>140</v>
      </c>
      <c r="AH8" s="70">
        <f>Input!E447</f>
        <v>0</v>
      </c>
      <c r="AI8" s="4" t="s">
        <v>442</v>
      </c>
      <c r="AJ8" s="71">
        <f>AH8+3</f>
        <v>3</v>
      </c>
      <c r="AL8" s="29"/>
      <c r="AM8" s="4" t="s">
        <v>140</v>
      </c>
      <c r="AN8" s="70">
        <f>Input!E453</f>
        <v>0</v>
      </c>
      <c r="AO8" s="147" t="s">
        <v>442</v>
      </c>
      <c r="AP8" s="71">
        <f>AN8+4</f>
        <v>4</v>
      </c>
    </row>
    <row r="9" spans="2:42" x14ac:dyDescent="0.2">
      <c r="B9" s="29"/>
      <c r="C9" s="4" t="s">
        <v>135</v>
      </c>
      <c r="D9" s="30">
        <f>IF(D6&gt;0,PMT(D7,D8,D6,0,0)*(-1),0)</f>
        <v>5231.0734186110867</v>
      </c>
      <c r="E9" s="132">
        <f>IF(D6&gt;0,-PMT(E7,E8,D6),0)</f>
        <v>429.85863508689886</v>
      </c>
      <c r="F9" s="16"/>
      <c r="G9" s="5"/>
      <c r="H9" s="29"/>
      <c r="I9" s="4" t="s">
        <v>135</v>
      </c>
      <c r="J9" s="30">
        <f>IF(J6&gt;0,PMT(J7,J8,J6,0,0)*(-1),0)</f>
        <v>5854.4109046448257</v>
      </c>
      <c r="K9" s="4"/>
      <c r="L9" s="16"/>
      <c r="N9" s="29"/>
      <c r="O9" s="4" t="s">
        <v>135</v>
      </c>
      <c r="P9" s="30">
        <f>IF(P6&gt;0,PMT(P7,P8,P6,0,0)*(-1),0)</f>
        <v>0</v>
      </c>
      <c r="Q9" s="4"/>
      <c r="R9" s="16"/>
      <c r="T9" s="29"/>
      <c r="U9" s="4" t="s">
        <v>135</v>
      </c>
      <c r="V9" s="30">
        <f>IF(V6&gt;0,PMT(V7,V8,V6,0,0)*(-1),0)</f>
        <v>0</v>
      </c>
      <c r="X9" s="66"/>
      <c r="Z9" s="29"/>
      <c r="AA9" s="4" t="s">
        <v>135</v>
      </c>
      <c r="AB9" s="30">
        <f>IF(AB6&gt;0,PMT(AB7,AB8,AB6,0,0)*(-1),0)</f>
        <v>0</v>
      </c>
      <c r="AD9" s="66"/>
      <c r="AF9" s="29"/>
      <c r="AG9" s="4" t="s">
        <v>135</v>
      </c>
      <c r="AH9" s="30">
        <f>IF(AH6&gt;0,PMT(AH7,AH8,AH6,0,0)*(-1),0)</f>
        <v>0</v>
      </c>
      <c r="AJ9" s="66"/>
      <c r="AL9" s="29"/>
      <c r="AM9" s="4" t="s">
        <v>135</v>
      </c>
      <c r="AN9" s="30">
        <f>IF(AN6&gt;0,PMT(AN7,AN8,AN6,0,0)*(-1),0)</f>
        <v>0</v>
      </c>
      <c r="AP9" s="66"/>
    </row>
    <row r="10" spans="2:42" ht="13.5" thickBot="1" x14ac:dyDescent="0.25">
      <c r="B10" s="159"/>
      <c r="C10" s="160"/>
      <c r="D10" s="160"/>
      <c r="E10" s="9"/>
      <c r="F10" s="17"/>
      <c r="G10" s="5"/>
      <c r="H10" s="159"/>
      <c r="J10" s="23"/>
      <c r="K10" s="9"/>
      <c r="L10" s="17"/>
      <c r="N10" s="159"/>
      <c r="P10" s="23"/>
      <c r="Q10" s="9"/>
      <c r="R10" s="17"/>
      <c r="T10" s="159"/>
      <c r="U10" s="160"/>
      <c r="V10" s="23"/>
      <c r="W10" s="9"/>
      <c r="X10" s="17"/>
      <c r="Z10" s="159"/>
      <c r="AA10" s="160"/>
      <c r="AB10" s="23"/>
      <c r="AC10" s="9"/>
      <c r="AD10" s="17"/>
      <c r="AF10" s="159"/>
      <c r="AG10" s="160"/>
      <c r="AH10" s="23"/>
      <c r="AI10" s="9"/>
      <c r="AJ10" s="17"/>
      <c r="AL10" s="159"/>
      <c r="AM10" s="160"/>
      <c r="AN10" s="23"/>
      <c r="AO10" s="9"/>
      <c r="AP10" s="17"/>
    </row>
    <row r="11" spans="2:42" x14ac:dyDescent="0.2">
      <c r="B11" s="20" t="s">
        <v>441</v>
      </c>
      <c r="C11" s="21" t="s">
        <v>139</v>
      </c>
      <c r="D11" s="21" t="s">
        <v>138</v>
      </c>
      <c r="E11" s="21" t="s">
        <v>136</v>
      </c>
      <c r="F11" s="22" t="s">
        <v>137</v>
      </c>
      <c r="G11" s="5"/>
      <c r="H11" s="20" t="s">
        <v>441</v>
      </c>
      <c r="I11" s="21" t="s">
        <v>139</v>
      </c>
      <c r="J11" s="21" t="s">
        <v>138</v>
      </c>
      <c r="K11" s="21" t="s">
        <v>136</v>
      </c>
      <c r="L11" s="22" t="s">
        <v>137</v>
      </c>
      <c r="N11" s="20" t="s">
        <v>441</v>
      </c>
      <c r="O11" s="21" t="s">
        <v>139</v>
      </c>
      <c r="P11" s="21" t="s">
        <v>138</v>
      </c>
      <c r="Q11" s="21" t="s">
        <v>136</v>
      </c>
      <c r="R11" s="22" t="s">
        <v>137</v>
      </c>
      <c r="T11" s="20" t="s">
        <v>441</v>
      </c>
      <c r="U11" s="21" t="s">
        <v>139</v>
      </c>
      <c r="V11" s="21" t="s">
        <v>138</v>
      </c>
      <c r="W11" s="21" t="s">
        <v>136</v>
      </c>
      <c r="X11" s="22" t="s">
        <v>137</v>
      </c>
      <c r="Z11" s="20" t="s">
        <v>441</v>
      </c>
      <c r="AA11" s="21" t="s">
        <v>139</v>
      </c>
      <c r="AB11" s="21" t="s">
        <v>138</v>
      </c>
      <c r="AC11" s="21" t="s">
        <v>136</v>
      </c>
      <c r="AD11" s="22" t="s">
        <v>137</v>
      </c>
      <c r="AF11" s="20" t="s">
        <v>441</v>
      </c>
      <c r="AG11" s="21" t="s">
        <v>139</v>
      </c>
      <c r="AH11" s="21" t="s">
        <v>138</v>
      </c>
      <c r="AI11" s="21" t="s">
        <v>136</v>
      </c>
      <c r="AJ11" s="22" t="s">
        <v>137</v>
      </c>
      <c r="AL11" s="20" t="s">
        <v>441</v>
      </c>
      <c r="AM11" s="21" t="s">
        <v>139</v>
      </c>
      <c r="AN11" s="21" t="s">
        <v>138</v>
      </c>
      <c r="AO11" s="21" t="s">
        <v>136</v>
      </c>
      <c r="AP11" s="22" t="s">
        <v>137</v>
      </c>
    </row>
    <row r="12" spans="2:42" x14ac:dyDescent="0.2">
      <c r="B12" s="19">
        <v>1</v>
      </c>
      <c r="C12" s="6">
        <f>IF(B12&lt;=$D$8,$D$9,0)</f>
        <v>5231.0734186110867</v>
      </c>
      <c r="D12" s="31">
        <f>IF(D6&gt;0,D6*$D$7,0)</f>
        <v>3600</v>
      </c>
      <c r="E12" s="31">
        <f>C12-D12</f>
        <v>1631.0734186110867</v>
      </c>
      <c r="F12" s="32">
        <f>D6-E12</f>
        <v>58368.926581388914</v>
      </c>
      <c r="G12" s="4"/>
      <c r="H12" s="19">
        <v>1</v>
      </c>
      <c r="I12" s="6">
        <f>IF(H12&lt;=$J$8,$J$9,0)</f>
        <v>5854.4109046448257</v>
      </c>
      <c r="J12" s="31">
        <f>IF(J6&gt;0,J6*$J$7,0)</f>
        <v>1375</v>
      </c>
      <c r="K12" s="31">
        <f>I12-J12</f>
        <v>4479.4109046448257</v>
      </c>
      <c r="L12" s="32">
        <f>J6-K12</f>
        <v>20520.589095355175</v>
      </c>
      <c r="N12" s="19">
        <v>1</v>
      </c>
      <c r="O12" s="469"/>
      <c r="P12" s="469"/>
      <c r="Q12" s="469"/>
      <c r="R12" s="32">
        <f>P6-Q12</f>
        <v>0</v>
      </c>
      <c r="T12" s="19">
        <v>1</v>
      </c>
      <c r="U12" s="6" t="s">
        <v>1</v>
      </c>
      <c r="V12" s="31"/>
      <c r="W12" s="31"/>
      <c r="X12" s="32"/>
      <c r="Z12" s="19">
        <v>1</v>
      </c>
      <c r="AA12" s="6"/>
      <c r="AB12" s="31"/>
      <c r="AC12" s="31"/>
      <c r="AD12" s="32"/>
      <c r="AF12" s="19">
        <v>1</v>
      </c>
      <c r="AG12" s="6"/>
      <c r="AH12" s="31"/>
      <c r="AI12" s="31"/>
      <c r="AJ12" s="32"/>
      <c r="AL12" s="19">
        <v>1</v>
      </c>
      <c r="AM12" s="6"/>
      <c r="AN12" s="31"/>
      <c r="AO12" s="31"/>
      <c r="AP12" s="32"/>
    </row>
    <row r="13" spans="2:42" x14ac:dyDescent="0.2">
      <c r="B13" s="18">
        <f>B12+1</f>
        <v>2</v>
      </c>
      <c r="C13" s="6">
        <f t="shared" ref="C13:C36" si="0">IF(B13&lt;=$D$8,$D$9,0)</f>
        <v>5231.0734186110867</v>
      </c>
      <c r="D13" s="31">
        <f>IF(F12&gt;0,F12*$D$7,0)</f>
        <v>3502.1355948833348</v>
      </c>
      <c r="E13" s="31">
        <f t="shared" ref="E13:E36" si="1">C13-D13</f>
        <v>1728.9378237277519</v>
      </c>
      <c r="F13" s="33">
        <f>F12-E13</f>
        <v>56639.988757661165</v>
      </c>
      <c r="G13" s="4"/>
      <c r="H13" s="18">
        <f t="shared" ref="H13:H36" si="2">H12+1</f>
        <v>2</v>
      </c>
      <c r="I13" s="6">
        <f t="shared" ref="I13:I36" si="3">IF(H13&lt;=$J$8,$J$9,0)</f>
        <v>5854.4109046448257</v>
      </c>
      <c r="J13" s="31">
        <f>IF(L12&gt;0,L12*$J$7,0)</f>
        <v>1128.6324002445347</v>
      </c>
      <c r="K13" s="31">
        <f t="shared" ref="K13:K36" si="4">I13-J13</f>
        <v>4725.7785044002912</v>
      </c>
      <c r="L13" s="33">
        <f t="shared" ref="L13:L36" si="5">L12-K13</f>
        <v>15794.810590954883</v>
      </c>
      <c r="N13" s="19">
        <f t="shared" ref="N13:N36" si="6">N12+1</f>
        <v>2</v>
      </c>
      <c r="O13" s="6">
        <f t="shared" ref="O13:O36" si="7">IF(N12&lt;=$P$8,$P$9,0)</f>
        <v>0</v>
      </c>
      <c r="P13" s="31">
        <f>IF(P6&gt;0,P6*$P$7,0)</f>
        <v>0</v>
      </c>
      <c r="Q13" s="31">
        <f t="shared" ref="Q13:Q36" si="8">O13-P13</f>
        <v>0</v>
      </c>
      <c r="R13" s="32">
        <f>P6-Q13</f>
        <v>0</v>
      </c>
      <c r="T13" s="18">
        <f t="shared" ref="T13:T36" si="9">T12+1</f>
        <v>2</v>
      </c>
      <c r="V13" s="469"/>
      <c r="W13" s="469"/>
      <c r="X13" s="33">
        <f>V6-W13</f>
        <v>0</v>
      </c>
      <c r="Z13" s="18">
        <f t="shared" ref="Z13:Z36" si="10">Z12+1</f>
        <v>2</v>
      </c>
      <c r="AA13" s="6"/>
      <c r="AB13" s="31"/>
      <c r="AC13" s="31"/>
      <c r="AD13" s="33"/>
      <c r="AF13" s="18">
        <f t="shared" ref="AF13:AF36" si="11">AF12+1</f>
        <v>2</v>
      </c>
      <c r="AG13" s="6"/>
      <c r="AH13" s="31"/>
      <c r="AI13" s="31"/>
      <c r="AJ13" s="33"/>
      <c r="AL13" s="18">
        <f t="shared" ref="AL13:AL36" si="12">AL12+1</f>
        <v>2</v>
      </c>
      <c r="AM13" s="6"/>
      <c r="AN13" s="31"/>
      <c r="AO13" s="31"/>
      <c r="AP13" s="33"/>
    </row>
    <row r="14" spans="2:42" x14ac:dyDescent="0.2">
      <c r="B14" s="18">
        <f t="shared" ref="B14:B32" si="13">B13+1</f>
        <v>3</v>
      </c>
      <c r="C14" s="6">
        <f t="shared" si="0"/>
        <v>5231.0734186110867</v>
      </c>
      <c r="D14" s="31">
        <f t="shared" ref="D14:D36" si="14">IF(F13&gt;0,F13*$D$7,0)</f>
        <v>3398.3993254596699</v>
      </c>
      <c r="E14" s="31">
        <f t="shared" si="1"/>
        <v>1832.6740931514169</v>
      </c>
      <c r="F14" s="33">
        <f t="shared" ref="F14:F36" si="15">F13-E14</f>
        <v>54807.314664509751</v>
      </c>
      <c r="G14" s="4"/>
      <c r="H14" s="18">
        <f t="shared" si="2"/>
        <v>3</v>
      </c>
      <c r="I14" s="6">
        <f t="shared" si="3"/>
        <v>5854.4109046448257</v>
      </c>
      <c r="J14" s="31">
        <f t="shared" ref="J14:J36" si="16">IF(L13&gt;0,L13*$J$7,0)</f>
        <v>868.71458250251862</v>
      </c>
      <c r="K14" s="31">
        <f t="shared" si="4"/>
        <v>4985.6963221423066</v>
      </c>
      <c r="L14" s="33">
        <f t="shared" si="5"/>
        <v>10809.114268812576</v>
      </c>
      <c r="N14" s="19">
        <f t="shared" si="6"/>
        <v>3</v>
      </c>
      <c r="O14" s="6">
        <f t="shared" si="7"/>
        <v>0</v>
      </c>
      <c r="P14" s="31">
        <f t="shared" ref="P14:P36" si="17">IF(R13&gt;0,R13*$P$7,0)</f>
        <v>0</v>
      </c>
      <c r="Q14" s="31">
        <f t="shared" si="8"/>
        <v>0</v>
      </c>
      <c r="R14" s="32">
        <f t="shared" ref="R14:R36" si="18">R13-Q14</f>
        <v>0</v>
      </c>
      <c r="T14" s="18">
        <f t="shared" si="9"/>
        <v>3</v>
      </c>
      <c r="U14" s="6">
        <f t="shared" ref="U14:U36" si="19">IF(T13&lt;=$X$8,$V$9,0)</f>
        <v>0</v>
      </c>
      <c r="V14" s="31">
        <f>IF(V6&gt;0,V6*$V$7,0)</f>
        <v>0</v>
      </c>
      <c r="W14" s="31">
        <f t="shared" ref="W14:W36" si="20">U14-V14</f>
        <v>0</v>
      </c>
      <c r="X14" s="33">
        <f>V6-W14</f>
        <v>0</v>
      </c>
      <c r="Z14" s="18">
        <f t="shared" si="10"/>
        <v>3</v>
      </c>
      <c r="AB14" s="469"/>
      <c r="AC14" s="469"/>
      <c r="AD14" s="33">
        <f>AB6-AC14</f>
        <v>0</v>
      </c>
      <c r="AF14" s="18">
        <f t="shared" si="11"/>
        <v>3</v>
      </c>
      <c r="AG14" s="6"/>
      <c r="AH14" s="31"/>
      <c r="AI14" s="31"/>
      <c r="AJ14" s="33"/>
      <c r="AL14" s="18">
        <f t="shared" si="12"/>
        <v>3</v>
      </c>
      <c r="AM14" s="6"/>
      <c r="AN14" s="31"/>
      <c r="AO14" s="31"/>
      <c r="AP14" s="33"/>
    </row>
    <row r="15" spans="2:42" x14ac:dyDescent="0.2">
      <c r="B15" s="18">
        <f t="shared" si="13"/>
        <v>4</v>
      </c>
      <c r="C15" s="6">
        <f t="shared" si="0"/>
        <v>5231.0734186110867</v>
      </c>
      <c r="D15" s="31">
        <f t="shared" si="14"/>
        <v>3288.438879870585</v>
      </c>
      <c r="E15" s="31">
        <f t="shared" si="1"/>
        <v>1942.6345387405017</v>
      </c>
      <c r="F15" s="33">
        <f t="shared" si="15"/>
        <v>52864.68012576925</v>
      </c>
      <c r="G15" s="4"/>
      <c r="H15" s="18">
        <f t="shared" si="2"/>
        <v>4</v>
      </c>
      <c r="I15" s="6">
        <f t="shared" si="3"/>
        <v>5854.4109046448257</v>
      </c>
      <c r="J15" s="31">
        <f t="shared" si="16"/>
        <v>594.50128478469173</v>
      </c>
      <c r="K15" s="31">
        <f t="shared" si="4"/>
        <v>5259.9096198601337</v>
      </c>
      <c r="L15" s="33">
        <f t="shared" si="5"/>
        <v>5549.2046489524428</v>
      </c>
      <c r="N15" s="19">
        <f t="shared" si="6"/>
        <v>4</v>
      </c>
      <c r="O15" s="6">
        <f t="shared" si="7"/>
        <v>0</v>
      </c>
      <c r="P15" s="31">
        <f t="shared" si="17"/>
        <v>0</v>
      </c>
      <c r="Q15" s="31">
        <f t="shared" si="8"/>
        <v>0</v>
      </c>
      <c r="R15" s="32">
        <f t="shared" si="18"/>
        <v>0</v>
      </c>
      <c r="T15" s="18">
        <f t="shared" si="9"/>
        <v>4</v>
      </c>
      <c r="U15" s="6">
        <f t="shared" si="19"/>
        <v>0</v>
      </c>
      <c r="V15" s="31">
        <f>IF(X14&gt;0,X14*$V$7,0)</f>
        <v>0</v>
      </c>
      <c r="W15" s="31">
        <f t="shared" si="20"/>
        <v>0</v>
      </c>
      <c r="X15" s="33">
        <f t="shared" ref="X15:X36" si="21">X14-W15</f>
        <v>0</v>
      </c>
      <c r="Z15" s="18">
        <f t="shared" si="10"/>
        <v>4</v>
      </c>
      <c r="AA15" s="470">
        <f t="shared" ref="AA15:AA36" si="22">IF(Z14&lt;=$AD$8,$AB$9,0)</f>
        <v>0</v>
      </c>
      <c r="AB15" s="31">
        <f>IF(AB6&gt;0,AB6*$AB$7,0)</f>
        <v>0</v>
      </c>
      <c r="AC15" s="31">
        <f t="shared" ref="AC15:AC36" si="23">AA15-AB15</f>
        <v>0</v>
      </c>
      <c r="AD15" s="33">
        <f>AB6-AC15</f>
        <v>0</v>
      </c>
      <c r="AF15" s="18">
        <f t="shared" si="11"/>
        <v>4</v>
      </c>
      <c r="AH15" s="469"/>
      <c r="AI15" s="469"/>
      <c r="AJ15" s="33">
        <f>AH6-AI15</f>
        <v>0</v>
      </c>
      <c r="AL15" s="18">
        <f t="shared" si="12"/>
        <v>4</v>
      </c>
      <c r="AM15" s="6"/>
      <c r="AN15" s="31"/>
      <c r="AO15" s="31"/>
      <c r="AP15" s="33"/>
    </row>
    <row r="16" spans="2:42" x14ac:dyDescent="0.2">
      <c r="B16" s="18">
        <f t="shared" si="13"/>
        <v>5</v>
      </c>
      <c r="C16" s="6">
        <f t="shared" si="0"/>
        <v>5231.0734186110867</v>
      </c>
      <c r="D16" s="31">
        <f t="shared" si="14"/>
        <v>3171.8808075461548</v>
      </c>
      <c r="E16" s="31">
        <f t="shared" si="1"/>
        <v>2059.192611064932</v>
      </c>
      <c r="F16" s="33">
        <f t="shared" si="15"/>
        <v>50805.48751470432</v>
      </c>
      <c r="G16" s="4"/>
      <c r="H16" s="18">
        <f t="shared" si="2"/>
        <v>5</v>
      </c>
      <c r="I16" s="6">
        <f t="shared" si="3"/>
        <v>5854.4109046448257</v>
      </c>
      <c r="J16" s="31">
        <f t="shared" si="16"/>
        <v>305.20625569238433</v>
      </c>
      <c r="K16" s="31">
        <f t="shared" si="4"/>
        <v>5549.2046489524409</v>
      </c>
      <c r="L16" s="33">
        <f t="shared" si="5"/>
        <v>0</v>
      </c>
      <c r="N16" s="18">
        <f t="shared" si="6"/>
        <v>5</v>
      </c>
      <c r="O16" s="6">
        <f t="shared" si="7"/>
        <v>0</v>
      </c>
      <c r="P16" s="31">
        <f t="shared" si="17"/>
        <v>0</v>
      </c>
      <c r="Q16" s="31">
        <f t="shared" si="8"/>
        <v>0</v>
      </c>
      <c r="R16" s="33">
        <f t="shared" si="18"/>
        <v>0</v>
      </c>
      <c r="T16" s="18">
        <f t="shared" si="9"/>
        <v>5</v>
      </c>
      <c r="U16" s="6">
        <f t="shared" si="19"/>
        <v>0</v>
      </c>
      <c r="V16" s="31">
        <f t="shared" ref="V16:V36" si="24">IF(X15&gt;0,X15*$V$7,0)</f>
        <v>0</v>
      </c>
      <c r="W16" s="31">
        <f t="shared" si="20"/>
        <v>0</v>
      </c>
      <c r="X16" s="33">
        <f t="shared" si="21"/>
        <v>0</v>
      </c>
      <c r="Z16" s="18">
        <f t="shared" si="10"/>
        <v>5</v>
      </c>
      <c r="AA16" s="470">
        <f t="shared" si="22"/>
        <v>0</v>
      </c>
      <c r="AB16" s="31">
        <f t="shared" ref="AB16:AB36" si="25">IF(AD15&gt;0,AD15*$AB$7,0)</f>
        <v>0</v>
      </c>
      <c r="AC16" s="31">
        <f t="shared" si="23"/>
        <v>0</v>
      </c>
      <c r="AD16" s="33">
        <f t="shared" ref="AD16:AD36" si="26">AD15-AC16</f>
        <v>0</v>
      </c>
      <c r="AF16" s="18">
        <f t="shared" si="11"/>
        <v>5</v>
      </c>
      <c r="AG16" s="470">
        <f t="shared" ref="AG16:AG36" si="27">IF(AF15&lt;=$AJ$8,$AH$9,0)</f>
        <v>0</v>
      </c>
      <c r="AH16" s="31">
        <f>IF(AH6&gt;0,AH6*$AH$7,0)</f>
        <v>0</v>
      </c>
      <c r="AI16" s="31">
        <f t="shared" ref="AI16:AI36" si="28">AG16-AH16</f>
        <v>0</v>
      </c>
      <c r="AJ16" s="33">
        <f>AH6-AI16</f>
        <v>0</v>
      </c>
      <c r="AL16" s="18">
        <f t="shared" si="12"/>
        <v>5</v>
      </c>
      <c r="AN16" s="469"/>
      <c r="AO16" s="469"/>
      <c r="AP16" s="33">
        <f>AN6-AO16</f>
        <v>0</v>
      </c>
    </row>
    <row r="17" spans="2:42" x14ac:dyDescent="0.2">
      <c r="B17" s="18">
        <f t="shared" si="13"/>
        <v>6</v>
      </c>
      <c r="C17" s="6">
        <f t="shared" si="0"/>
        <v>5231.0734186110867</v>
      </c>
      <c r="D17" s="31">
        <f t="shared" si="14"/>
        <v>3048.3292508822592</v>
      </c>
      <c r="E17" s="31">
        <f t="shared" si="1"/>
        <v>2182.7441677288275</v>
      </c>
      <c r="F17" s="33">
        <f t="shared" si="15"/>
        <v>48622.743346975491</v>
      </c>
      <c r="G17" s="4"/>
      <c r="H17" s="18">
        <f t="shared" si="2"/>
        <v>6</v>
      </c>
      <c r="I17" s="6">
        <f t="shared" si="3"/>
        <v>0</v>
      </c>
      <c r="J17" s="31">
        <f t="shared" si="16"/>
        <v>0</v>
      </c>
      <c r="K17" s="31">
        <f t="shared" si="4"/>
        <v>0</v>
      </c>
      <c r="L17" s="33">
        <f t="shared" si="5"/>
        <v>0</v>
      </c>
      <c r="N17" s="18">
        <f t="shared" si="6"/>
        <v>6</v>
      </c>
      <c r="O17" s="6">
        <f t="shared" si="7"/>
        <v>0</v>
      </c>
      <c r="P17" s="31">
        <f t="shared" si="17"/>
        <v>0</v>
      </c>
      <c r="Q17" s="31">
        <f t="shared" si="8"/>
        <v>0</v>
      </c>
      <c r="R17" s="33">
        <f t="shared" si="18"/>
        <v>0</v>
      </c>
      <c r="T17" s="18">
        <f t="shared" si="9"/>
        <v>6</v>
      </c>
      <c r="U17" s="6">
        <f t="shared" si="19"/>
        <v>0</v>
      </c>
      <c r="V17" s="31">
        <f t="shared" si="24"/>
        <v>0</v>
      </c>
      <c r="W17" s="31">
        <f t="shared" si="20"/>
        <v>0</v>
      </c>
      <c r="X17" s="33">
        <f t="shared" si="21"/>
        <v>0</v>
      </c>
      <c r="Z17" s="18">
        <f t="shared" si="10"/>
        <v>6</v>
      </c>
      <c r="AA17" s="470">
        <f t="shared" si="22"/>
        <v>0</v>
      </c>
      <c r="AB17" s="31">
        <f t="shared" si="25"/>
        <v>0</v>
      </c>
      <c r="AC17" s="31">
        <f t="shared" si="23"/>
        <v>0</v>
      </c>
      <c r="AD17" s="33">
        <f t="shared" si="26"/>
        <v>0</v>
      </c>
      <c r="AF17" s="18">
        <f t="shared" si="11"/>
        <v>6</v>
      </c>
      <c r="AG17" s="470">
        <f t="shared" si="27"/>
        <v>0</v>
      </c>
      <c r="AH17" s="31">
        <f t="shared" ref="AH17:AH36" si="29">IF(AJ16&gt;0,AJ16*$AH$7,0)</f>
        <v>0</v>
      </c>
      <c r="AI17" s="31">
        <f t="shared" si="28"/>
        <v>0</v>
      </c>
      <c r="AJ17" s="33">
        <f t="shared" ref="AJ17:AJ36" si="30">AJ16-AI17</f>
        <v>0</v>
      </c>
      <c r="AL17" s="18">
        <f t="shared" si="12"/>
        <v>6</v>
      </c>
      <c r="AM17" s="6">
        <f t="shared" ref="AM17:AM36" si="31">IF(AL16&lt;=$AP$8,$AN$9,0)</f>
        <v>0</v>
      </c>
      <c r="AN17" s="31">
        <f>IF(AN6&gt;0,AN6*$AN$7,0)</f>
        <v>0</v>
      </c>
      <c r="AO17" s="31">
        <f t="shared" ref="AO17:AO36" si="32">AM17-AN17</f>
        <v>0</v>
      </c>
      <c r="AP17" s="33">
        <f>AN6-AO17</f>
        <v>0</v>
      </c>
    </row>
    <row r="18" spans="2:42" x14ac:dyDescent="0.2">
      <c r="B18" s="18">
        <f t="shared" si="13"/>
        <v>7</v>
      </c>
      <c r="C18" s="6">
        <f t="shared" si="0"/>
        <v>5231.0734186110867</v>
      </c>
      <c r="D18" s="31">
        <f t="shared" si="14"/>
        <v>2917.3646008185292</v>
      </c>
      <c r="E18" s="31">
        <f t="shared" si="1"/>
        <v>2313.7088177925575</v>
      </c>
      <c r="F18" s="33">
        <f t="shared" si="15"/>
        <v>46309.034529182936</v>
      </c>
      <c r="G18" s="4"/>
      <c r="H18" s="18">
        <f t="shared" si="2"/>
        <v>7</v>
      </c>
      <c r="I18" s="6">
        <f t="shared" si="3"/>
        <v>0</v>
      </c>
      <c r="J18" s="31">
        <f t="shared" si="16"/>
        <v>0</v>
      </c>
      <c r="K18" s="31">
        <f t="shared" si="4"/>
        <v>0</v>
      </c>
      <c r="L18" s="33">
        <f t="shared" si="5"/>
        <v>0</v>
      </c>
      <c r="N18" s="18">
        <f t="shared" si="6"/>
        <v>7</v>
      </c>
      <c r="O18" s="6">
        <f t="shared" si="7"/>
        <v>0</v>
      </c>
      <c r="P18" s="31">
        <f t="shared" si="17"/>
        <v>0</v>
      </c>
      <c r="Q18" s="31">
        <f t="shared" si="8"/>
        <v>0</v>
      </c>
      <c r="R18" s="33">
        <f t="shared" si="18"/>
        <v>0</v>
      </c>
      <c r="T18" s="18">
        <f t="shared" si="9"/>
        <v>7</v>
      </c>
      <c r="U18" s="6">
        <f t="shared" si="19"/>
        <v>0</v>
      </c>
      <c r="V18" s="31">
        <f t="shared" si="24"/>
        <v>0</v>
      </c>
      <c r="W18" s="31">
        <f t="shared" si="20"/>
        <v>0</v>
      </c>
      <c r="X18" s="33">
        <f t="shared" si="21"/>
        <v>0</v>
      </c>
      <c r="Z18" s="18">
        <f t="shared" si="10"/>
        <v>7</v>
      </c>
      <c r="AA18" s="470">
        <f t="shared" si="22"/>
        <v>0</v>
      </c>
      <c r="AB18" s="31">
        <f t="shared" si="25"/>
        <v>0</v>
      </c>
      <c r="AC18" s="31">
        <f t="shared" si="23"/>
        <v>0</v>
      </c>
      <c r="AD18" s="33">
        <f t="shared" si="26"/>
        <v>0</v>
      </c>
      <c r="AF18" s="18">
        <f t="shared" si="11"/>
        <v>7</v>
      </c>
      <c r="AG18" s="470">
        <f t="shared" si="27"/>
        <v>0</v>
      </c>
      <c r="AH18" s="31">
        <f t="shared" si="29"/>
        <v>0</v>
      </c>
      <c r="AI18" s="31">
        <f t="shared" si="28"/>
        <v>0</v>
      </c>
      <c r="AJ18" s="33">
        <f t="shared" si="30"/>
        <v>0</v>
      </c>
      <c r="AL18" s="18">
        <f t="shared" si="12"/>
        <v>7</v>
      </c>
      <c r="AM18" s="6">
        <f t="shared" si="31"/>
        <v>0</v>
      </c>
      <c r="AN18" s="31">
        <f>IF(AP17&gt;0,AP17*$AN$7,0)</f>
        <v>0</v>
      </c>
      <c r="AO18" s="31">
        <f t="shared" si="32"/>
        <v>0</v>
      </c>
      <c r="AP18" s="33">
        <f t="shared" ref="AP18:AP36" si="33">AP17-AO18</f>
        <v>0</v>
      </c>
    </row>
    <row r="19" spans="2:42" x14ac:dyDescent="0.2">
      <c r="B19" s="18">
        <f t="shared" si="13"/>
        <v>8</v>
      </c>
      <c r="C19" s="6">
        <f t="shared" si="0"/>
        <v>5231.0734186110867</v>
      </c>
      <c r="D19" s="31">
        <f t="shared" si="14"/>
        <v>2778.542071750976</v>
      </c>
      <c r="E19" s="31">
        <f t="shared" si="1"/>
        <v>2452.5313468601107</v>
      </c>
      <c r="F19" s="33">
        <f t="shared" si="15"/>
        <v>43856.503182322827</v>
      </c>
      <c r="G19" s="4"/>
      <c r="H19" s="18">
        <f t="shared" si="2"/>
        <v>8</v>
      </c>
      <c r="I19" s="6">
        <f t="shared" si="3"/>
        <v>0</v>
      </c>
      <c r="J19" s="31">
        <f t="shared" si="16"/>
        <v>0</v>
      </c>
      <c r="K19" s="31">
        <f t="shared" si="4"/>
        <v>0</v>
      </c>
      <c r="L19" s="33">
        <f t="shared" si="5"/>
        <v>0</v>
      </c>
      <c r="N19" s="18">
        <f t="shared" si="6"/>
        <v>8</v>
      </c>
      <c r="O19" s="6">
        <f t="shared" si="7"/>
        <v>0</v>
      </c>
      <c r="P19" s="31">
        <f t="shared" si="17"/>
        <v>0</v>
      </c>
      <c r="Q19" s="31">
        <f t="shared" si="8"/>
        <v>0</v>
      </c>
      <c r="R19" s="33">
        <f t="shared" si="18"/>
        <v>0</v>
      </c>
      <c r="T19" s="18">
        <f t="shared" si="9"/>
        <v>8</v>
      </c>
      <c r="U19" s="6">
        <f t="shared" si="19"/>
        <v>0</v>
      </c>
      <c r="V19" s="31">
        <f t="shared" si="24"/>
        <v>0</v>
      </c>
      <c r="W19" s="31">
        <f t="shared" si="20"/>
        <v>0</v>
      </c>
      <c r="X19" s="33">
        <f t="shared" si="21"/>
        <v>0</v>
      </c>
      <c r="Z19" s="18">
        <f t="shared" si="10"/>
        <v>8</v>
      </c>
      <c r="AA19" s="6">
        <f t="shared" si="22"/>
        <v>0</v>
      </c>
      <c r="AB19" s="31">
        <f t="shared" si="25"/>
        <v>0</v>
      </c>
      <c r="AC19" s="31">
        <f t="shared" si="23"/>
        <v>0</v>
      </c>
      <c r="AD19" s="33">
        <f t="shared" si="26"/>
        <v>0</v>
      </c>
      <c r="AF19" s="18">
        <f t="shared" si="11"/>
        <v>8</v>
      </c>
      <c r="AG19" s="470">
        <f t="shared" si="27"/>
        <v>0</v>
      </c>
      <c r="AH19" s="31">
        <f t="shared" si="29"/>
        <v>0</v>
      </c>
      <c r="AI19" s="31">
        <f t="shared" si="28"/>
        <v>0</v>
      </c>
      <c r="AJ19" s="33">
        <f t="shared" si="30"/>
        <v>0</v>
      </c>
      <c r="AL19" s="18">
        <f t="shared" si="12"/>
        <v>8</v>
      </c>
      <c r="AM19" s="6">
        <f t="shared" si="31"/>
        <v>0</v>
      </c>
      <c r="AN19" s="31">
        <f t="shared" ref="AN19:AN36" si="34">IF(AP18&gt;0,AP18*$AN$7,0)</f>
        <v>0</v>
      </c>
      <c r="AO19" s="31">
        <f t="shared" si="32"/>
        <v>0</v>
      </c>
      <c r="AP19" s="33">
        <f t="shared" si="33"/>
        <v>0</v>
      </c>
    </row>
    <row r="20" spans="2:42" x14ac:dyDescent="0.2">
      <c r="B20" s="18">
        <f t="shared" si="13"/>
        <v>9</v>
      </c>
      <c r="C20" s="6">
        <f t="shared" si="0"/>
        <v>5231.0734186110867</v>
      </c>
      <c r="D20" s="31">
        <f t="shared" si="14"/>
        <v>2631.3901909393694</v>
      </c>
      <c r="E20" s="31">
        <f t="shared" si="1"/>
        <v>2599.6832276717173</v>
      </c>
      <c r="F20" s="33">
        <f t="shared" si="15"/>
        <v>41256.81995465111</v>
      </c>
      <c r="G20" s="4"/>
      <c r="H20" s="18">
        <f t="shared" si="2"/>
        <v>9</v>
      </c>
      <c r="I20" s="6">
        <f t="shared" si="3"/>
        <v>0</v>
      </c>
      <c r="J20" s="31">
        <f t="shared" si="16"/>
        <v>0</v>
      </c>
      <c r="K20" s="31">
        <f t="shared" si="4"/>
        <v>0</v>
      </c>
      <c r="L20" s="33">
        <f t="shared" si="5"/>
        <v>0</v>
      </c>
      <c r="N20" s="18">
        <f t="shared" si="6"/>
        <v>9</v>
      </c>
      <c r="O20" s="6">
        <f t="shared" si="7"/>
        <v>0</v>
      </c>
      <c r="P20" s="31">
        <f t="shared" si="17"/>
        <v>0</v>
      </c>
      <c r="Q20" s="31">
        <f t="shared" si="8"/>
        <v>0</v>
      </c>
      <c r="R20" s="33">
        <f t="shared" si="18"/>
        <v>0</v>
      </c>
      <c r="T20" s="18">
        <f t="shared" si="9"/>
        <v>9</v>
      </c>
      <c r="U20" s="6">
        <f t="shared" si="19"/>
        <v>0</v>
      </c>
      <c r="V20" s="31">
        <f t="shared" si="24"/>
        <v>0</v>
      </c>
      <c r="W20" s="31">
        <f t="shared" si="20"/>
        <v>0</v>
      </c>
      <c r="X20" s="33">
        <f t="shared" si="21"/>
        <v>0</v>
      </c>
      <c r="Z20" s="18">
        <f t="shared" si="10"/>
        <v>9</v>
      </c>
      <c r="AA20" s="6">
        <f t="shared" si="22"/>
        <v>0</v>
      </c>
      <c r="AB20" s="31">
        <f t="shared" si="25"/>
        <v>0</v>
      </c>
      <c r="AC20" s="31">
        <f t="shared" si="23"/>
        <v>0</v>
      </c>
      <c r="AD20" s="33">
        <f t="shared" si="26"/>
        <v>0</v>
      </c>
      <c r="AF20" s="18">
        <f t="shared" si="11"/>
        <v>9</v>
      </c>
      <c r="AG20" s="6">
        <f t="shared" si="27"/>
        <v>0</v>
      </c>
      <c r="AH20" s="31">
        <f t="shared" si="29"/>
        <v>0</v>
      </c>
      <c r="AI20" s="31">
        <f t="shared" si="28"/>
        <v>0</v>
      </c>
      <c r="AJ20" s="33">
        <f t="shared" si="30"/>
        <v>0</v>
      </c>
      <c r="AL20" s="18">
        <f t="shared" si="12"/>
        <v>9</v>
      </c>
      <c r="AM20" s="6">
        <f t="shared" si="31"/>
        <v>0</v>
      </c>
      <c r="AN20" s="31">
        <f t="shared" si="34"/>
        <v>0</v>
      </c>
      <c r="AO20" s="31">
        <f t="shared" si="32"/>
        <v>0</v>
      </c>
      <c r="AP20" s="33">
        <f t="shared" si="33"/>
        <v>0</v>
      </c>
    </row>
    <row r="21" spans="2:42" x14ac:dyDescent="0.2">
      <c r="B21" s="18">
        <f t="shared" si="13"/>
        <v>10</v>
      </c>
      <c r="C21" s="6">
        <f t="shared" si="0"/>
        <v>5231.0734186110867</v>
      </c>
      <c r="D21" s="31">
        <f t="shared" si="14"/>
        <v>2475.4091972790666</v>
      </c>
      <c r="E21" s="31">
        <f t="shared" si="1"/>
        <v>2755.6642213320201</v>
      </c>
      <c r="F21" s="33">
        <f t="shared" si="15"/>
        <v>38501.155733319087</v>
      </c>
      <c r="G21" s="4"/>
      <c r="H21" s="18">
        <f t="shared" si="2"/>
        <v>10</v>
      </c>
      <c r="I21" s="6">
        <f t="shared" si="3"/>
        <v>0</v>
      </c>
      <c r="J21" s="31">
        <f t="shared" si="16"/>
        <v>0</v>
      </c>
      <c r="K21" s="31">
        <f t="shared" si="4"/>
        <v>0</v>
      </c>
      <c r="L21" s="33">
        <f t="shared" si="5"/>
        <v>0</v>
      </c>
      <c r="N21" s="18">
        <f t="shared" si="6"/>
        <v>10</v>
      </c>
      <c r="O21" s="6">
        <f t="shared" si="7"/>
        <v>0</v>
      </c>
      <c r="P21" s="31">
        <f t="shared" si="17"/>
        <v>0</v>
      </c>
      <c r="Q21" s="31">
        <f t="shared" si="8"/>
        <v>0</v>
      </c>
      <c r="R21" s="33">
        <f t="shared" si="18"/>
        <v>0</v>
      </c>
      <c r="T21" s="18">
        <f t="shared" si="9"/>
        <v>10</v>
      </c>
      <c r="U21" s="6">
        <f t="shared" si="19"/>
        <v>0</v>
      </c>
      <c r="V21" s="31">
        <f t="shared" si="24"/>
        <v>0</v>
      </c>
      <c r="W21" s="31">
        <f t="shared" si="20"/>
        <v>0</v>
      </c>
      <c r="X21" s="33">
        <f t="shared" si="21"/>
        <v>0</v>
      </c>
      <c r="Z21" s="18">
        <f t="shared" si="10"/>
        <v>10</v>
      </c>
      <c r="AA21" s="6">
        <f t="shared" si="22"/>
        <v>0</v>
      </c>
      <c r="AB21" s="31">
        <f t="shared" si="25"/>
        <v>0</v>
      </c>
      <c r="AC21" s="31">
        <f t="shared" si="23"/>
        <v>0</v>
      </c>
      <c r="AD21" s="33">
        <f t="shared" si="26"/>
        <v>0</v>
      </c>
      <c r="AF21" s="18">
        <f t="shared" si="11"/>
        <v>10</v>
      </c>
      <c r="AG21" s="6">
        <f t="shared" si="27"/>
        <v>0</v>
      </c>
      <c r="AH21" s="31">
        <f t="shared" si="29"/>
        <v>0</v>
      </c>
      <c r="AI21" s="31">
        <f t="shared" si="28"/>
        <v>0</v>
      </c>
      <c r="AJ21" s="33">
        <f t="shared" si="30"/>
        <v>0</v>
      </c>
      <c r="AL21" s="18">
        <f t="shared" si="12"/>
        <v>10</v>
      </c>
      <c r="AM21" s="6">
        <f t="shared" si="31"/>
        <v>0</v>
      </c>
      <c r="AN21" s="31">
        <f t="shared" si="34"/>
        <v>0</v>
      </c>
      <c r="AO21" s="31">
        <f t="shared" si="32"/>
        <v>0</v>
      </c>
      <c r="AP21" s="33">
        <f t="shared" si="33"/>
        <v>0</v>
      </c>
    </row>
    <row r="22" spans="2:42" x14ac:dyDescent="0.2">
      <c r="B22" s="18">
        <f t="shared" si="13"/>
        <v>11</v>
      </c>
      <c r="C22" s="6">
        <f t="shared" si="0"/>
        <v>5231.0734186110867</v>
      </c>
      <c r="D22" s="31">
        <f t="shared" si="14"/>
        <v>2310.0693439991451</v>
      </c>
      <c r="E22" s="31">
        <f t="shared" si="1"/>
        <v>2921.0040746119416</v>
      </c>
      <c r="F22" s="33">
        <f t="shared" si="15"/>
        <v>35580.151658707146</v>
      </c>
      <c r="H22" s="18">
        <f t="shared" si="2"/>
        <v>11</v>
      </c>
      <c r="I22" s="6">
        <f t="shared" si="3"/>
        <v>0</v>
      </c>
      <c r="J22" s="31">
        <f t="shared" si="16"/>
        <v>0</v>
      </c>
      <c r="K22" s="31">
        <f t="shared" si="4"/>
        <v>0</v>
      </c>
      <c r="L22" s="33">
        <f t="shared" si="5"/>
        <v>0</v>
      </c>
      <c r="N22" s="18">
        <f t="shared" si="6"/>
        <v>11</v>
      </c>
      <c r="O22" s="6">
        <f t="shared" si="7"/>
        <v>0</v>
      </c>
      <c r="P22" s="31">
        <f t="shared" si="17"/>
        <v>0</v>
      </c>
      <c r="Q22" s="31">
        <f t="shared" si="8"/>
        <v>0</v>
      </c>
      <c r="R22" s="33">
        <f t="shared" si="18"/>
        <v>0</v>
      </c>
      <c r="T22" s="18">
        <f t="shared" si="9"/>
        <v>11</v>
      </c>
      <c r="U22" s="6">
        <f t="shared" si="19"/>
        <v>0</v>
      </c>
      <c r="V22" s="31">
        <f t="shared" si="24"/>
        <v>0</v>
      </c>
      <c r="W22" s="31">
        <f t="shared" si="20"/>
        <v>0</v>
      </c>
      <c r="X22" s="33">
        <f t="shared" si="21"/>
        <v>0</v>
      </c>
      <c r="Z22" s="18">
        <f t="shared" si="10"/>
        <v>11</v>
      </c>
      <c r="AA22" s="6">
        <f t="shared" si="22"/>
        <v>0</v>
      </c>
      <c r="AB22" s="31">
        <f t="shared" si="25"/>
        <v>0</v>
      </c>
      <c r="AC22" s="31">
        <f t="shared" si="23"/>
        <v>0</v>
      </c>
      <c r="AD22" s="33">
        <f t="shared" si="26"/>
        <v>0</v>
      </c>
      <c r="AF22" s="18">
        <f t="shared" si="11"/>
        <v>11</v>
      </c>
      <c r="AG22" s="6">
        <f t="shared" si="27"/>
        <v>0</v>
      </c>
      <c r="AH22" s="31">
        <f t="shared" si="29"/>
        <v>0</v>
      </c>
      <c r="AI22" s="31">
        <f t="shared" si="28"/>
        <v>0</v>
      </c>
      <c r="AJ22" s="33">
        <f t="shared" si="30"/>
        <v>0</v>
      </c>
      <c r="AL22" s="18">
        <f t="shared" si="12"/>
        <v>11</v>
      </c>
      <c r="AM22" s="6">
        <f t="shared" si="31"/>
        <v>0</v>
      </c>
      <c r="AN22" s="31">
        <f t="shared" si="34"/>
        <v>0</v>
      </c>
      <c r="AO22" s="31">
        <f t="shared" si="32"/>
        <v>0</v>
      </c>
      <c r="AP22" s="33">
        <f t="shared" si="33"/>
        <v>0</v>
      </c>
    </row>
    <row r="23" spans="2:42" x14ac:dyDescent="0.2">
      <c r="B23" s="18">
        <f t="shared" si="13"/>
        <v>12</v>
      </c>
      <c r="C23" s="6">
        <f t="shared" si="0"/>
        <v>5231.0734186110867</v>
      </c>
      <c r="D23" s="31">
        <f t="shared" si="14"/>
        <v>2134.8090995224288</v>
      </c>
      <c r="E23" s="31">
        <f t="shared" si="1"/>
        <v>3096.2643190886579</v>
      </c>
      <c r="F23" s="33">
        <f t="shared" si="15"/>
        <v>32483.887339618486</v>
      </c>
      <c r="H23" s="18">
        <f t="shared" si="2"/>
        <v>12</v>
      </c>
      <c r="I23" s="6">
        <f t="shared" si="3"/>
        <v>0</v>
      </c>
      <c r="J23" s="31">
        <f t="shared" si="16"/>
        <v>0</v>
      </c>
      <c r="K23" s="31">
        <f t="shared" si="4"/>
        <v>0</v>
      </c>
      <c r="L23" s="33">
        <f t="shared" si="5"/>
        <v>0</v>
      </c>
      <c r="N23" s="18">
        <f t="shared" si="6"/>
        <v>12</v>
      </c>
      <c r="O23" s="6">
        <f t="shared" si="7"/>
        <v>0</v>
      </c>
      <c r="P23" s="31">
        <f t="shared" si="17"/>
        <v>0</v>
      </c>
      <c r="Q23" s="31">
        <f t="shared" si="8"/>
        <v>0</v>
      </c>
      <c r="R23" s="33">
        <f t="shared" si="18"/>
        <v>0</v>
      </c>
      <c r="T23" s="18">
        <f t="shared" si="9"/>
        <v>12</v>
      </c>
      <c r="U23" s="6">
        <f t="shared" si="19"/>
        <v>0</v>
      </c>
      <c r="V23" s="31">
        <f t="shared" si="24"/>
        <v>0</v>
      </c>
      <c r="W23" s="31">
        <f t="shared" si="20"/>
        <v>0</v>
      </c>
      <c r="X23" s="33">
        <f t="shared" si="21"/>
        <v>0</v>
      </c>
      <c r="Z23" s="18">
        <f t="shared" si="10"/>
        <v>12</v>
      </c>
      <c r="AA23" s="6">
        <f t="shared" si="22"/>
        <v>0</v>
      </c>
      <c r="AB23" s="31">
        <f t="shared" si="25"/>
        <v>0</v>
      </c>
      <c r="AC23" s="31">
        <f t="shared" si="23"/>
        <v>0</v>
      </c>
      <c r="AD23" s="33">
        <f t="shared" si="26"/>
        <v>0</v>
      </c>
      <c r="AF23" s="18">
        <f t="shared" si="11"/>
        <v>12</v>
      </c>
      <c r="AG23" s="6">
        <f t="shared" si="27"/>
        <v>0</v>
      </c>
      <c r="AH23" s="31">
        <f t="shared" si="29"/>
        <v>0</v>
      </c>
      <c r="AI23" s="31">
        <f t="shared" si="28"/>
        <v>0</v>
      </c>
      <c r="AJ23" s="33">
        <f t="shared" si="30"/>
        <v>0</v>
      </c>
      <c r="AL23" s="18">
        <f t="shared" si="12"/>
        <v>12</v>
      </c>
      <c r="AM23" s="6">
        <f t="shared" si="31"/>
        <v>0</v>
      </c>
      <c r="AN23" s="31">
        <f t="shared" si="34"/>
        <v>0</v>
      </c>
      <c r="AO23" s="31">
        <f t="shared" si="32"/>
        <v>0</v>
      </c>
      <c r="AP23" s="33">
        <f t="shared" si="33"/>
        <v>0</v>
      </c>
    </row>
    <row r="24" spans="2:42" x14ac:dyDescent="0.2">
      <c r="B24" s="18">
        <f t="shared" si="13"/>
        <v>13</v>
      </c>
      <c r="C24" s="6">
        <f t="shared" si="0"/>
        <v>5231.0734186110867</v>
      </c>
      <c r="D24" s="31">
        <f t="shared" si="14"/>
        <v>1949.033240377109</v>
      </c>
      <c r="E24" s="31">
        <f t="shared" si="1"/>
        <v>3282.0401782339777</v>
      </c>
      <c r="F24" s="33">
        <f t="shared" si="15"/>
        <v>29201.84716138451</v>
      </c>
      <c r="H24" s="18">
        <f t="shared" si="2"/>
        <v>13</v>
      </c>
      <c r="I24" s="6">
        <f t="shared" si="3"/>
        <v>0</v>
      </c>
      <c r="J24" s="31">
        <f t="shared" si="16"/>
        <v>0</v>
      </c>
      <c r="K24" s="31">
        <f t="shared" si="4"/>
        <v>0</v>
      </c>
      <c r="L24" s="33">
        <f t="shared" si="5"/>
        <v>0</v>
      </c>
      <c r="N24" s="18">
        <f t="shared" si="6"/>
        <v>13</v>
      </c>
      <c r="O24" s="6">
        <f t="shared" si="7"/>
        <v>0</v>
      </c>
      <c r="P24" s="31">
        <f t="shared" si="17"/>
        <v>0</v>
      </c>
      <c r="Q24" s="31">
        <f t="shared" si="8"/>
        <v>0</v>
      </c>
      <c r="R24" s="33">
        <f t="shared" si="18"/>
        <v>0</v>
      </c>
      <c r="T24" s="18">
        <f t="shared" si="9"/>
        <v>13</v>
      </c>
      <c r="U24" s="6">
        <f t="shared" si="19"/>
        <v>0</v>
      </c>
      <c r="V24" s="31">
        <f t="shared" si="24"/>
        <v>0</v>
      </c>
      <c r="W24" s="31">
        <f t="shared" si="20"/>
        <v>0</v>
      </c>
      <c r="X24" s="33">
        <f t="shared" si="21"/>
        <v>0</v>
      </c>
      <c r="Z24" s="18">
        <f t="shared" si="10"/>
        <v>13</v>
      </c>
      <c r="AA24" s="6">
        <f t="shared" si="22"/>
        <v>0</v>
      </c>
      <c r="AB24" s="31">
        <f t="shared" si="25"/>
        <v>0</v>
      </c>
      <c r="AC24" s="31">
        <f t="shared" si="23"/>
        <v>0</v>
      </c>
      <c r="AD24" s="33">
        <f t="shared" si="26"/>
        <v>0</v>
      </c>
      <c r="AF24" s="18">
        <f t="shared" si="11"/>
        <v>13</v>
      </c>
      <c r="AG24" s="6">
        <f t="shared" si="27"/>
        <v>0</v>
      </c>
      <c r="AH24" s="31">
        <f t="shared" si="29"/>
        <v>0</v>
      </c>
      <c r="AI24" s="31">
        <f t="shared" si="28"/>
        <v>0</v>
      </c>
      <c r="AJ24" s="33">
        <f t="shared" si="30"/>
        <v>0</v>
      </c>
      <c r="AL24" s="18">
        <f t="shared" si="12"/>
        <v>13</v>
      </c>
      <c r="AM24" s="6">
        <f t="shared" si="31"/>
        <v>0</v>
      </c>
      <c r="AN24" s="31">
        <f t="shared" si="34"/>
        <v>0</v>
      </c>
      <c r="AO24" s="31">
        <f t="shared" si="32"/>
        <v>0</v>
      </c>
      <c r="AP24" s="33">
        <f t="shared" si="33"/>
        <v>0</v>
      </c>
    </row>
    <row r="25" spans="2:42" x14ac:dyDescent="0.2">
      <c r="B25" s="18">
        <f t="shared" si="13"/>
        <v>14</v>
      </c>
      <c r="C25" s="6">
        <f t="shared" si="0"/>
        <v>5231.0734186110867</v>
      </c>
      <c r="D25" s="31">
        <f t="shared" si="14"/>
        <v>1752.1108296830705</v>
      </c>
      <c r="E25" s="31">
        <f t="shared" si="1"/>
        <v>3478.962588928016</v>
      </c>
      <c r="F25" s="33">
        <f t="shared" si="15"/>
        <v>25722.884572456496</v>
      </c>
      <c r="H25" s="18">
        <f t="shared" si="2"/>
        <v>14</v>
      </c>
      <c r="I25" s="6">
        <f t="shared" si="3"/>
        <v>0</v>
      </c>
      <c r="J25" s="31">
        <f t="shared" si="16"/>
        <v>0</v>
      </c>
      <c r="K25" s="31">
        <f t="shared" si="4"/>
        <v>0</v>
      </c>
      <c r="L25" s="33">
        <f t="shared" si="5"/>
        <v>0</v>
      </c>
      <c r="N25" s="18">
        <f t="shared" si="6"/>
        <v>14</v>
      </c>
      <c r="O25" s="6">
        <f t="shared" si="7"/>
        <v>0</v>
      </c>
      <c r="P25" s="31">
        <f t="shared" si="17"/>
        <v>0</v>
      </c>
      <c r="Q25" s="31">
        <f t="shared" si="8"/>
        <v>0</v>
      </c>
      <c r="R25" s="33">
        <f t="shared" si="18"/>
        <v>0</v>
      </c>
      <c r="T25" s="18">
        <f t="shared" si="9"/>
        <v>14</v>
      </c>
      <c r="U25" s="6">
        <f t="shared" si="19"/>
        <v>0</v>
      </c>
      <c r="V25" s="31">
        <f t="shared" si="24"/>
        <v>0</v>
      </c>
      <c r="W25" s="31">
        <f t="shared" si="20"/>
        <v>0</v>
      </c>
      <c r="X25" s="33">
        <f t="shared" si="21"/>
        <v>0</v>
      </c>
      <c r="Z25" s="18">
        <f t="shared" si="10"/>
        <v>14</v>
      </c>
      <c r="AA25" s="6">
        <f t="shared" si="22"/>
        <v>0</v>
      </c>
      <c r="AB25" s="31">
        <f t="shared" si="25"/>
        <v>0</v>
      </c>
      <c r="AC25" s="31">
        <f t="shared" si="23"/>
        <v>0</v>
      </c>
      <c r="AD25" s="33">
        <f t="shared" si="26"/>
        <v>0</v>
      </c>
      <c r="AF25" s="18">
        <f t="shared" si="11"/>
        <v>14</v>
      </c>
      <c r="AG25" s="6">
        <f t="shared" si="27"/>
        <v>0</v>
      </c>
      <c r="AH25" s="31">
        <f t="shared" si="29"/>
        <v>0</v>
      </c>
      <c r="AI25" s="31">
        <f t="shared" si="28"/>
        <v>0</v>
      </c>
      <c r="AJ25" s="33">
        <f t="shared" si="30"/>
        <v>0</v>
      </c>
      <c r="AL25" s="18">
        <f t="shared" si="12"/>
        <v>14</v>
      </c>
      <c r="AM25" s="6">
        <f t="shared" si="31"/>
        <v>0</v>
      </c>
      <c r="AN25" s="31">
        <f t="shared" si="34"/>
        <v>0</v>
      </c>
      <c r="AO25" s="31">
        <f t="shared" si="32"/>
        <v>0</v>
      </c>
      <c r="AP25" s="33">
        <f t="shared" si="33"/>
        <v>0</v>
      </c>
    </row>
    <row r="26" spans="2:42" x14ac:dyDescent="0.2">
      <c r="B26" s="18">
        <f t="shared" si="13"/>
        <v>15</v>
      </c>
      <c r="C26" s="6">
        <f t="shared" si="0"/>
        <v>5231.0734186110867</v>
      </c>
      <c r="D26" s="31">
        <f t="shared" si="14"/>
        <v>1543.3730743473898</v>
      </c>
      <c r="E26" s="31">
        <f t="shared" si="1"/>
        <v>3687.7003442636969</v>
      </c>
      <c r="F26" s="33">
        <f t="shared" si="15"/>
        <v>22035.1842281928</v>
      </c>
      <c r="H26" s="18">
        <f t="shared" si="2"/>
        <v>15</v>
      </c>
      <c r="I26" s="6">
        <f t="shared" si="3"/>
        <v>0</v>
      </c>
      <c r="J26" s="31">
        <f t="shared" si="16"/>
        <v>0</v>
      </c>
      <c r="K26" s="31">
        <f t="shared" si="4"/>
        <v>0</v>
      </c>
      <c r="L26" s="33">
        <f t="shared" si="5"/>
        <v>0</v>
      </c>
      <c r="N26" s="18">
        <f t="shared" si="6"/>
        <v>15</v>
      </c>
      <c r="O26" s="6">
        <f t="shared" si="7"/>
        <v>0</v>
      </c>
      <c r="P26" s="31">
        <f t="shared" si="17"/>
        <v>0</v>
      </c>
      <c r="Q26" s="31">
        <f t="shared" si="8"/>
        <v>0</v>
      </c>
      <c r="R26" s="33">
        <f t="shared" si="18"/>
        <v>0</v>
      </c>
      <c r="T26" s="18">
        <f t="shared" si="9"/>
        <v>15</v>
      </c>
      <c r="U26" s="6">
        <f t="shared" si="19"/>
        <v>0</v>
      </c>
      <c r="V26" s="31">
        <f t="shared" si="24"/>
        <v>0</v>
      </c>
      <c r="W26" s="31">
        <f t="shared" si="20"/>
        <v>0</v>
      </c>
      <c r="X26" s="33">
        <f t="shared" si="21"/>
        <v>0</v>
      </c>
      <c r="Z26" s="18">
        <f t="shared" si="10"/>
        <v>15</v>
      </c>
      <c r="AA26" s="6">
        <f t="shared" si="22"/>
        <v>0</v>
      </c>
      <c r="AB26" s="31">
        <f t="shared" si="25"/>
        <v>0</v>
      </c>
      <c r="AC26" s="31">
        <f t="shared" si="23"/>
        <v>0</v>
      </c>
      <c r="AD26" s="33">
        <f t="shared" si="26"/>
        <v>0</v>
      </c>
      <c r="AF26" s="18">
        <f t="shared" si="11"/>
        <v>15</v>
      </c>
      <c r="AG26" s="6">
        <f t="shared" si="27"/>
        <v>0</v>
      </c>
      <c r="AH26" s="31">
        <f t="shared" si="29"/>
        <v>0</v>
      </c>
      <c r="AI26" s="31">
        <f t="shared" si="28"/>
        <v>0</v>
      </c>
      <c r="AJ26" s="33">
        <f t="shared" si="30"/>
        <v>0</v>
      </c>
      <c r="AL26" s="18">
        <f t="shared" si="12"/>
        <v>15</v>
      </c>
      <c r="AM26" s="6">
        <f t="shared" si="31"/>
        <v>0</v>
      </c>
      <c r="AN26" s="31">
        <f t="shared" si="34"/>
        <v>0</v>
      </c>
      <c r="AO26" s="31">
        <f t="shared" si="32"/>
        <v>0</v>
      </c>
      <c r="AP26" s="33">
        <f t="shared" si="33"/>
        <v>0</v>
      </c>
    </row>
    <row r="27" spans="2:42" x14ac:dyDescent="0.2">
      <c r="B27" s="18">
        <f t="shared" si="13"/>
        <v>16</v>
      </c>
      <c r="C27" s="6">
        <f t="shared" si="0"/>
        <v>5231.0734186110867</v>
      </c>
      <c r="D27" s="31">
        <f t="shared" si="14"/>
        <v>1322.111053691568</v>
      </c>
      <c r="E27" s="31">
        <f t="shared" si="1"/>
        <v>3908.9623649195187</v>
      </c>
      <c r="F27" s="33">
        <f t="shared" si="15"/>
        <v>18126.22186327328</v>
      </c>
      <c r="H27" s="18">
        <f t="shared" si="2"/>
        <v>16</v>
      </c>
      <c r="I27" s="6">
        <f t="shared" si="3"/>
        <v>0</v>
      </c>
      <c r="J27" s="31">
        <f t="shared" si="16"/>
        <v>0</v>
      </c>
      <c r="K27" s="31">
        <f t="shared" si="4"/>
        <v>0</v>
      </c>
      <c r="L27" s="33">
        <f t="shared" si="5"/>
        <v>0</v>
      </c>
      <c r="N27" s="18">
        <f t="shared" si="6"/>
        <v>16</v>
      </c>
      <c r="O27" s="6">
        <f t="shared" si="7"/>
        <v>0</v>
      </c>
      <c r="P27" s="31">
        <f t="shared" si="17"/>
        <v>0</v>
      </c>
      <c r="Q27" s="31">
        <f t="shared" si="8"/>
        <v>0</v>
      </c>
      <c r="R27" s="33">
        <f t="shared" si="18"/>
        <v>0</v>
      </c>
      <c r="T27" s="18">
        <f t="shared" si="9"/>
        <v>16</v>
      </c>
      <c r="U27" s="6">
        <f t="shared" si="19"/>
        <v>0</v>
      </c>
      <c r="V27" s="31">
        <f t="shared" si="24"/>
        <v>0</v>
      </c>
      <c r="W27" s="31">
        <f t="shared" si="20"/>
        <v>0</v>
      </c>
      <c r="X27" s="33">
        <f t="shared" si="21"/>
        <v>0</v>
      </c>
      <c r="Z27" s="18">
        <f t="shared" si="10"/>
        <v>16</v>
      </c>
      <c r="AA27" s="6">
        <f t="shared" si="22"/>
        <v>0</v>
      </c>
      <c r="AB27" s="31">
        <f t="shared" si="25"/>
        <v>0</v>
      </c>
      <c r="AC27" s="31">
        <f t="shared" si="23"/>
        <v>0</v>
      </c>
      <c r="AD27" s="33">
        <f t="shared" si="26"/>
        <v>0</v>
      </c>
      <c r="AF27" s="18">
        <f t="shared" si="11"/>
        <v>16</v>
      </c>
      <c r="AG27" s="6">
        <f t="shared" si="27"/>
        <v>0</v>
      </c>
      <c r="AH27" s="31">
        <f t="shared" si="29"/>
        <v>0</v>
      </c>
      <c r="AI27" s="31">
        <f t="shared" si="28"/>
        <v>0</v>
      </c>
      <c r="AJ27" s="33">
        <f t="shared" si="30"/>
        <v>0</v>
      </c>
      <c r="AL27" s="18">
        <f t="shared" si="12"/>
        <v>16</v>
      </c>
      <c r="AM27" s="6">
        <f t="shared" si="31"/>
        <v>0</v>
      </c>
      <c r="AN27" s="31">
        <f t="shared" si="34"/>
        <v>0</v>
      </c>
      <c r="AO27" s="31">
        <f t="shared" si="32"/>
        <v>0</v>
      </c>
      <c r="AP27" s="33">
        <f t="shared" si="33"/>
        <v>0</v>
      </c>
    </row>
    <row r="28" spans="2:42" x14ac:dyDescent="0.2">
      <c r="B28" s="18">
        <f t="shared" si="13"/>
        <v>17</v>
      </c>
      <c r="C28" s="6">
        <f t="shared" si="0"/>
        <v>5231.0734186110867</v>
      </c>
      <c r="D28" s="31">
        <f t="shared" si="14"/>
        <v>1087.5733117963969</v>
      </c>
      <c r="E28" s="31">
        <f t="shared" si="1"/>
        <v>4143.5001068146903</v>
      </c>
      <c r="F28" s="33">
        <f t="shared" si="15"/>
        <v>13982.72175645859</v>
      </c>
      <c r="H28" s="18">
        <f t="shared" si="2"/>
        <v>17</v>
      </c>
      <c r="I28" s="6">
        <f t="shared" si="3"/>
        <v>0</v>
      </c>
      <c r="J28" s="31">
        <f t="shared" si="16"/>
        <v>0</v>
      </c>
      <c r="K28" s="31">
        <f t="shared" si="4"/>
        <v>0</v>
      </c>
      <c r="L28" s="33">
        <f t="shared" si="5"/>
        <v>0</v>
      </c>
      <c r="N28" s="18">
        <f t="shared" si="6"/>
        <v>17</v>
      </c>
      <c r="O28" s="6">
        <f t="shared" si="7"/>
        <v>0</v>
      </c>
      <c r="P28" s="31">
        <f t="shared" si="17"/>
        <v>0</v>
      </c>
      <c r="Q28" s="31">
        <f t="shared" si="8"/>
        <v>0</v>
      </c>
      <c r="R28" s="33">
        <f t="shared" si="18"/>
        <v>0</v>
      </c>
      <c r="T28" s="18">
        <f t="shared" si="9"/>
        <v>17</v>
      </c>
      <c r="U28" s="6">
        <f t="shared" si="19"/>
        <v>0</v>
      </c>
      <c r="V28" s="31">
        <f t="shared" si="24"/>
        <v>0</v>
      </c>
      <c r="W28" s="31">
        <f t="shared" si="20"/>
        <v>0</v>
      </c>
      <c r="X28" s="33">
        <f t="shared" si="21"/>
        <v>0</v>
      </c>
      <c r="Z28" s="18">
        <f t="shared" si="10"/>
        <v>17</v>
      </c>
      <c r="AA28" s="6">
        <f t="shared" si="22"/>
        <v>0</v>
      </c>
      <c r="AB28" s="31">
        <f t="shared" si="25"/>
        <v>0</v>
      </c>
      <c r="AC28" s="31">
        <f t="shared" si="23"/>
        <v>0</v>
      </c>
      <c r="AD28" s="33">
        <f t="shared" si="26"/>
        <v>0</v>
      </c>
      <c r="AF28" s="18">
        <f t="shared" si="11"/>
        <v>17</v>
      </c>
      <c r="AG28" s="6">
        <f t="shared" si="27"/>
        <v>0</v>
      </c>
      <c r="AH28" s="31">
        <f t="shared" si="29"/>
        <v>0</v>
      </c>
      <c r="AI28" s="31">
        <f t="shared" si="28"/>
        <v>0</v>
      </c>
      <c r="AJ28" s="33">
        <f t="shared" si="30"/>
        <v>0</v>
      </c>
      <c r="AL28" s="18">
        <f t="shared" si="12"/>
        <v>17</v>
      </c>
      <c r="AM28" s="6">
        <f t="shared" si="31"/>
        <v>0</v>
      </c>
      <c r="AN28" s="31">
        <f t="shared" si="34"/>
        <v>0</v>
      </c>
      <c r="AO28" s="31">
        <f t="shared" si="32"/>
        <v>0</v>
      </c>
      <c r="AP28" s="33">
        <f t="shared" si="33"/>
        <v>0</v>
      </c>
    </row>
    <row r="29" spans="2:42" x14ac:dyDescent="0.2">
      <c r="B29" s="18">
        <f t="shared" si="13"/>
        <v>18</v>
      </c>
      <c r="C29" s="6">
        <f t="shared" si="0"/>
        <v>5231.0734186110867</v>
      </c>
      <c r="D29" s="31">
        <f t="shared" si="14"/>
        <v>838.96330538751533</v>
      </c>
      <c r="E29" s="31">
        <f t="shared" si="1"/>
        <v>4392.1101132235717</v>
      </c>
      <c r="F29" s="33">
        <f t="shared" si="15"/>
        <v>9590.6116432350173</v>
      </c>
      <c r="H29" s="18">
        <f t="shared" si="2"/>
        <v>18</v>
      </c>
      <c r="I29" s="6">
        <f t="shared" si="3"/>
        <v>0</v>
      </c>
      <c r="J29" s="31">
        <f t="shared" si="16"/>
        <v>0</v>
      </c>
      <c r="K29" s="31">
        <f t="shared" si="4"/>
        <v>0</v>
      </c>
      <c r="L29" s="33">
        <f t="shared" si="5"/>
        <v>0</v>
      </c>
      <c r="N29" s="18">
        <f t="shared" si="6"/>
        <v>18</v>
      </c>
      <c r="O29" s="6">
        <f t="shared" si="7"/>
        <v>0</v>
      </c>
      <c r="P29" s="31">
        <f t="shared" si="17"/>
        <v>0</v>
      </c>
      <c r="Q29" s="31">
        <f t="shared" si="8"/>
        <v>0</v>
      </c>
      <c r="R29" s="33">
        <f t="shared" si="18"/>
        <v>0</v>
      </c>
      <c r="T29" s="18">
        <f t="shared" si="9"/>
        <v>18</v>
      </c>
      <c r="U29" s="6">
        <f t="shared" si="19"/>
        <v>0</v>
      </c>
      <c r="V29" s="31">
        <f t="shared" si="24"/>
        <v>0</v>
      </c>
      <c r="W29" s="31">
        <f t="shared" si="20"/>
        <v>0</v>
      </c>
      <c r="X29" s="33">
        <f t="shared" si="21"/>
        <v>0</v>
      </c>
      <c r="Z29" s="18">
        <f t="shared" si="10"/>
        <v>18</v>
      </c>
      <c r="AA29" s="6">
        <f t="shared" si="22"/>
        <v>0</v>
      </c>
      <c r="AB29" s="31">
        <f t="shared" si="25"/>
        <v>0</v>
      </c>
      <c r="AC29" s="31">
        <f t="shared" si="23"/>
        <v>0</v>
      </c>
      <c r="AD29" s="33">
        <f t="shared" si="26"/>
        <v>0</v>
      </c>
      <c r="AF29" s="18">
        <f t="shared" si="11"/>
        <v>18</v>
      </c>
      <c r="AG29" s="6">
        <f t="shared" si="27"/>
        <v>0</v>
      </c>
      <c r="AH29" s="31">
        <f t="shared" si="29"/>
        <v>0</v>
      </c>
      <c r="AI29" s="31">
        <f t="shared" si="28"/>
        <v>0</v>
      </c>
      <c r="AJ29" s="33">
        <f t="shared" si="30"/>
        <v>0</v>
      </c>
      <c r="AL29" s="18">
        <f t="shared" si="12"/>
        <v>18</v>
      </c>
      <c r="AM29" s="6">
        <f t="shared" si="31"/>
        <v>0</v>
      </c>
      <c r="AN29" s="31">
        <f t="shared" si="34"/>
        <v>0</v>
      </c>
      <c r="AO29" s="31">
        <f t="shared" si="32"/>
        <v>0</v>
      </c>
      <c r="AP29" s="33">
        <f t="shared" si="33"/>
        <v>0</v>
      </c>
    </row>
    <row r="30" spans="2:42" x14ac:dyDescent="0.2">
      <c r="B30" s="18">
        <f t="shared" si="13"/>
        <v>19</v>
      </c>
      <c r="C30" s="6">
        <f t="shared" si="0"/>
        <v>5231.0734186110867</v>
      </c>
      <c r="D30" s="31">
        <f t="shared" si="14"/>
        <v>575.43669859410102</v>
      </c>
      <c r="E30" s="31">
        <f t="shared" si="1"/>
        <v>4655.6367200169861</v>
      </c>
      <c r="F30" s="33">
        <f t="shared" si="15"/>
        <v>4934.9749232180311</v>
      </c>
      <c r="H30" s="18">
        <f t="shared" si="2"/>
        <v>19</v>
      </c>
      <c r="I30" s="6">
        <f t="shared" si="3"/>
        <v>0</v>
      </c>
      <c r="J30" s="31">
        <f t="shared" si="16"/>
        <v>0</v>
      </c>
      <c r="K30" s="31">
        <f t="shared" si="4"/>
        <v>0</v>
      </c>
      <c r="L30" s="33">
        <f t="shared" si="5"/>
        <v>0</v>
      </c>
      <c r="N30" s="18">
        <f t="shared" si="6"/>
        <v>19</v>
      </c>
      <c r="O30" s="6">
        <f t="shared" si="7"/>
        <v>0</v>
      </c>
      <c r="P30" s="31">
        <f t="shared" si="17"/>
        <v>0</v>
      </c>
      <c r="Q30" s="31">
        <f t="shared" si="8"/>
        <v>0</v>
      </c>
      <c r="R30" s="33">
        <f t="shared" si="18"/>
        <v>0</v>
      </c>
      <c r="T30" s="18">
        <f t="shared" si="9"/>
        <v>19</v>
      </c>
      <c r="U30" s="6">
        <f t="shared" si="19"/>
        <v>0</v>
      </c>
      <c r="V30" s="31">
        <f t="shared" si="24"/>
        <v>0</v>
      </c>
      <c r="W30" s="31">
        <f t="shared" si="20"/>
        <v>0</v>
      </c>
      <c r="X30" s="33">
        <f t="shared" si="21"/>
        <v>0</v>
      </c>
      <c r="Z30" s="18">
        <f t="shared" si="10"/>
        <v>19</v>
      </c>
      <c r="AA30" s="6">
        <f t="shared" si="22"/>
        <v>0</v>
      </c>
      <c r="AB30" s="31">
        <f t="shared" si="25"/>
        <v>0</v>
      </c>
      <c r="AC30" s="31">
        <f t="shared" si="23"/>
        <v>0</v>
      </c>
      <c r="AD30" s="33">
        <f t="shared" si="26"/>
        <v>0</v>
      </c>
      <c r="AF30" s="18">
        <f t="shared" si="11"/>
        <v>19</v>
      </c>
      <c r="AG30" s="6">
        <f t="shared" si="27"/>
        <v>0</v>
      </c>
      <c r="AH30" s="31">
        <f t="shared" si="29"/>
        <v>0</v>
      </c>
      <c r="AI30" s="31">
        <f t="shared" si="28"/>
        <v>0</v>
      </c>
      <c r="AJ30" s="33">
        <f t="shared" si="30"/>
        <v>0</v>
      </c>
      <c r="AL30" s="18">
        <f t="shared" si="12"/>
        <v>19</v>
      </c>
      <c r="AM30" s="6">
        <f t="shared" si="31"/>
        <v>0</v>
      </c>
      <c r="AN30" s="31">
        <f t="shared" si="34"/>
        <v>0</v>
      </c>
      <c r="AO30" s="31">
        <f t="shared" si="32"/>
        <v>0</v>
      </c>
      <c r="AP30" s="33">
        <f t="shared" si="33"/>
        <v>0</v>
      </c>
    </row>
    <row r="31" spans="2:42" x14ac:dyDescent="0.2">
      <c r="B31" s="18">
        <f t="shared" si="13"/>
        <v>20</v>
      </c>
      <c r="C31" s="6">
        <f t="shared" si="0"/>
        <v>5231.0734186110867</v>
      </c>
      <c r="D31" s="31">
        <f t="shared" si="14"/>
        <v>296.09849539308186</v>
      </c>
      <c r="E31" s="31">
        <f t="shared" si="1"/>
        <v>4934.9749232180047</v>
      </c>
      <c r="F31" s="33">
        <f t="shared" si="15"/>
        <v>2.6375346351414919E-11</v>
      </c>
      <c r="H31" s="18">
        <f t="shared" si="2"/>
        <v>20</v>
      </c>
      <c r="I31" s="6">
        <f t="shared" si="3"/>
        <v>0</v>
      </c>
      <c r="J31" s="31">
        <f t="shared" si="16"/>
        <v>0</v>
      </c>
      <c r="K31" s="31">
        <f t="shared" si="4"/>
        <v>0</v>
      </c>
      <c r="L31" s="33">
        <f t="shared" si="5"/>
        <v>0</v>
      </c>
      <c r="N31" s="18">
        <f t="shared" si="6"/>
        <v>20</v>
      </c>
      <c r="O31" s="6">
        <f t="shared" si="7"/>
        <v>0</v>
      </c>
      <c r="P31" s="31">
        <f t="shared" si="17"/>
        <v>0</v>
      </c>
      <c r="Q31" s="31">
        <f t="shared" si="8"/>
        <v>0</v>
      </c>
      <c r="R31" s="33">
        <f t="shared" si="18"/>
        <v>0</v>
      </c>
      <c r="T31" s="18">
        <f t="shared" si="9"/>
        <v>20</v>
      </c>
      <c r="U31" s="6">
        <f t="shared" si="19"/>
        <v>0</v>
      </c>
      <c r="V31" s="31">
        <f t="shared" si="24"/>
        <v>0</v>
      </c>
      <c r="W31" s="31">
        <f t="shared" si="20"/>
        <v>0</v>
      </c>
      <c r="X31" s="33">
        <f t="shared" si="21"/>
        <v>0</v>
      </c>
      <c r="Z31" s="18">
        <f t="shared" si="10"/>
        <v>20</v>
      </c>
      <c r="AA31" s="6">
        <f t="shared" si="22"/>
        <v>0</v>
      </c>
      <c r="AB31" s="31">
        <f t="shared" si="25"/>
        <v>0</v>
      </c>
      <c r="AC31" s="31">
        <f t="shared" si="23"/>
        <v>0</v>
      </c>
      <c r="AD31" s="33">
        <f t="shared" si="26"/>
        <v>0</v>
      </c>
      <c r="AF31" s="18">
        <f t="shared" si="11"/>
        <v>20</v>
      </c>
      <c r="AG31" s="6">
        <f t="shared" si="27"/>
        <v>0</v>
      </c>
      <c r="AH31" s="31">
        <f t="shared" si="29"/>
        <v>0</v>
      </c>
      <c r="AI31" s="31">
        <f t="shared" si="28"/>
        <v>0</v>
      </c>
      <c r="AJ31" s="33">
        <f t="shared" si="30"/>
        <v>0</v>
      </c>
      <c r="AL31" s="18">
        <f t="shared" si="12"/>
        <v>20</v>
      </c>
      <c r="AM31" s="6">
        <f t="shared" si="31"/>
        <v>0</v>
      </c>
      <c r="AN31" s="31">
        <f t="shared" si="34"/>
        <v>0</v>
      </c>
      <c r="AO31" s="31">
        <f t="shared" si="32"/>
        <v>0</v>
      </c>
      <c r="AP31" s="33">
        <f t="shared" si="33"/>
        <v>0</v>
      </c>
    </row>
    <row r="32" spans="2:42" x14ac:dyDescent="0.2">
      <c r="B32" s="18">
        <f t="shared" si="13"/>
        <v>21</v>
      </c>
      <c r="C32" s="6">
        <f t="shared" si="0"/>
        <v>0</v>
      </c>
      <c r="D32" s="31">
        <f t="shared" si="14"/>
        <v>1.5825207810848951E-12</v>
      </c>
      <c r="E32" s="31">
        <f t="shared" si="1"/>
        <v>-1.5825207810848951E-12</v>
      </c>
      <c r="F32" s="33">
        <f t="shared" si="15"/>
        <v>2.7957867132499813E-11</v>
      </c>
      <c r="H32" s="18">
        <f t="shared" si="2"/>
        <v>21</v>
      </c>
      <c r="I32" s="6">
        <f t="shared" si="3"/>
        <v>0</v>
      </c>
      <c r="J32" s="31">
        <f t="shared" si="16"/>
        <v>0</v>
      </c>
      <c r="K32" s="31">
        <f t="shared" si="4"/>
        <v>0</v>
      </c>
      <c r="L32" s="33">
        <f t="shared" si="5"/>
        <v>0</v>
      </c>
      <c r="N32" s="18">
        <f t="shared" si="6"/>
        <v>21</v>
      </c>
      <c r="O32" s="6">
        <f t="shared" si="7"/>
        <v>0</v>
      </c>
      <c r="P32" s="31">
        <f t="shared" si="17"/>
        <v>0</v>
      </c>
      <c r="Q32" s="31">
        <f t="shared" si="8"/>
        <v>0</v>
      </c>
      <c r="R32" s="33">
        <f t="shared" si="18"/>
        <v>0</v>
      </c>
      <c r="T32" s="18">
        <f t="shared" si="9"/>
        <v>21</v>
      </c>
      <c r="U32" s="6">
        <f t="shared" si="19"/>
        <v>0</v>
      </c>
      <c r="V32" s="31">
        <f t="shared" si="24"/>
        <v>0</v>
      </c>
      <c r="W32" s="31">
        <f t="shared" si="20"/>
        <v>0</v>
      </c>
      <c r="X32" s="33">
        <f t="shared" si="21"/>
        <v>0</v>
      </c>
      <c r="Z32" s="18">
        <f t="shared" si="10"/>
        <v>21</v>
      </c>
      <c r="AA32" s="6">
        <f t="shared" si="22"/>
        <v>0</v>
      </c>
      <c r="AB32" s="31">
        <f t="shared" si="25"/>
        <v>0</v>
      </c>
      <c r="AC32" s="31">
        <f t="shared" si="23"/>
        <v>0</v>
      </c>
      <c r="AD32" s="33">
        <f t="shared" si="26"/>
        <v>0</v>
      </c>
      <c r="AF32" s="18">
        <f t="shared" si="11"/>
        <v>21</v>
      </c>
      <c r="AG32" s="6">
        <f t="shared" si="27"/>
        <v>0</v>
      </c>
      <c r="AH32" s="31">
        <f t="shared" si="29"/>
        <v>0</v>
      </c>
      <c r="AI32" s="31">
        <f t="shared" si="28"/>
        <v>0</v>
      </c>
      <c r="AJ32" s="33">
        <f t="shared" si="30"/>
        <v>0</v>
      </c>
      <c r="AL32" s="18">
        <f t="shared" si="12"/>
        <v>21</v>
      </c>
      <c r="AM32" s="6">
        <f t="shared" si="31"/>
        <v>0</v>
      </c>
      <c r="AN32" s="31">
        <f t="shared" si="34"/>
        <v>0</v>
      </c>
      <c r="AO32" s="31">
        <f t="shared" si="32"/>
        <v>0</v>
      </c>
      <c r="AP32" s="33">
        <f t="shared" si="33"/>
        <v>0</v>
      </c>
    </row>
    <row r="33" spans="2:42" x14ac:dyDescent="0.2">
      <c r="B33" s="18">
        <f>B32+1</f>
        <v>22</v>
      </c>
      <c r="C33" s="6">
        <f t="shared" si="0"/>
        <v>0</v>
      </c>
      <c r="D33" s="31">
        <f t="shared" si="14"/>
        <v>1.6774720279499887E-12</v>
      </c>
      <c r="E33" s="31">
        <f t="shared" si="1"/>
        <v>-1.6774720279499887E-12</v>
      </c>
      <c r="F33" s="33">
        <f t="shared" si="15"/>
        <v>2.9635339160449798E-11</v>
      </c>
      <c r="H33" s="18">
        <f t="shared" si="2"/>
        <v>22</v>
      </c>
      <c r="I33" s="6">
        <f t="shared" si="3"/>
        <v>0</v>
      </c>
      <c r="J33" s="31">
        <f t="shared" si="16"/>
        <v>0</v>
      </c>
      <c r="K33" s="31">
        <f t="shared" si="4"/>
        <v>0</v>
      </c>
      <c r="L33" s="33">
        <f t="shared" si="5"/>
        <v>0</v>
      </c>
      <c r="N33" s="18">
        <f t="shared" si="6"/>
        <v>22</v>
      </c>
      <c r="O33" s="6">
        <f t="shared" si="7"/>
        <v>0</v>
      </c>
      <c r="P33" s="31">
        <f t="shared" si="17"/>
        <v>0</v>
      </c>
      <c r="Q33" s="31">
        <f t="shared" si="8"/>
        <v>0</v>
      </c>
      <c r="R33" s="33">
        <f t="shared" si="18"/>
        <v>0</v>
      </c>
      <c r="T33" s="18">
        <f t="shared" si="9"/>
        <v>22</v>
      </c>
      <c r="U33" s="6">
        <f t="shared" si="19"/>
        <v>0</v>
      </c>
      <c r="V33" s="31">
        <f t="shared" si="24"/>
        <v>0</v>
      </c>
      <c r="W33" s="31">
        <f t="shared" si="20"/>
        <v>0</v>
      </c>
      <c r="X33" s="33">
        <f t="shared" si="21"/>
        <v>0</v>
      </c>
      <c r="Z33" s="18">
        <f t="shared" si="10"/>
        <v>22</v>
      </c>
      <c r="AA33" s="6">
        <f t="shared" si="22"/>
        <v>0</v>
      </c>
      <c r="AB33" s="31">
        <f t="shared" si="25"/>
        <v>0</v>
      </c>
      <c r="AC33" s="31">
        <f t="shared" si="23"/>
        <v>0</v>
      </c>
      <c r="AD33" s="33">
        <f t="shared" si="26"/>
        <v>0</v>
      </c>
      <c r="AF33" s="18">
        <f t="shared" si="11"/>
        <v>22</v>
      </c>
      <c r="AG33" s="6">
        <f t="shared" si="27"/>
        <v>0</v>
      </c>
      <c r="AH33" s="31">
        <f t="shared" si="29"/>
        <v>0</v>
      </c>
      <c r="AI33" s="31">
        <f t="shared" si="28"/>
        <v>0</v>
      </c>
      <c r="AJ33" s="33">
        <f t="shared" si="30"/>
        <v>0</v>
      </c>
      <c r="AL33" s="18">
        <f t="shared" si="12"/>
        <v>22</v>
      </c>
      <c r="AM33" s="6">
        <f t="shared" si="31"/>
        <v>0</v>
      </c>
      <c r="AN33" s="31">
        <f t="shared" si="34"/>
        <v>0</v>
      </c>
      <c r="AO33" s="31">
        <f t="shared" si="32"/>
        <v>0</v>
      </c>
      <c r="AP33" s="33">
        <f t="shared" si="33"/>
        <v>0</v>
      </c>
    </row>
    <row r="34" spans="2:42" x14ac:dyDescent="0.2">
      <c r="B34" s="18">
        <f>B33+1</f>
        <v>23</v>
      </c>
      <c r="C34" s="6">
        <f t="shared" si="0"/>
        <v>0</v>
      </c>
      <c r="D34" s="31">
        <f t="shared" si="14"/>
        <v>1.7781203496269879E-12</v>
      </c>
      <c r="E34" s="31">
        <f t="shared" si="1"/>
        <v>-1.7781203496269879E-12</v>
      </c>
      <c r="F34" s="33">
        <f t="shared" si="15"/>
        <v>3.1413459510076787E-11</v>
      </c>
      <c r="H34" s="18">
        <f t="shared" si="2"/>
        <v>23</v>
      </c>
      <c r="I34" s="6">
        <f t="shared" si="3"/>
        <v>0</v>
      </c>
      <c r="J34" s="31">
        <f t="shared" si="16"/>
        <v>0</v>
      </c>
      <c r="K34" s="31">
        <f t="shared" si="4"/>
        <v>0</v>
      </c>
      <c r="L34" s="33">
        <f t="shared" si="5"/>
        <v>0</v>
      </c>
      <c r="N34" s="18">
        <f t="shared" si="6"/>
        <v>23</v>
      </c>
      <c r="O34" s="6">
        <f t="shared" si="7"/>
        <v>0</v>
      </c>
      <c r="P34" s="31">
        <f t="shared" si="17"/>
        <v>0</v>
      </c>
      <c r="Q34" s="31">
        <f t="shared" si="8"/>
        <v>0</v>
      </c>
      <c r="R34" s="33">
        <f t="shared" si="18"/>
        <v>0</v>
      </c>
      <c r="T34" s="18">
        <f t="shared" si="9"/>
        <v>23</v>
      </c>
      <c r="U34" s="6">
        <f t="shared" si="19"/>
        <v>0</v>
      </c>
      <c r="V34" s="31">
        <f t="shared" si="24"/>
        <v>0</v>
      </c>
      <c r="W34" s="31">
        <f t="shared" si="20"/>
        <v>0</v>
      </c>
      <c r="X34" s="33">
        <f t="shared" si="21"/>
        <v>0</v>
      </c>
      <c r="Z34" s="18">
        <f t="shared" si="10"/>
        <v>23</v>
      </c>
      <c r="AA34" s="6">
        <f t="shared" si="22"/>
        <v>0</v>
      </c>
      <c r="AB34" s="31">
        <f t="shared" si="25"/>
        <v>0</v>
      </c>
      <c r="AC34" s="31">
        <f t="shared" si="23"/>
        <v>0</v>
      </c>
      <c r="AD34" s="33">
        <f t="shared" si="26"/>
        <v>0</v>
      </c>
      <c r="AF34" s="18">
        <f t="shared" si="11"/>
        <v>23</v>
      </c>
      <c r="AG34" s="6">
        <f t="shared" si="27"/>
        <v>0</v>
      </c>
      <c r="AH34" s="31">
        <f t="shared" si="29"/>
        <v>0</v>
      </c>
      <c r="AI34" s="31">
        <f t="shared" si="28"/>
        <v>0</v>
      </c>
      <c r="AJ34" s="33">
        <f t="shared" si="30"/>
        <v>0</v>
      </c>
      <c r="AL34" s="18">
        <f t="shared" si="12"/>
        <v>23</v>
      </c>
      <c r="AM34" s="6">
        <f t="shared" si="31"/>
        <v>0</v>
      </c>
      <c r="AN34" s="31">
        <f t="shared" si="34"/>
        <v>0</v>
      </c>
      <c r="AO34" s="31">
        <f t="shared" si="32"/>
        <v>0</v>
      </c>
      <c r="AP34" s="33">
        <f t="shared" si="33"/>
        <v>0</v>
      </c>
    </row>
    <row r="35" spans="2:42" x14ac:dyDescent="0.2">
      <c r="B35" s="18">
        <f>B34+1</f>
        <v>24</v>
      </c>
      <c r="C35" s="6">
        <f t="shared" si="0"/>
        <v>0</v>
      </c>
      <c r="D35" s="31">
        <f t="shared" si="14"/>
        <v>1.8848075706046071E-12</v>
      </c>
      <c r="E35" s="31">
        <f t="shared" si="1"/>
        <v>-1.8848075706046071E-12</v>
      </c>
      <c r="F35" s="33">
        <f t="shared" si="15"/>
        <v>3.3298267080681393E-11</v>
      </c>
      <c r="H35" s="18">
        <f t="shared" si="2"/>
        <v>24</v>
      </c>
      <c r="I35" s="6">
        <f t="shared" si="3"/>
        <v>0</v>
      </c>
      <c r="J35" s="31">
        <f t="shared" si="16"/>
        <v>0</v>
      </c>
      <c r="K35" s="31">
        <f t="shared" si="4"/>
        <v>0</v>
      </c>
      <c r="L35" s="33">
        <f t="shared" si="5"/>
        <v>0</v>
      </c>
      <c r="N35" s="18">
        <f t="shared" si="6"/>
        <v>24</v>
      </c>
      <c r="O35" s="6">
        <f t="shared" si="7"/>
        <v>0</v>
      </c>
      <c r="P35" s="31">
        <f t="shared" si="17"/>
        <v>0</v>
      </c>
      <c r="Q35" s="31">
        <f t="shared" si="8"/>
        <v>0</v>
      </c>
      <c r="R35" s="33">
        <f t="shared" si="18"/>
        <v>0</v>
      </c>
      <c r="T35" s="18">
        <f t="shared" si="9"/>
        <v>24</v>
      </c>
      <c r="U35" s="6">
        <f t="shared" si="19"/>
        <v>0</v>
      </c>
      <c r="V35" s="31">
        <f t="shared" si="24"/>
        <v>0</v>
      </c>
      <c r="W35" s="31">
        <f t="shared" si="20"/>
        <v>0</v>
      </c>
      <c r="X35" s="33">
        <f t="shared" si="21"/>
        <v>0</v>
      </c>
      <c r="Z35" s="18">
        <f t="shared" si="10"/>
        <v>24</v>
      </c>
      <c r="AA35" s="6">
        <f t="shared" si="22"/>
        <v>0</v>
      </c>
      <c r="AB35" s="31">
        <f t="shared" si="25"/>
        <v>0</v>
      </c>
      <c r="AC35" s="31">
        <f t="shared" si="23"/>
        <v>0</v>
      </c>
      <c r="AD35" s="33">
        <f t="shared" si="26"/>
        <v>0</v>
      </c>
      <c r="AF35" s="18">
        <f t="shared" si="11"/>
        <v>24</v>
      </c>
      <c r="AG35" s="6">
        <f t="shared" si="27"/>
        <v>0</v>
      </c>
      <c r="AH35" s="31">
        <f t="shared" si="29"/>
        <v>0</v>
      </c>
      <c r="AI35" s="31">
        <f t="shared" si="28"/>
        <v>0</v>
      </c>
      <c r="AJ35" s="33">
        <f t="shared" si="30"/>
        <v>0</v>
      </c>
      <c r="AL35" s="18">
        <f t="shared" si="12"/>
        <v>24</v>
      </c>
      <c r="AM35" s="6">
        <f t="shared" si="31"/>
        <v>0</v>
      </c>
      <c r="AN35" s="31">
        <f t="shared" si="34"/>
        <v>0</v>
      </c>
      <c r="AO35" s="31">
        <f t="shared" si="32"/>
        <v>0</v>
      </c>
      <c r="AP35" s="33">
        <f t="shared" si="33"/>
        <v>0</v>
      </c>
    </row>
    <row r="36" spans="2:42" ht="13.5" thickBot="1" x14ac:dyDescent="0.25">
      <c r="B36" s="133">
        <f>B35+1</f>
        <v>25</v>
      </c>
      <c r="C36" s="134">
        <f t="shared" si="0"/>
        <v>0</v>
      </c>
      <c r="D36" s="135">
        <f t="shared" si="14"/>
        <v>1.9978960248408836E-12</v>
      </c>
      <c r="E36" s="135">
        <f t="shared" si="1"/>
        <v>-1.9978960248408836E-12</v>
      </c>
      <c r="F36" s="136">
        <f t="shared" si="15"/>
        <v>3.5296163105522279E-11</v>
      </c>
      <c r="H36" s="143">
        <f t="shared" si="2"/>
        <v>25</v>
      </c>
      <c r="I36" s="144">
        <f t="shared" si="3"/>
        <v>0</v>
      </c>
      <c r="J36" s="145">
        <f t="shared" si="16"/>
        <v>0</v>
      </c>
      <c r="K36" s="145">
        <f t="shared" si="4"/>
        <v>0</v>
      </c>
      <c r="L36" s="146">
        <f t="shared" si="5"/>
        <v>0</v>
      </c>
      <c r="N36" s="143">
        <f t="shared" si="6"/>
        <v>25</v>
      </c>
      <c r="O36" s="144">
        <f t="shared" si="7"/>
        <v>0</v>
      </c>
      <c r="P36" s="145">
        <f t="shared" si="17"/>
        <v>0</v>
      </c>
      <c r="Q36" s="145">
        <f t="shared" si="8"/>
        <v>0</v>
      </c>
      <c r="R36" s="146">
        <f t="shared" si="18"/>
        <v>0</v>
      </c>
      <c r="T36" s="143">
        <f t="shared" si="9"/>
        <v>25</v>
      </c>
      <c r="U36" s="144">
        <f t="shared" si="19"/>
        <v>0</v>
      </c>
      <c r="V36" s="145">
        <f t="shared" si="24"/>
        <v>0</v>
      </c>
      <c r="W36" s="145">
        <f t="shared" si="20"/>
        <v>0</v>
      </c>
      <c r="X36" s="146">
        <f t="shared" si="21"/>
        <v>0</v>
      </c>
      <c r="Z36" s="143">
        <f t="shared" si="10"/>
        <v>25</v>
      </c>
      <c r="AA36" s="144">
        <f t="shared" si="22"/>
        <v>0</v>
      </c>
      <c r="AB36" s="145">
        <f t="shared" si="25"/>
        <v>0</v>
      </c>
      <c r="AC36" s="145">
        <f t="shared" si="23"/>
        <v>0</v>
      </c>
      <c r="AD36" s="146">
        <f t="shared" si="26"/>
        <v>0</v>
      </c>
      <c r="AF36" s="143">
        <f t="shared" si="11"/>
        <v>25</v>
      </c>
      <c r="AG36" s="144">
        <f t="shared" si="27"/>
        <v>0</v>
      </c>
      <c r="AH36" s="145">
        <f t="shared" si="29"/>
        <v>0</v>
      </c>
      <c r="AI36" s="145">
        <f t="shared" si="28"/>
        <v>0</v>
      </c>
      <c r="AJ36" s="146">
        <f t="shared" si="30"/>
        <v>0</v>
      </c>
      <c r="AL36" s="143">
        <f t="shared" si="12"/>
        <v>25</v>
      </c>
      <c r="AM36" s="144">
        <f t="shared" si="31"/>
        <v>0</v>
      </c>
      <c r="AN36" s="145">
        <f t="shared" si="34"/>
        <v>0</v>
      </c>
      <c r="AO36" s="145">
        <f t="shared" si="32"/>
        <v>0</v>
      </c>
      <c r="AP36" s="146">
        <f t="shared" si="33"/>
        <v>0</v>
      </c>
    </row>
    <row r="37" spans="2:42" x14ac:dyDescent="0.2">
      <c r="B37" s="137"/>
      <c r="C37" s="138"/>
      <c r="D37" s="139"/>
      <c r="E37" s="139"/>
      <c r="F37" s="139"/>
      <c r="H37" s="140"/>
      <c r="I37" s="141"/>
      <c r="J37" s="142"/>
      <c r="K37" s="142"/>
      <c r="L37" s="142"/>
      <c r="N37" s="140"/>
      <c r="O37" s="141"/>
      <c r="P37" s="142"/>
      <c r="Q37" s="142"/>
      <c r="R37" s="142"/>
      <c r="T37" s="140"/>
      <c r="U37" s="141"/>
      <c r="V37" s="142"/>
      <c r="W37" s="142"/>
      <c r="X37" s="142"/>
      <c r="Z37" s="140"/>
      <c r="AA37" s="141"/>
      <c r="AB37" s="142"/>
      <c r="AC37" s="142"/>
      <c r="AD37" s="142"/>
      <c r="AF37" s="140"/>
      <c r="AG37" s="141"/>
      <c r="AH37" s="142"/>
      <c r="AI37" s="142"/>
      <c r="AJ37" s="142"/>
      <c r="AL37" s="140"/>
      <c r="AM37" s="141"/>
      <c r="AN37" s="142"/>
      <c r="AO37" s="142"/>
      <c r="AP37" s="142"/>
    </row>
    <row r="38" spans="2:42" x14ac:dyDescent="0.2">
      <c r="B38" s="140"/>
      <c r="C38" s="149"/>
      <c r="D38" s="150" t="s">
        <v>444</v>
      </c>
      <c r="E38" s="151" t="s">
        <v>445</v>
      </c>
      <c r="F38" s="142"/>
      <c r="H38" s="140"/>
      <c r="I38" s="141"/>
      <c r="J38" s="142"/>
      <c r="K38" s="142"/>
      <c r="L38" s="142"/>
      <c r="N38" s="140"/>
      <c r="O38" s="141"/>
      <c r="P38" s="142"/>
      <c r="Q38" s="142"/>
      <c r="R38" s="142"/>
      <c r="T38" s="140"/>
      <c r="U38" s="141"/>
      <c r="V38" s="142"/>
      <c r="W38" s="142"/>
      <c r="X38" s="142"/>
      <c r="Z38" s="140"/>
      <c r="AA38" s="141"/>
      <c r="AB38" s="142"/>
      <c r="AC38" s="142"/>
      <c r="AD38" s="142"/>
      <c r="AF38" s="140"/>
      <c r="AG38" s="141"/>
      <c r="AH38" s="142"/>
      <c r="AI38" s="142"/>
      <c r="AJ38" s="142"/>
      <c r="AL38" s="140"/>
      <c r="AM38" s="141"/>
      <c r="AN38" s="142"/>
      <c r="AO38" s="142"/>
      <c r="AP38" s="142"/>
    </row>
    <row r="39" spans="2:42" x14ac:dyDescent="0.2">
      <c r="B39" s="140"/>
      <c r="C39" s="152" t="s">
        <v>441</v>
      </c>
      <c r="D39" s="148" t="s">
        <v>443</v>
      </c>
      <c r="E39" s="153" t="s">
        <v>134</v>
      </c>
      <c r="F39" s="142"/>
      <c r="H39" s="140"/>
      <c r="I39" s="141"/>
      <c r="J39" s="142"/>
      <c r="K39" s="142"/>
      <c r="L39" s="142"/>
      <c r="N39" s="140"/>
      <c r="O39" s="141"/>
      <c r="P39" s="142"/>
      <c r="Q39" s="142"/>
      <c r="R39" s="142"/>
      <c r="T39" s="140"/>
      <c r="U39" s="141"/>
      <c r="V39" s="142"/>
      <c r="W39" s="142"/>
      <c r="X39" s="142"/>
      <c r="Z39" s="140"/>
      <c r="AA39" s="141"/>
      <c r="AB39" s="142"/>
      <c r="AC39" s="142"/>
      <c r="AD39" s="142"/>
      <c r="AF39" s="140"/>
      <c r="AG39" s="141"/>
      <c r="AH39" s="142"/>
      <c r="AI39" s="142"/>
      <c r="AJ39" s="142"/>
      <c r="AL39" s="140"/>
      <c r="AM39" s="141"/>
      <c r="AN39" s="142"/>
      <c r="AO39" s="142"/>
      <c r="AP39" s="142"/>
    </row>
    <row r="40" spans="2:42" x14ac:dyDescent="0.2">
      <c r="B40" s="140"/>
      <c r="C40" s="154">
        <v>1</v>
      </c>
      <c r="D40" s="142">
        <f t="shared" ref="D40:D49" si="35">D12+J12+P12+V12+AB12+AH12+AN12</f>
        <v>4975</v>
      </c>
      <c r="E40" s="155">
        <f t="shared" ref="E40:E49" si="36">E12+K12+Q12+W12+AC12+AI12+AO12</f>
        <v>6110.4843232559124</v>
      </c>
      <c r="F40" s="142"/>
      <c r="H40" s="140"/>
      <c r="I40" s="141"/>
      <c r="J40" s="142"/>
      <c r="K40" s="142"/>
      <c r="L40" s="142"/>
      <c r="N40" s="140"/>
      <c r="O40" s="141"/>
      <c r="P40" s="142"/>
      <c r="Q40" s="142"/>
      <c r="R40" s="142"/>
      <c r="T40" s="140"/>
      <c r="U40" s="141"/>
      <c r="V40" s="142"/>
      <c r="W40" s="142"/>
      <c r="X40" s="142"/>
      <c r="Z40" s="140"/>
      <c r="AA40" s="141"/>
      <c r="AB40" s="142"/>
      <c r="AC40" s="142"/>
      <c r="AD40" s="142"/>
      <c r="AF40" s="140"/>
      <c r="AG40" s="141"/>
      <c r="AH40" s="142"/>
      <c r="AI40" s="142"/>
      <c r="AJ40" s="142"/>
      <c r="AL40" s="140"/>
      <c r="AM40" s="141"/>
      <c r="AN40" s="142"/>
      <c r="AO40" s="142"/>
      <c r="AP40" s="142"/>
    </row>
    <row r="41" spans="2:42" x14ac:dyDescent="0.2">
      <c r="B41" s="140"/>
      <c r="C41" s="154">
        <v>2</v>
      </c>
      <c r="D41" s="142">
        <f t="shared" si="35"/>
        <v>4630.7679951278697</v>
      </c>
      <c r="E41" s="155">
        <f t="shared" si="36"/>
        <v>6454.7163281280427</v>
      </c>
      <c r="F41" s="142"/>
      <c r="H41" s="140"/>
      <c r="I41" s="141"/>
      <c r="J41" s="142"/>
      <c r="K41" s="142"/>
      <c r="L41" s="142"/>
      <c r="N41" s="140"/>
      <c r="O41" s="141"/>
      <c r="P41" s="142"/>
      <c r="Q41" s="142"/>
      <c r="R41" s="142"/>
      <c r="T41" s="140"/>
      <c r="U41" s="141"/>
      <c r="V41" s="142"/>
      <c r="W41" s="142"/>
      <c r="X41" s="142"/>
      <c r="Z41" s="140"/>
      <c r="AA41" s="141"/>
      <c r="AB41" s="142"/>
      <c r="AC41" s="142"/>
      <c r="AD41" s="142"/>
      <c r="AF41" s="140"/>
      <c r="AG41" s="141"/>
      <c r="AH41" s="142"/>
      <c r="AI41" s="142"/>
      <c r="AJ41" s="142"/>
      <c r="AL41" s="140"/>
      <c r="AM41" s="141"/>
      <c r="AN41" s="142"/>
      <c r="AO41" s="142"/>
      <c r="AP41" s="142"/>
    </row>
    <row r="42" spans="2:42" x14ac:dyDescent="0.2">
      <c r="B42" s="140"/>
      <c r="C42" s="154">
        <v>3</v>
      </c>
      <c r="D42" s="142">
        <f t="shared" si="35"/>
        <v>4267.113907962188</v>
      </c>
      <c r="E42" s="155">
        <f t="shared" si="36"/>
        <v>6818.3704152937235</v>
      </c>
      <c r="F42" s="142"/>
      <c r="H42" s="140"/>
      <c r="I42" s="141"/>
      <c r="J42" s="142"/>
      <c r="K42" s="142"/>
      <c r="L42" s="142"/>
      <c r="N42" s="140"/>
      <c r="O42" s="141"/>
      <c r="P42" s="142"/>
      <c r="Q42" s="142"/>
      <c r="R42" s="142"/>
      <c r="T42" s="140"/>
      <c r="U42" s="141"/>
      <c r="V42" s="142"/>
      <c r="W42" s="142"/>
      <c r="X42" s="142"/>
      <c r="Z42" s="140"/>
      <c r="AA42" s="141"/>
      <c r="AB42" s="142"/>
      <c r="AC42" s="142"/>
      <c r="AD42" s="142"/>
      <c r="AF42" s="140"/>
      <c r="AG42" s="141"/>
      <c r="AH42" s="142"/>
      <c r="AI42" s="142"/>
      <c r="AJ42" s="142"/>
      <c r="AL42" s="140"/>
      <c r="AM42" s="141"/>
      <c r="AN42" s="142"/>
      <c r="AO42" s="142"/>
      <c r="AP42" s="142"/>
    </row>
    <row r="43" spans="2:42" x14ac:dyDescent="0.2">
      <c r="B43" s="140"/>
      <c r="C43" s="154">
        <v>4</v>
      </c>
      <c r="D43" s="142">
        <f t="shared" si="35"/>
        <v>3882.9401646552769</v>
      </c>
      <c r="E43" s="155">
        <f t="shared" si="36"/>
        <v>7202.5441586006355</v>
      </c>
      <c r="F43" s="142"/>
      <c r="H43" s="140"/>
      <c r="I43" s="141"/>
      <c r="J43" s="142"/>
      <c r="K43" s="142"/>
      <c r="L43" s="142"/>
      <c r="N43" s="140"/>
      <c r="O43" s="141"/>
      <c r="P43" s="142"/>
      <c r="Q43" s="142"/>
      <c r="R43" s="142"/>
      <c r="T43" s="140"/>
      <c r="U43" s="141"/>
      <c r="V43" s="142"/>
      <c r="W43" s="142"/>
      <c r="X43" s="142"/>
      <c r="Z43" s="140"/>
      <c r="AA43" s="141"/>
      <c r="AB43" s="142"/>
      <c r="AC43" s="142"/>
      <c r="AD43" s="142"/>
      <c r="AF43" s="140"/>
      <c r="AG43" s="141"/>
      <c r="AH43" s="142"/>
      <c r="AI43" s="142"/>
      <c r="AJ43" s="142"/>
      <c r="AL43" s="140"/>
      <c r="AM43" s="141"/>
      <c r="AN43" s="142"/>
      <c r="AO43" s="142"/>
      <c r="AP43" s="142"/>
    </row>
    <row r="44" spans="2:42" x14ac:dyDescent="0.2">
      <c r="B44" s="140"/>
      <c r="C44" s="154">
        <v>5</v>
      </c>
      <c r="D44" s="142">
        <f t="shared" si="35"/>
        <v>3477.087063238539</v>
      </c>
      <c r="E44" s="155">
        <f t="shared" si="36"/>
        <v>7608.3972600173729</v>
      </c>
      <c r="F44" s="142"/>
      <c r="H44" s="140"/>
      <c r="I44" s="141"/>
      <c r="J44" s="142"/>
      <c r="K44" s="142"/>
      <c r="L44" s="142"/>
      <c r="N44" s="140"/>
      <c r="O44" s="141"/>
      <c r="P44" s="142"/>
      <c r="Q44" s="142"/>
      <c r="R44" s="142"/>
      <c r="T44" s="140"/>
      <c r="U44" s="141"/>
      <c r="V44" s="142"/>
      <c r="W44" s="142"/>
      <c r="X44" s="142"/>
      <c r="Z44" s="140"/>
      <c r="AA44" s="141"/>
      <c r="AB44" s="142"/>
      <c r="AC44" s="142"/>
      <c r="AD44" s="142"/>
      <c r="AF44" s="140"/>
      <c r="AG44" s="141"/>
      <c r="AH44" s="142"/>
      <c r="AI44" s="142"/>
      <c r="AJ44" s="142"/>
      <c r="AL44" s="140"/>
      <c r="AM44" s="141"/>
      <c r="AN44" s="142"/>
      <c r="AO44" s="142"/>
      <c r="AP44" s="142"/>
    </row>
    <row r="45" spans="2:42" x14ac:dyDescent="0.2">
      <c r="B45" s="140"/>
      <c r="C45" s="154">
        <v>6</v>
      </c>
      <c r="D45" s="142">
        <f t="shared" si="35"/>
        <v>3048.3292508822592</v>
      </c>
      <c r="E45" s="155">
        <f t="shared" si="36"/>
        <v>2182.7441677288275</v>
      </c>
      <c r="F45" s="142"/>
      <c r="H45" s="140"/>
      <c r="I45" s="141"/>
      <c r="J45" s="142"/>
      <c r="K45" s="142"/>
      <c r="L45" s="142"/>
      <c r="N45" s="140"/>
      <c r="O45" s="141"/>
      <c r="P45" s="142"/>
      <c r="Q45" s="142"/>
      <c r="R45" s="142"/>
      <c r="T45" s="140"/>
      <c r="U45" s="141"/>
      <c r="V45" s="142"/>
      <c r="W45" s="142"/>
      <c r="X45" s="142"/>
      <c r="Z45" s="140"/>
      <c r="AA45" s="141"/>
      <c r="AB45" s="142"/>
      <c r="AC45" s="142"/>
      <c r="AD45" s="142"/>
      <c r="AF45" s="140"/>
      <c r="AG45" s="141"/>
      <c r="AH45" s="142"/>
      <c r="AI45" s="142"/>
      <c r="AJ45" s="142"/>
      <c r="AL45" s="140"/>
      <c r="AM45" s="141"/>
      <c r="AN45" s="142"/>
      <c r="AO45" s="142"/>
      <c r="AP45" s="142"/>
    </row>
    <row r="46" spans="2:42" x14ac:dyDescent="0.2">
      <c r="B46" s="140"/>
      <c r="C46" s="154">
        <v>7</v>
      </c>
      <c r="D46" s="142">
        <f t="shared" si="35"/>
        <v>2917.3646008185292</v>
      </c>
      <c r="E46" s="155">
        <f t="shared" si="36"/>
        <v>2313.7088177925575</v>
      </c>
      <c r="F46" s="142"/>
      <c r="H46" s="140"/>
      <c r="I46" s="141"/>
      <c r="J46" s="142"/>
      <c r="K46" s="142"/>
      <c r="L46" s="142"/>
      <c r="N46" s="140"/>
      <c r="O46" s="141"/>
      <c r="P46" s="142"/>
      <c r="Q46" s="142"/>
      <c r="R46" s="142"/>
      <c r="T46" s="140"/>
      <c r="U46" s="141"/>
      <c r="V46" s="142"/>
      <c r="W46" s="142"/>
      <c r="X46" s="142"/>
      <c r="Z46" s="140"/>
      <c r="AA46" s="141"/>
      <c r="AB46" s="142"/>
      <c r="AC46" s="142"/>
      <c r="AD46" s="142"/>
      <c r="AF46" s="140"/>
      <c r="AG46" s="141"/>
      <c r="AH46" s="142"/>
      <c r="AI46" s="142"/>
      <c r="AJ46" s="142"/>
      <c r="AL46" s="140"/>
      <c r="AM46" s="141"/>
      <c r="AN46" s="142"/>
      <c r="AO46" s="142"/>
      <c r="AP46" s="142"/>
    </row>
    <row r="47" spans="2:42" x14ac:dyDescent="0.2">
      <c r="B47" s="140"/>
      <c r="C47" s="154">
        <v>8</v>
      </c>
      <c r="D47" s="142">
        <f t="shared" si="35"/>
        <v>2778.542071750976</v>
      </c>
      <c r="E47" s="155">
        <f t="shared" si="36"/>
        <v>2452.5313468601107</v>
      </c>
      <c r="F47" s="142"/>
      <c r="H47" s="140"/>
      <c r="I47" s="141"/>
      <c r="J47" s="142"/>
      <c r="K47" s="142"/>
      <c r="L47" s="142"/>
      <c r="N47" s="140"/>
      <c r="O47" s="141"/>
      <c r="P47" s="142"/>
      <c r="Q47" s="142"/>
      <c r="R47" s="142"/>
      <c r="T47" s="140"/>
      <c r="U47" s="141"/>
      <c r="V47" s="142"/>
      <c r="W47" s="142"/>
      <c r="X47" s="142"/>
      <c r="Z47" s="140"/>
      <c r="AA47" s="141"/>
      <c r="AB47" s="142"/>
      <c r="AC47" s="142"/>
      <c r="AD47" s="142"/>
      <c r="AF47" s="140"/>
      <c r="AG47" s="141"/>
      <c r="AH47" s="142"/>
      <c r="AI47" s="142"/>
      <c r="AJ47" s="142"/>
      <c r="AL47" s="140"/>
      <c r="AM47" s="141"/>
      <c r="AN47" s="142"/>
      <c r="AO47" s="142"/>
      <c r="AP47" s="142"/>
    </row>
    <row r="48" spans="2:42" x14ac:dyDescent="0.2">
      <c r="B48" s="140"/>
      <c r="C48" s="154">
        <v>9</v>
      </c>
      <c r="D48" s="142">
        <f t="shared" si="35"/>
        <v>2631.3901909393694</v>
      </c>
      <c r="E48" s="155">
        <f t="shared" si="36"/>
        <v>2599.6832276717173</v>
      </c>
      <c r="F48" s="142"/>
      <c r="H48" s="140"/>
      <c r="I48" s="141"/>
      <c r="J48" s="142"/>
      <c r="K48" s="142"/>
      <c r="L48" s="142"/>
      <c r="N48" s="140"/>
      <c r="O48" s="141"/>
      <c r="P48" s="142"/>
      <c r="Q48" s="142"/>
      <c r="R48" s="142"/>
      <c r="T48" s="140"/>
      <c r="U48" s="141"/>
      <c r="V48" s="142"/>
      <c r="W48" s="142"/>
      <c r="X48" s="142"/>
      <c r="Z48" s="140"/>
      <c r="AA48" s="141"/>
      <c r="AB48" s="142"/>
      <c r="AC48" s="142"/>
      <c r="AD48" s="142"/>
      <c r="AF48" s="140"/>
      <c r="AG48" s="141"/>
      <c r="AH48" s="142"/>
      <c r="AI48" s="142"/>
      <c r="AJ48" s="142"/>
      <c r="AL48" s="140"/>
      <c r="AM48" s="141"/>
      <c r="AN48" s="142"/>
      <c r="AO48" s="142"/>
      <c r="AP48" s="142"/>
    </row>
    <row r="49" spans="2:42" x14ac:dyDescent="0.2">
      <c r="B49" s="140"/>
      <c r="C49" s="156">
        <v>10</v>
      </c>
      <c r="D49" s="157">
        <f t="shared" si="35"/>
        <v>2475.4091972790666</v>
      </c>
      <c r="E49" s="158">
        <f t="shared" si="36"/>
        <v>2755.6642213320201</v>
      </c>
      <c r="F49" s="142"/>
      <c r="H49" s="140"/>
      <c r="I49" s="141"/>
      <c r="J49" s="142"/>
      <c r="K49" s="142"/>
      <c r="L49" s="142"/>
      <c r="N49" s="140"/>
      <c r="O49" s="141"/>
      <c r="P49" s="142"/>
      <c r="Q49" s="142"/>
      <c r="R49" s="142"/>
      <c r="T49" s="140"/>
      <c r="U49" s="141"/>
      <c r="V49" s="142"/>
      <c r="W49" s="142"/>
      <c r="X49" s="142"/>
      <c r="Z49" s="140"/>
      <c r="AA49" s="141"/>
      <c r="AB49" s="142"/>
      <c r="AC49" s="142"/>
      <c r="AD49" s="142"/>
      <c r="AF49" s="140"/>
      <c r="AG49" s="141"/>
      <c r="AH49" s="142"/>
      <c r="AI49" s="142"/>
      <c r="AJ49" s="142"/>
      <c r="AL49" s="140"/>
      <c r="AM49" s="141"/>
      <c r="AN49" s="142"/>
      <c r="AO49" s="142"/>
      <c r="AP49" s="142"/>
    </row>
    <row r="50" spans="2:42" x14ac:dyDescent="0.2">
      <c r="B50" s="140"/>
      <c r="C50" s="141"/>
      <c r="D50" s="142"/>
      <c r="E50" s="142"/>
      <c r="F50" s="142"/>
      <c r="H50" s="140"/>
      <c r="I50" s="141"/>
      <c r="J50" s="142"/>
      <c r="K50" s="142"/>
      <c r="L50" s="142"/>
      <c r="N50" s="140"/>
      <c r="O50" s="141"/>
      <c r="P50" s="142"/>
      <c r="Q50" s="142"/>
      <c r="R50" s="142"/>
      <c r="T50" s="140"/>
      <c r="U50" s="141"/>
      <c r="V50" s="142"/>
      <c r="W50" s="142"/>
      <c r="X50" s="142"/>
      <c r="Z50" s="140"/>
      <c r="AA50" s="141"/>
      <c r="AB50" s="142"/>
      <c r="AC50" s="142"/>
      <c r="AD50" s="142"/>
      <c r="AF50" s="140"/>
      <c r="AG50" s="141"/>
      <c r="AH50" s="142"/>
      <c r="AI50" s="142"/>
      <c r="AJ50" s="142"/>
      <c r="AL50" s="140"/>
      <c r="AM50" s="141"/>
      <c r="AN50" s="142"/>
      <c r="AO50" s="142"/>
      <c r="AP50" s="142"/>
    </row>
    <row r="51" spans="2:42" x14ac:dyDescent="0.2">
      <c r="B51" s="140"/>
      <c r="C51" s="141"/>
      <c r="D51" s="142"/>
      <c r="E51" s="142"/>
      <c r="F51" s="142"/>
      <c r="H51" s="140"/>
      <c r="I51" s="141"/>
      <c r="J51" s="142"/>
      <c r="K51" s="142"/>
      <c r="L51" s="142"/>
      <c r="N51" s="140"/>
      <c r="O51" s="141"/>
      <c r="P51" s="142"/>
      <c r="Q51" s="142"/>
      <c r="R51" s="142"/>
      <c r="T51" s="140"/>
      <c r="U51" s="141"/>
      <c r="V51" s="142"/>
      <c r="W51" s="142"/>
      <c r="X51" s="142"/>
      <c r="Z51" s="140"/>
      <c r="AA51" s="141"/>
      <c r="AB51" s="142"/>
      <c r="AC51" s="142"/>
      <c r="AD51" s="142"/>
      <c r="AF51" s="140"/>
      <c r="AG51" s="141"/>
      <c r="AH51" s="142"/>
      <c r="AI51" s="142"/>
      <c r="AJ51" s="142"/>
      <c r="AL51" s="140"/>
      <c r="AM51" s="141"/>
      <c r="AN51" s="142"/>
      <c r="AO51" s="142"/>
      <c r="AP51" s="142"/>
    </row>
    <row r="52" spans="2:42" x14ac:dyDescent="0.2">
      <c r="B52" s="140"/>
      <c r="C52" s="141"/>
      <c r="D52" s="142"/>
      <c r="E52" s="142"/>
      <c r="F52" s="142"/>
      <c r="H52" s="140"/>
      <c r="I52" s="141"/>
      <c r="J52" s="142"/>
      <c r="K52" s="142"/>
      <c r="L52" s="142"/>
      <c r="N52" s="140"/>
      <c r="O52" s="141"/>
      <c r="P52" s="142"/>
      <c r="Q52" s="142"/>
      <c r="R52" s="142"/>
      <c r="T52" s="140"/>
      <c r="U52" s="141"/>
      <c r="V52" s="142"/>
      <c r="W52" s="142"/>
      <c r="X52" s="142"/>
      <c r="Z52" s="140"/>
      <c r="AA52" s="141"/>
      <c r="AB52" s="142"/>
      <c r="AC52" s="142"/>
      <c r="AD52" s="142"/>
      <c r="AF52" s="140"/>
      <c r="AG52" s="141"/>
      <c r="AH52" s="142"/>
      <c r="AI52" s="142"/>
      <c r="AJ52" s="142"/>
      <c r="AL52" s="140"/>
      <c r="AM52" s="141"/>
      <c r="AN52" s="142"/>
      <c r="AO52" s="142"/>
      <c r="AP52" s="142"/>
    </row>
    <row r="53" spans="2:42" x14ac:dyDescent="0.2">
      <c r="B53" s="140"/>
      <c r="C53" s="141"/>
      <c r="D53" s="142"/>
      <c r="E53" s="142"/>
      <c r="F53" s="142"/>
      <c r="H53" s="140"/>
      <c r="I53" s="141"/>
      <c r="J53" s="142"/>
      <c r="K53" s="142"/>
      <c r="L53" s="142"/>
      <c r="N53" s="140"/>
      <c r="O53" s="141"/>
      <c r="P53" s="142"/>
      <c r="Q53" s="142"/>
      <c r="R53" s="142"/>
      <c r="T53" s="140"/>
      <c r="U53" s="141"/>
      <c r="V53" s="142"/>
      <c r="W53" s="142"/>
      <c r="X53" s="142"/>
      <c r="Z53" s="140"/>
      <c r="AA53" s="141"/>
      <c r="AB53" s="142"/>
      <c r="AC53" s="142"/>
      <c r="AD53" s="142"/>
      <c r="AF53" s="140"/>
      <c r="AG53" s="141"/>
      <c r="AH53" s="142"/>
      <c r="AI53" s="142"/>
      <c r="AJ53" s="142"/>
      <c r="AL53" s="140"/>
      <c r="AM53" s="141"/>
      <c r="AN53" s="142"/>
      <c r="AO53" s="142"/>
      <c r="AP53" s="142"/>
    </row>
    <row r="54" spans="2:42" x14ac:dyDescent="0.2">
      <c r="B54" s="140"/>
      <c r="C54" s="141"/>
      <c r="D54" s="142"/>
      <c r="E54" s="142"/>
      <c r="F54" s="142"/>
      <c r="H54" s="140"/>
      <c r="I54" s="141"/>
      <c r="J54" s="142"/>
      <c r="K54" s="142"/>
      <c r="L54" s="142"/>
      <c r="N54" s="140"/>
      <c r="O54" s="141"/>
      <c r="P54" s="142"/>
      <c r="Q54" s="142"/>
      <c r="R54" s="142"/>
      <c r="T54" s="140"/>
      <c r="U54" s="141"/>
      <c r="V54" s="142"/>
      <c r="W54" s="142"/>
      <c r="X54" s="142"/>
      <c r="Z54" s="140"/>
      <c r="AA54" s="141"/>
      <c r="AB54" s="142"/>
      <c r="AC54" s="142"/>
      <c r="AD54" s="142"/>
      <c r="AF54" s="140"/>
      <c r="AG54" s="141"/>
      <c r="AH54" s="142"/>
      <c r="AI54" s="142"/>
      <c r="AJ54" s="142"/>
      <c r="AL54" s="140"/>
      <c r="AM54" s="141"/>
      <c r="AN54" s="142"/>
      <c r="AO54" s="142"/>
      <c r="AP54" s="142"/>
    </row>
    <row r="55" spans="2:42" x14ac:dyDescent="0.2">
      <c r="B55" s="140"/>
      <c r="C55" s="141"/>
      <c r="D55" s="142"/>
      <c r="E55" s="142"/>
      <c r="F55" s="142"/>
      <c r="H55" s="140"/>
      <c r="I55" s="141"/>
      <c r="J55" s="142"/>
      <c r="K55" s="142"/>
      <c r="L55" s="142"/>
      <c r="N55" s="140"/>
      <c r="O55" s="141"/>
      <c r="P55" s="142"/>
      <c r="Q55" s="142"/>
      <c r="R55" s="142"/>
      <c r="T55" s="140"/>
      <c r="U55" s="141"/>
      <c r="V55" s="142"/>
      <c r="W55" s="142"/>
      <c r="X55" s="142"/>
      <c r="Z55" s="140"/>
      <c r="AA55" s="141"/>
      <c r="AB55" s="142"/>
      <c r="AC55" s="142"/>
      <c r="AD55" s="142"/>
      <c r="AF55" s="140"/>
      <c r="AG55" s="141"/>
      <c r="AH55" s="142"/>
      <c r="AI55" s="142"/>
      <c r="AJ55" s="142"/>
      <c r="AL55" s="140"/>
      <c r="AM55" s="141"/>
      <c r="AN55" s="142"/>
      <c r="AO55" s="142"/>
      <c r="AP55" s="142"/>
    </row>
    <row r="56" spans="2:42" x14ac:dyDescent="0.2">
      <c r="B56" s="140"/>
      <c r="C56" s="141"/>
      <c r="D56" s="142"/>
      <c r="E56" s="142"/>
      <c r="F56" s="142"/>
      <c r="H56" s="140"/>
      <c r="I56" s="141"/>
      <c r="J56" s="142"/>
      <c r="K56" s="142"/>
      <c r="L56" s="142"/>
      <c r="N56" s="140"/>
      <c r="O56" s="141"/>
      <c r="P56" s="142"/>
      <c r="Q56" s="142"/>
      <c r="R56" s="142"/>
      <c r="T56" s="140"/>
      <c r="U56" s="141"/>
      <c r="V56" s="142"/>
      <c r="W56" s="142"/>
      <c r="X56" s="142"/>
      <c r="Z56" s="140"/>
      <c r="AA56" s="141"/>
      <c r="AB56" s="142"/>
      <c r="AC56" s="142"/>
      <c r="AD56" s="142"/>
      <c r="AF56" s="140"/>
      <c r="AG56" s="141"/>
      <c r="AH56" s="142"/>
      <c r="AI56" s="142"/>
      <c r="AJ56" s="142"/>
      <c r="AL56" s="140"/>
      <c r="AM56" s="141"/>
      <c r="AN56" s="142"/>
      <c r="AO56" s="142"/>
      <c r="AP56" s="142"/>
    </row>
    <row r="57" spans="2:42" x14ac:dyDescent="0.2">
      <c r="B57" s="140"/>
      <c r="C57" s="141"/>
      <c r="D57" s="142"/>
      <c r="E57" s="142"/>
      <c r="F57" s="142"/>
      <c r="H57" s="140"/>
      <c r="I57" s="141"/>
      <c r="J57" s="142"/>
      <c r="K57" s="142"/>
      <c r="L57" s="142"/>
      <c r="N57" s="140"/>
      <c r="O57" s="141"/>
      <c r="P57" s="142"/>
      <c r="Q57" s="142"/>
      <c r="R57" s="142"/>
      <c r="T57" s="140"/>
      <c r="U57" s="141"/>
      <c r="V57" s="142"/>
      <c r="W57" s="142"/>
      <c r="X57" s="142"/>
      <c r="Z57" s="140"/>
      <c r="AA57" s="141"/>
      <c r="AB57" s="142"/>
      <c r="AC57" s="142"/>
      <c r="AD57" s="142"/>
      <c r="AF57" s="140"/>
      <c r="AG57" s="141"/>
      <c r="AH57" s="142"/>
      <c r="AI57" s="142"/>
      <c r="AJ57" s="142"/>
      <c r="AL57" s="140"/>
      <c r="AM57" s="141"/>
      <c r="AN57" s="142"/>
      <c r="AO57" s="142"/>
      <c r="AP57" s="142"/>
    </row>
    <row r="58" spans="2:42" x14ac:dyDescent="0.2">
      <c r="B58" s="140"/>
      <c r="C58" s="141"/>
      <c r="D58" s="142"/>
      <c r="E58" s="142"/>
      <c r="F58" s="142"/>
      <c r="H58" s="140"/>
      <c r="I58" s="141"/>
      <c r="J58" s="142"/>
      <c r="K58" s="142"/>
      <c r="L58" s="142"/>
      <c r="N58" s="140"/>
      <c r="O58" s="141"/>
      <c r="P58" s="142"/>
      <c r="Q58" s="142"/>
      <c r="R58" s="142"/>
      <c r="T58" s="140"/>
      <c r="U58" s="141"/>
      <c r="V58" s="142"/>
      <c r="W58" s="142"/>
      <c r="X58" s="142"/>
      <c r="Z58" s="140"/>
      <c r="AA58" s="141"/>
      <c r="AB58" s="142"/>
      <c r="AC58" s="142"/>
      <c r="AD58" s="142"/>
      <c r="AF58" s="140"/>
      <c r="AG58" s="141"/>
      <c r="AH58" s="142"/>
      <c r="AI58" s="142"/>
      <c r="AJ58" s="142"/>
      <c r="AL58" s="140"/>
      <c r="AM58" s="141"/>
      <c r="AN58" s="142"/>
      <c r="AO58" s="142"/>
      <c r="AP58" s="142"/>
    </row>
    <row r="59" spans="2:42" x14ac:dyDescent="0.2">
      <c r="B59" s="140"/>
      <c r="C59" s="141"/>
      <c r="D59" s="142"/>
      <c r="E59" s="142"/>
      <c r="F59" s="142"/>
      <c r="H59" s="140"/>
      <c r="I59" s="141"/>
      <c r="J59" s="142"/>
      <c r="K59" s="142"/>
      <c r="L59" s="142"/>
      <c r="N59" s="140"/>
      <c r="O59" s="141"/>
      <c r="P59" s="142"/>
      <c r="Q59" s="142"/>
      <c r="R59" s="142"/>
      <c r="T59" s="140"/>
      <c r="U59" s="141"/>
      <c r="V59" s="142"/>
      <c r="W59" s="142"/>
      <c r="X59" s="142"/>
      <c r="Z59" s="140"/>
      <c r="AA59" s="141"/>
      <c r="AB59" s="142"/>
      <c r="AC59" s="142"/>
      <c r="AD59" s="142"/>
      <c r="AF59" s="140"/>
      <c r="AG59" s="141"/>
      <c r="AH59" s="142"/>
      <c r="AI59" s="142"/>
      <c r="AJ59" s="142"/>
      <c r="AL59" s="140"/>
      <c r="AM59" s="141"/>
      <c r="AN59" s="142"/>
      <c r="AO59" s="142"/>
      <c r="AP59" s="142"/>
    </row>
    <row r="60" spans="2:42" x14ac:dyDescent="0.2">
      <c r="B60" s="140"/>
      <c r="C60" s="141"/>
      <c r="D60" s="142"/>
      <c r="E60" s="142"/>
      <c r="F60" s="142"/>
      <c r="H60" s="140"/>
      <c r="I60" s="141"/>
      <c r="J60" s="142"/>
      <c r="K60" s="142"/>
      <c r="L60" s="142"/>
      <c r="N60" s="140"/>
      <c r="O60" s="141"/>
      <c r="P60" s="142"/>
      <c r="Q60" s="142"/>
      <c r="R60" s="142"/>
      <c r="T60" s="140"/>
      <c r="U60" s="141"/>
      <c r="V60" s="142"/>
      <c r="W60" s="142"/>
      <c r="X60" s="142"/>
      <c r="Z60" s="140"/>
      <c r="AA60" s="141"/>
      <c r="AB60" s="142"/>
      <c r="AC60" s="142"/>
      <c r="AD60" s="142"/>
      <c r="AF60" s="140"/>
      <c r="AG60" s="141"/>
      <c r="AH60" s="142"/>
      <c r="AI60" s="142"/>
      <c r="AJ60" s="142"/>
      <c r="AL60" s="140"/>
      <c r="AM60" s="141"/>
      <c r="AN60" s="142"/>
      <c r="AO60" s="142"/>
      <c r="AP60" s="142"/>
    </row>
    <row r="61" spans="2:42" x14ac:dyDescent="0.2">
      <c r="B61" s="140"/>
      <c r="C61" s="141"/>
      <c r="D61" s="142"/>
      <c r="E61" s="142"/>
      <c r="F61" s="142"/>
      <c r="H61" s="140"/>
      <c r="I61" s="141"/>
      <c r="J61" s="142"/>
      <c r="K61" s="142"/>
      <c r="L61" s="142"/>
      <c r="N61" s="140"/>
      <c r="O61" s="141"/>
      <c r="P61" s="142"/>
      <c r="Q61" s="142"/>
      <c r="R61" s="142"/>
      <c r="T61" s="140"/>
      <c r="U61" s="141"/>
      <c r="V61" s="142"/>
      <c r="W61" s="142"/>
      <c r="X61" s="142"/>
      <c r="Z61" s="140"/>
      <c r="AA61" s="141"/>
      <c r="AB61" s="142"/>
      <c r="AC61" s="142"/>
      <c r="AD61" s="142"/>
      <c r="AF61" s="140"/>
      <c r="AG61" s="141"/>
      <c r="AH61" s="142"/>
      <c r="AI61" s="142"/>
      <c r="AJ61" s="142"/>
      <c r="AL61" s="140"/>
      <c r="AM61" s="141"/>
      <c r="AN61" s="142"/>
      <c r="AO61" s="142"/>
      <c r="AP61" s="142"/>
    </row>
    <row r="62" spans="2:42" x14ac:dyDescent="0.2">
      <c r="B62" s="140"/>
      <c r="C62" s="141"/>
      <c r="D62" s="142"/>
      <c r="E62" s="142"/>
      <c r="F62" s="142"/>
      <c r="H62" s="140"/>
      <c r="I62" s="141"/>
      <c r="J62" s="142"/>
      <c r="K62" s="142"/>
      <c r="L62" s="142"/>
      <c r="N62" s="140"/>
      <c r="O62" s="141"/>
      <c r="P62" s="142"/>
      <c r="Q62" s="142"/>
      <c r="R62" s="142"/>
      <c r="T62" s="140"/>
      <c r="U62" s="141"/>
      <c r="V62" s="142"/>
      <c r="W62" s="142"/>
      <c r="X62" s="142"/>
      <c r="Z62" s="140"/>
      <c r="AA62" s="141"/>
      <c r="AB62" s="142"/>
      <c r="AC62" s="142"/>
      <c r="AD62" s="142"/>
      <c r="AF62" s="140"/>
      <c r="AG62" s="141"/>
      <c r="AH62" s="142"/>
      <c r="AI62" s="142"/>
      <c r="AJ62" s="142"/>
      <c r="AL62" s="140"/>
      <c r="AM62" s="141"/>
      <c r="AN62" s="142"/>
      <c r="AO62" s="142"/>
      <c r="AP62" s="142"/>
    </row>
    <row r="63" spans="2:42" x14ac:dyDescent="0.2">
      <c r="B63" s="140"/>
      <c r="C63" s="141"/>
      <c r="D63" s="142"/>
      <c r="E63" s="142"/>
      <c r="F63" s="142"/>
      <c r="H63" s="140"/>
      <c r="I63" s="141"/>
      <c r="J63" s="142"/>
      <c r="K63" s="142"/>
      <c r="L63" s="142"/>
      <c r="N63" s="140"/>
      <c r="O63" s="141"/>
      <c r="P63" s="142"/>
      <c r="Q63" s="142"/>
      <c r="R63" s="142"/>
      <c r="T63" s="140"/>
      <c r="U63" s="141"/>
      <c r="V63" s="142"/>
      <c r="W63" s="142"/>
      <c r="X63" s="142"/>
      <c r="Z63" s="140"/>
      <c r="AA63" s="141"/>
      <c r="AB63" s="142"/>
      <c r="AC63" s="142"/>
      <c r="AD63" s="142"/>
      <c r="AF63" s="140"/>
      <c r="AG63" s="141"/>
      <c r="AH63" s="142"/>
      <c r="AI63" s="142"/>
      <c r="AJ63" s="142"/>
      <c r="AL63" s="140"/>
      <c r="AM63" s="141"/>
      <c r="AN63" s="142"/>
      <c r="AO63" s="142"/>
      <c r="AP63" s="142"/>
    </row>
    <row r="64" spans="2:42" x14ac:dyDescent="0.2">
      <c r="B64" s="140"/>
      <c r="C64" s="141"/>
      <c r="D64" s="142"/>
      <c r="E64" s="142"/>
      <c r="F64" s="142"/>
      <c r="H64" s="140"/>
      <c r="I64" s="141"/>
      <c r="J64" s="142"/>
      <c r="K64" s="142"/>
      <c r="L64" s="142"/>
      <c r="N64" s="140"/>
      <c r="O64" s="141"/>
      <c r="P64" s="142"/>
      <c r="Q64" s="142"/>
      <c r="R64" s="142"/>
      <c r="T64" s="140"/>
      <c r="U64" s="141"/>
      <c r="V64" s="142"/>
      <c r="W64" s="142"/>
      <c r="X64" s="142"/>
      <c r="Z64" s="140"/>
      <c r="AA64" s="141"/>
      <c r="AB64" s="142"/>
      <c r="AC64" s="142"/>
      <c r="AD64" s="142"/>
      <c r="AF64" s="140"/>
      <c r="AG64" s="141"/>
      <c r="AH64" s="142"/>
      <c r="AI64" s="142"/>
      <c r="AJ64" s="142"/>
      <c r="AL64" s="140"/>
      <c r="AM64" s="141"/>
      <c r="AN64" s="142"/>
      <c r="AO64" s="142"/>
      <c r="AP64" s="142"/>
    </row>
    <row r="65" spans="2:42" x14ac:dyDescent="0.2">
      <c r="B65" s="140"/>
      <c r="C65" s="141"/>
      <c r="D65" s="142"/>
      <c r="E65" s="142"/>
      <c r="F65" s="142"/>
      <c r="H65" s="140"/>
      <c r="I65" s="141"/>
      <c r="J65" s="142"/>
      <c r="K65" s="142"/>
      <c r="L65" s="142"/>
      <c r="N65" s="140"/>
      <c r="O65" s="141"/>
      <c r="P65" s="142"/>
      <c r="Q65" s="142"/>
      <c r="R65" s="142"/>
      <c r="T65" s="140"/>
      <c r="U65" s="141"/>
      <c r="V65" s="142"/>
      <c r="W65" s="142"/>
      <c r="X65" s="142"/>
      <c r="Z65" s="140"/>
      <c r="AA65" s="141"/>
      <c r="AB65" s="142"/>
      <c r="AC65" s="142"/>
      <c r="AD65" s="142"/>
      <c r="AF65" s="140"/>
      <c r="AG65" s="141"/>
      <c r="AH65" s="142"/>
      <c r="AI65" s="142"/>
      <c r="AJ65" s="142"/>
      <c r="AL65" s="140"/>
      <c r="AM65" s="141"/>
      <c r="AN65" s="142"/>
      <c r="AO65" s="142"/>
      <c r="AP65" s="142"/>
    </row>
    <row r="66" spans="2:42" x14ac:dyDescent="0.2">
      <c r="B66" s="140"/>
      <c r="C66" s="141"/>
      <c r="D66" s="142"/>
      <c r="E66" s="142"/>
      <c r="F66" s="142"/>
      <c r="H66" s="140"/>
      <c r="I66" s="141"/>
      <c r="J66" s="142"/>
      <c r="K66" s="142"/>
      <c r="L66" s="142"/>
      <c r="N66" s="140"/>
      <c r="O66" s="141"/>
      <c r="P66" s="142"/>
      <c r="Q66" s="142"/>
      <c r="R66" s="142"/>
      <c r="T66" s="140"/>
      <c r="U66" s="141"/>
      <c r="V66" s="142"/>
      <c r="W66" s="142"/>
      <c r="X66" s="142"/>
      <c r="Z66" s="140"/>
      <c r="AA66" s="141"/>
      <c r="AB66" s="142"/>
      <c r="AC66" s="142"/>
      <c r="AD66" s="142"/>
      <c r="AF66" s="140"/>
      <c r="AG66" s="141"/>
      <c r="AH66" s="142"/>
      <c r="AI66" s="142"/>
      <c r="AJ66" s="142"/>
      <c r="AL66" s="140"/>
      <c r="AM66" s="141"/>
      <c r="AN66" s="142"/>
      <c r="AO66" s="142"/>
      <c r="AP66" s="142"/>
    </row>
    <row r="67" spans="2:42" x14ac:dyDescent="0.2">
      <c r="B67" s="140"/>
      <c r="C67" s="141"/>
      <c r="D67" s="142"/>
      <c r="E67" s="142"/>
      <c r="F67" s="142"/>
      <c r="H67" s="140"/>
      <c r="I67" s="141"/>
      <c r="J67" s="142"/>
      <c r="K67" s="142"/>
      <c r="L67" s="142"/>
      <c r="N67" s="140"/>
      <c r="O67" s="141"/>
      <c r="P67" s="142"/>
      <c r="Q67" s="142"/>
      <c r="R67" s="142"/>
      <c r="T67" s="140"/>
      <c r="U67" s="141"/>
      <c r="V67" s="142"/>
      <c r="W67" s="142"/>
      <c r="X67" s="142"/>
      <c r="Z67" s="140"/>
      <c r="AA67" s="141"/>
      <c r="AB67" s="142"/>
      <c r="AC67" s="142"/>
      <c r="AD67" s="142"/>
      <c r="AF67" s="140"/>
      <c r="AG67" s="141"/>
      <c r="AH67" s="142"/>
      <c r="AI67" s="142"/>
      <c r="AJ67" s="142"/>
      <c r="AL67" s="140"/>
      <c r="AM67" s="141"/>
      <c r="AN67" s="142"/>
      <c r="AO67" s="142"/>
      <c r="AP67" s="142"/>
    </row>
    <row r="68" spans="2:42" x14ac:dyDescent="0.2">
      <c r="B68" s="140"/>
      <c r="C68" s="141"/>
      <c r="D68" s="142"/>
      <c r="E68" s="142"/>
      <c r="F68" s="142"/>
      <c r="H68" s="140"/>
      <c r="I68" s="141"/>
      <c r="J68" s="142"/>
      <c r="K68" s="142"/>
      <c r="L68" s="142"/>
      <c r="N68" s="140"/>
      <c r="O68" s="141"/>
      <c r="P68" s="142"/>
      <c r="Q68" s="142"/>
      <c r="R68" s="142"/>
      <c r="T68" s="140"/>
      <c r="U68" s="141"/>
      <c r="V68" s="142"/>
      <c r="W68" s="142"/>
      <c r="X68" s="142"/>
      <c r="Z68" s="140"/>
      <c r="AA68" s="141"/>
      <c r="AB68" s="142"/>
      <c r="AC68" s="142"/>
      <c r="AD68" s="142"/>
      <c r="AF68" s="140"/>
      <c r="AG68" s="141"/>
      <c r="AH68" s="142"/>
      <c r="AI68" s="142"/>
      <c r="AJ68" s="142"/>
      <c r="AL68" s="140"/>
      <c r="AM68" s="141"/>
      <c r="AN68" s="142"/>
      <c r="AO68" s="142"/>
      <c r="AP68" s="142"/>
    </row>
    <row r="69" spans="2:42" x14ac:dyDescent="0.2">
      <c r="B69" s="140"/>
      <c r="C69" s="141"/>
      <c r="D69" s="142"/>
      <c r="E69" s="142"/>
      <c r="F69" s="142"/>
      <c r="H69" s="140"/>
      <c r="I69" s="141"/>
      <c r="J69" s="142"/>
      <c r="K69" s="142"/>
      <c r="L69" s="142"/>
      <c r="N69" s="140"/>
      <c r="O69" s="141"/>
      <c r="P69" s="142"/>
      <c r="Q69" s="142"/>
      <c r="R69" s="142"/>
      <c r="T69" s="140"/>
      <c r="U69" s="141"/>
      <c r="V69" s="142"/>
      <c r="W69" s="142"/>
      <c r="X69" s="142"/>
      <c r="Z69" s="140"/>
      <c r="AA69" s="141"/>
      <c r="AB69" s="142"/>
      <c r="AC69" s="142"/>
      <c r="AD69" s="142"/>
      <c r="AF69" s="140"/>
      <c r="AG69" s="141"/>
      <c r="AH69" s="142"/>
      <c r="AI69" s="142"/>
      <c r="AJ69" s="142"/>
      <c r="AL69" s="140"/>
      <c r="AM69" s="141"/>
      <c r="AN69" s="142"/>
      <c r="AO69" s="142"/>
      <c r="AP69" s="142"/>
    </row>
    <row r="70" spans="2:42" x14ac:dyDescent="0.2">
      <c r="B70" s="140"/>
      <c r="C70" s="141"/>
      <c r="D70" s="142"/>
      <c r="E70" s="142"/>
      <c r="F70" s="142"/>
      <c r="H70" s="140"/>
      <c r="I70" s="141"/>
      <c r="J70" s="142"/>
      <c r="K70" s="142"/>
      <c r="L70" s="142"/>
      <c r="N70" s="140"/>
      <c r="O70" s="141"/>
      <c r="P70" s="142"/>
      <c r="Q70" s="142"/>
      <c r="R70" s="142"/>
      <c r="T70" s="140"/>
      <c r="U70" s="141"/>
      <c r="V70" s="142"/>
      <c r="W70" s="142"/>
      <c r="X70" s="142"/>
      <c r="Z70" s="140"/>
      <c r="AA70" s="141"/>
      <c r="AB70" s="142"/>
      <c r="AC70" s="142"/>
      <c r="AD70" s="142"/>
      <c r="AF70" s="140"/>
      <c r="AG70" s="141"/>
      <c r="AH70" s="142"/>
      <c r="AI70" s="142"/>
      <c r="AJ70" s="142"/>
      <c r="AL70" s="140"/>
      <c r="AM70" s="141"/>
      <c r="AN70" s="142"/>
      <c r="AO70" s="142"/>
      <c r="AP70" s="142"/>
    </row>
    <row r="71" spans="2:42" x14ac:dyDescent="0.2">
      <c r="B71" s="140"/>
      <c r="C71" s="141"/>
      <c r="D71" s="142"/>
      <c r="E71" s="142"/>
      <c r="F71" s="142"/>
      <c r="H71" s="140"/>
      <c r="I71" s="141"/>
      <c r="J71" s="142"/>
      <c r="K71" s="142"/>
      <c r="L71" s="142"/>
      <c r="N71" s="140"/>
      <c r="O71" s="141"/>
      <c r="P71" s="142"/>
      <c r="Q71" s="142"/>
      <c r="R71" s="142"/>
      <c r="T71" s="140"/>
      <c r="U71" s="141"/>
      <c r="V71" s="142"/>
      <c r="W71" s="142"/>
      <c r="X71" s="142"/>
      <c r="Z71" s="140"/>
      <c r="AA71" s="141"/>
      <c r="AB71" s="142"/>
      <c r="AC71" s="142"/>
      <c r="AD71" s="142"/>
      <c r="AF71" s="140"/>
      <c r="AG71" s="141"/>
      <c r="AH71" s="142"/>
      <c r="AI71" s="142"/>
      <c r="AJ71" s="142"/>
      <c r="AL71" s="140"/>
      <c r="AM71" s="141"/>
      <c r="AN71" s="142"/>
      <c r="AO71" s="142"/>
      <c r="AP71" s="142"/>
    </row>
    <row r="72" spans="2:42" x14ac:dyDescent="0.2">
      <c r="B72" s="140"/>
      <c r="C72" s="141"/>
      <c r="D72" s="142"/>
      <c r="E72" s="142"/>
      <c r="F72" s="142"/>
      <c r="H72" s="140"/>
      <c r="I72" s="141"/>
      <c r="J72" s="142"/>
      <c r="K72" s="142"/>
      <c r="L72" s="142"/>
      <c r="N72" s="140"/>
      <c r="O72" s="141"/>
      <c r="P72" s="142"/>
      <c r="Q72" s="142"/>
      <c r="R72" s="142"/>
      <c r="T72" s="140"/>
      <c r="U72" s="141"/>
      <c r="V72" s="142"/>
      <c r="W72" s="142"/>
      <c r="X72" s="142"/>
      <c r="Z72" s="140"/>
      <c r="AA72" s="141"/>
      <c r="AB72" s="142"/>
      <c r="AC72" s="142"/>
      <c r="AD72" s="142"/>
      <c r="AF72" s="140"/>
      <c r="AG72" s="141"/>
      <c r="AH72" s="142"/>
      <c r="AI72" s="142"/>
      <c r="AJ72" s="142"/>
      <c r="AL72" s="140"/>
      <c r="AM72" s="141"/>
      <c r="AN72" s="142"/>
      <c r="AO72" s="142"/>
      <c r="AP72" s="142"/>
    </row>
    <row r="73" spans="2:42" x14ac:dyDescent="0.2">
      <c r="B73" s="140"/>
      <c r="C73" s="141"/>
      <c r="D73" s="142"/>
      <c r="E73" s="142"/>
      <c r="F73" s="142"/>
      <c r="H73" s="140"/>
      <c r="I73" s="141"/>
      <c r="J73" s="142"/>
      <c r="K73" s="142"/>
      <c r="L73" s="142"/>
      <c r="N73" s="140"/>
      <c r="O73" s="141"/>
      <c r="P73" s="142"/>
      <c r="Q73" s="142"/>
      <c r="R73" s="142"/>
      <c r="T73" s="140"/>
      <c r="U73" s="141"/>
      <c r="V73" s="142"/>
      <c r="W73" s="142"/>
      <c r="X73" s="142"/>
      <c r="Z73" s="140"/>
      <c r="AA73" s="141"/>
      <c r="AB73" s="142"/>
      <c r="AC73" s="142"/>
      <c r="AD73" s="142"/>
      <c r="AF73" s="140"/>
      <c r="AG73" s="141"/>
      <c r="AH73" s="142"/>
      <c r="AI73" s="142"/>
      <c r="AJ73" s="142"/>
      <c r="AL73" s="140"/>
      <c r="AM73" s="141"/>
      <c r="AN73" s="142"/>
      <c r="AO73" s="142"/>
      <c r="AP73" s="142"/>
    </row>
    <row r="74" spans="2:42" x14ac:dyDescent="0.2">
      <c r="B74" s="140"/>
      <c r="C74" s="141"/>
      <c r="D74" s="142"/>
      <c r="E74" s="142"/>
      <c r="F74" s="142"/>
      <c r="H74" s="140"/>
      <c r="I74" s="141"/>
      <c r="J74" s="142"/>
      <c r="K74" s="142"/>
      <c r="L74" s="142"/>
      <c r="N74" s="140"/>
      <c r="O74" s="141"/>
      <c r="P74" s="142"/>
      <c r="Q74" s="142"/>
      <c r="R74" s="142"/>
      <c r="T74" s="140"/>
      <c r="U74" s="141"/>
      <c r="V74" s="142"/>
      <c r="W74" s="142"/>
      <c r="X74" s="142"/>
      <c r="Z74" s="140"/>
      <c r="AA74" s="141"/>
      <c r="AB74" s="142"/>
      <c r="AC74" s="142"/>
      <c r="AD74" s="142"/>
      <c r="AF74" s="140"/>
      <c r="AG74" s="141"/>
      <c r="AH74" s="142"/>
      <c r="AI74" s="142"/>
      <c r="AJ74" s="142"/>
      <c r="AL74" s="140"/>
      <c r="AM74" s="141"/>
      <c r="AN74" s="142"/>
      <c r="AO74" s="142"/>
      <c r="AP74" s="142"/>
    </row>
    <row r="75" spans="2:42" x14ac:dyDescent="0.2">
      <c r="B75" s="140"/>
      <c r="C75" s="141"/>
      <c r="D75" s="142"/>
      <c r="E75" s="142"/>
      <c r="F75" s="142"/>
      <c r="H75" s="140"/>
      <c r="I75" s="141"/>
      <c r="J75" s="142"/>
      <c r="K75" s="142"/>
      <c r="L75" s="142"/>
      <c r="N75" s="140"/>
      <c r="O75" s="141"/>
      <c r="P75" s="142"/>
      <c r="Q75" s="142"/>
      <c r="R75" s="142"/>
      <c r="T75" s="140"/>
      <c r="U75" s="141"/>
      <c r="V75" s="142"/>
      <c r="W75" s="142"/>
      <c r="X75" s="142"/>
      <c r="Z75" s="140"/>
      <c r="AA75" s="141"/>
      <c r="AB75" s="142"/>
      <c r="AC75" s="142"/>
      <c r="AD75" s="142"/>
      <c r="AF75" s="140"/>
      <c r="AG75" s="141"/>
      <c r="AH75" s="142"/>
      <c r="AI75" s="142"/>
      <c r="AJ75" s="142"/>
      <c r="AL75" s="140"/>
      <c r="AM75" s="141"/>
      <c r="AN75" s="142"/>
      <c r="AO75" s="142"/>
      <c r="AP75" s="142"/>
    </row>
    <row r="76" spans="2:42" x14ac:dyDescent="0.2">
      <c r="B76" s="140"/>
      <c r="C76" s="141"/>
      <c r="D76" s="142"/>
      <c r="E76" s="142"/>
      <c r="F76" s="142"/>
      <c r="H76" s="140"/>
      <c r="I76" s="141"/>
      <c r="J76" s="142"/>
      <c r="K76" s="142"/>
      <c r="L76" s="142"/>
      <c r="N76" s="140"/>
      <c r="O76" s="141"/>
      <c r="P76" s="142"/>
      <c r="Q76" s="142"/>
      <c r="R76" s="142"/>
      <c r="T76" s="140"/>
      <c r="U76" s="141"/>
      <c r="V76" s="142"/>
      <c r="W76" s="142"/>
      <c r="X76" s="142"/>
      <c r="Z76" s="140"/>
      <c r="AA76" s="141"/>
      <c r="AB76" s="142"/>
      <c r="AC76" s="142"/>
      <c r="AD76" s="142"/>
      <c r="AF76" s="140"/>
      <c r="AG76" s="141"/>
      <c r="AH76" s="142"/>
      <c r="AI76" s="142"/>
      <c r="AJ76" s="142"/>
      <c r="AL76" s="140"/>
      <c r="AM76" s="141"/>
      <c r="AN76" s="142"/>
      <c r="AO76" s="142"/>
      <c r="AP76" s="142"/>
    </row>
    <row r="77" spans="2:42" x14ac:dyDescent="0.2">
      <c r="B77" s="140"/>
      <c r="C77" s="141"/>
      <c r="D77" s="142"/>
      <c r="E77" s="142"/>
      <c r="F77" s="142"/>
      <c r="H77" s="140"/>
      <c r="I77" s="141"/>
      <c r="J77" s="142"/>
      <c r="K77" s="142"/>
      <c r="L77" s="142"/>
      <c r="N77" s="140"/>
      <c r="O77" s="141"/>
      <c r="P77" s="142"/>
      <c r="Q77" s="142"/>
      <c r="R77" s="142"/>
      <c r="T77" s="140"/>
      <c r="U77" s="141"/>
      <c r="V77" s="142"/>
      <c r="W77" s="142"/>
      <c r="X77" s="142"/>
      <c r="Z77" s="140"/>
      <c r="AA77" s="141"/>
      <c r="AB77" s="142"/>
      <c r="AC77" s="142"/>
      <c r="AD77" s="142"/>
      <c r="AF77" s="140"/>
      <c r="AG77" s="141"/>
      <c r="AH77" s="142"/>
      <c r="AI77" s="142"/>
      <c r="AJ77" s="142"/>
      <c r="AL77" s="140"/>
      <c r="AM77" s="141"/>
      <c r="AN77" s="142"/>
      <c r="AO77" s="142"/>
      <c r="AP77" s="142"/>
    </row>
    <row r="78" spans="2:42" x14ac:dyDescent="0.2">
      <c r="B78" s="140"/>
      <c r="C78" s="141"/>
      <c r="D78" s="142"/>
      <c r="E78" s="142"/>
      <c r="F78" s="142"/>
      <c r="H78" s="140"/>
      <c r="I78" s="141"/>
      <c r="J78" s="142"/>
      <c r="K78" s="142"/>
      <c r="L78" s="142"/>
      <c r="N78" s="140"/>
      <c r="O78" s="141"/>
      <c r="P78" s="142"/>
      <c r="Q78" s="142"/>
      <c r="R78" s="142"/>
      <c r="T78" s="140"/>
      <c r="U78" s="141"/>
      <c r="V78" s="142"/>
      <c r="W78" s="142"/>
      <c r="X78" s="142"/>
      <c r="Z78" s="140"/>
      <c r="AA78" s="141"/>
      <c r="AB78" s="142"/>
      <c r="AC78" s="142"/>
      <c r="AD78" s="142"/>
      <c r="AF78" s="140"/>
      <c r="AG78" s="141"/>
      <c r="AH78" s="142"/>
      <c r="AI78" s="142"/>
      <c r="AJ78" s="142"/>
      <c r="AL78" s="140"/>
      <c r="AM78" s="141"/>
      <c r="AN78" s="142"/>
      <c r="AO78" s="142"/>
      <c r="AP78" s="142"/>
    </row>
    <row r="79" spans="2:42" x14ac:dyDescent="0.2">
      <c r="B79" s="140"/>
      <c r="C79" s="141"/>
      <c r="D79" s="142"/>
      <c r="E79" s="142"/>
      <c r="F79" s="142"/>
      <c r="H79" s="140"/>
      <c r="I79" s="141"/>
      <c r="J79" s="142"/>
      <c r="K79" s="142"/>
      <c r="L79" s="142"/>
      <c r="N79" s="140"/>
      <c r="O79" s="141"/>
      <c r="P79" s="142"/>
      <c r="Q79" s="142"/>
      <c r="R79" s="142"/>
      <c r="T79" s="140"/>
      <c r="U79" s="141"/>
      <c r="V79" s="142"/>
      <c r="W79" s="142"/>
      <c r="X79" s="142"/>
      <c r="Z79" s="140"/>
      <c r="AA79" s="141"/>
      <c r="AB79" s="142"/>
      <c r="AC79" s="142"/>
      <c r="AD79" s="142"/>
      <c r="AF79" s="140"/>
      <c r="AG79" s="141"/>
      <c r="AH79" s="142"/>
      <c r="AI79" s="142"/>
      <c r="AJ79" s="142"/>
      <c r="AL79" s="140"/>
      <c r="AM79" s="141"/>
      <c r="AN79" s="142"/>
      <c r="AO79" s="142"/>
      <c r="AP79" s="142"/>
    </row>
    <row r="80" spans="2:42" x14ac:dyDescent="0.2">
      <c r="B80" s="140"/>
      <c r="C80" s="141"/>
      <c r="D80" s="142"/>
      <c r="E80" s="142"/>
      <c r="F80" s="142"/>
      <c r="H80" s="140"/>
      <c r="I80" s="141"/>
      <c r="J80" s="142"/>
      <c r="K80" s="142"/>
      <c r="L80" s="142"/>
      <c r="N80" s="140"/>
      <c r="O80" s="141"/>
      <c r="P80" s="142"/>
      <c r="Q80" s="142"/>
      <c r="R80" s="142"/>
      <c r="T80" s="140"/>
      <c r="U80" s="141"/>
      <c r="V80" s="142"/>
      <c r="W80" s="142"/>
      <c r="X80" s="142"/>
      <c r="Z80" s="140"/>
      <c r="AA80" s="141"/>
      <c r="AB80" s="142"/>
      <c r="AC80" s="142"/>
      <c r="AD80" s="142"/>
      <c r="AF80" s="140"/>
      <c r="AG80" s="141"/>
      <c r="AH80" s="142"/>
      <c r="AI80" s="142"/>
      <c r="AJ80" s="142"/>
      <c r="AL80" s="140"/>
      <c r="AM80" s="141"/>
      <c r="AN80" s="142"/>
      <c r="AO80" s="142"/>
      <c r="AP80" s="142"/>
    </row>
    <row r="81" spans="2:42" x14ac:dyDescent="0.2">
      <c r="B81" s="140"/>
      <c r="C81" s="141"/>
      <c r="D81" s="142"/>
      <c r="E81" s="142"/>
      <c r="F81" s="142"/>
      <c r="H81" s="140"/>
      <c r="I81" s="141"/>
      <c r="J81" s="142"/>
      <c r="K81" s="142"/>
      <c r="L81" s="142"/>
      <c r="N81" s="140"/>
      <c r="O81" s="141"/>
      <c r="P81" s="142"/>
      <c r="Q81" s="142"/>
      <c r="R81" s="142"/>
      <c r="T81" s="140"/>
      <c r="U81" s="141"/>
      <c r="V81" s="142"/>
      <c r="W81" s="142"/>
      <c r="X81" s="142"/>
      <c r="Z81" s="140"/>
      <c r="AA81" s="141"/>
      <c r="AB81" s="142"/>
      <c r="AC81" s="142"/>
      <c r="AD81" s="142"/>
      <c r="AF81" s="140"/>
      <c r="AG81" s="141"/>
      <c r="AH81" s="142"/>
      <c r="AI81" s="142"/>
      <c r="AJ81" s="142"/>
      <c r="AL81" s="140"/>
      <c r="AM81" s="141"/>
      <c r="AN81" s="142"/>
      <c r="AO81" s="142"/>
      <c r="AP81" s="142"/>
    </row>
    <row r="82" spans="2:42" x14ac:dyDescent="0.2">
      <c r="B82" s="140"/>
      <c r="C82" s="141"/>
      <c r="D82" s="142"/>
      <c r="E82" s="142"/>
      <c r="F82" s="142"/>
      <c r="H82" s="140"/>
      <c r="I82" s="141"/>
      <c r="J82" s="142"/>
      <c r="K82" s="142"/>
      <c r="L82" s="142"/>
      <c r="N82" s="140"/>
      <c r="O82" s="141"/>
      <c r="P82" s="142"/>
      <c r="Q82" s="142"/>
      <c r="R82" s="142"/>
      <c r="T82" s="140"/>
      <c r="U82" s="141"/>
      <c r="V82" s="142"/>
      <c r="W82" s="142"/>
      <c r="X82" s="142"/>
      <c r="Z82" s="140"/>
      <c r="AA82" s="141"/>
      <c r="AB82" s="142"/>
      <c r="AC82" s="142"/>
      <c r="AD82" s="142"/>
      <c r="AF82" s="140"/>
      <c r="AG82" s="141"/>
      <c r="AH82" s="142"/>
      <c r="AI82" s="142"/>
      <c r="AJ82" s="142"/>
      <c r="AL82" s="140"/>
      <c r="AM82" s="141"/>
      <c r="AN82" s="142"/>
      <c r="AO82" s="142"/>
      <c r="AP82" s="142"/>
    </row>
    <row r="83" spans="2:42" x14ac:dyDescent="0.2">
      <c r="B83" s="140"/>
      <c r="C83" s="141"/>
      <c r="D83" s="142"/>
      <c r="E83" s="142"/>
      <c r="F83" s="142"/>
      <c r="H83" s="140"/>
      <c r="I83" s="141"/>
      <c r="J83" s="142"/>
      <c r="K83" s="142"/>
      <c r="L83" s="142"/>
      <c r="N83" s="140"/>
      <c r="O83" s="141"/>
      <c r="P83" s="142"/>
      <c r="Q83" s="142"/>
      <c r="R83" s="142"/>
      <c r="T83" s="140"/>
      <c r="U83" s="141"/>
      <c r="V83" s="142"/>
      <c r="W83" s="142"/>
      <c r="X83" s="142"/>
      <c r="Z83" s="140"/>
      <c r="AA83" s="141"/>
      <c r="AB83" s="142"/>
      <c r="AC83" s="142"/>
      <c r="AD83" s="142"/>
      <c r="AF83" s="140"/>
      <c r="AG83" s="141"/>
      <c r="AH83" s="142"/>
      <c r="AI83" s="142"/>
      <c r="AJ83" s="142"/>
      <c r="AL83" s="140"/>
      <c r="AM83" s="141"/>
      <c r="AN83" s="142"/>
      <c r="AO83" s="142"/>
      <c r="AP83" s="142"/>
    </row>
    <row r="84" spans="2:42" x14ac:dyDescent="0.2">
      <c r="B84" s="140"/>
      <c r="C84" s="141"/>
      <c r="D84" s="142"/>
      <c r="E84" s="142"/>
      <c r="F84" s="142"/>
      <c r="H84" s="140"/>
      <c r="I84" s="141"/>
      <c r="J84" s="142"/>
      <c r="K84" s="142"/>
      <c r="L84" s="142"/>
      <c r="N84" s="140"/>
      <c r="O84" s="141"/>
      <c r="P84" s="142"/>
      <c r="Q84" s="142"/>
      <c r="R84" s="142"/>
      <c r="T84" s="140"/>
      <c r="U84" s="141"/>
      <c r="V84" s="142"/>
      <c r="W84" s="142"/>
      <c r="X84" s="142"/>
      <c r="Z84" s="140"/>
      <c r="AA84" s="141"/>
      <c r="AB84" s="142"/>
      <c r="AC84" s="142"/>
      <c r="AD84" s="142"/>
      <c r="AF84" s="140"/>
      <c r="AG84" s="141"/>
      <c r="AH84" s="142"/>
      <c r="AI84" s="142"/>
      <c r="AJ84" s="142"/>
      <c r="AL84" s="140"/>
      <c r="AM84" s="141"/>
      <c r="AN84" s="142"/>
      <c r="AO84" s="142"/>
      <c r="AP84" s="142"/>
    </row>
    <row r="85" spans="2:42" x14ac:dyDescent="0.2">
      <c r="B85" s="140"/>
      <c r="C85" s="141"/>
      <c r="D85" s="142"/>
      <c r="E85" s="142"/>
      <c r="F85" s="142"/>
      <c r="H85" s="140"/>
      <c r="I85" s="141"/>
      <c r="J85" s="142"/>
      <c r="K85" s="142"/>
      <c r="L85" s="142"/>
      <c r="N85" s="140"/>
      <c r="O85" s="141"/>
      <c r="P85" s="142"/>
      <c r="Q85" s="142"/>
      <c r="R85" s="142"/>
      <c r="T85" s="140"/>
      <c r="U85" s="141"/>
      <c r="V85" s="142"/>
      <c r="W85" s="142"/>
      <c r="X85" s="142"/>
      <c r="Z85" s="140"/>
      <c r="AA85" s="141"/>
      <c r="AB85" s="142"/>
      <c r="AC85" s="142"/>
      <c r="AD85" s="142"/>
      <c r="AF85" s="140"/>
      <c r="AG85" s="141"/>
      <c r="AH85" s="142"/>
      <c r="AI85" s="142"/>
      <c r="AJ85" s="142"/>
      <c r="AL85" s="140"/>
      <c r="AM85" s="141"/>
      <c r="AN85" s="142"/>
      <c r="AO85" s="142"/>
      <c r="AP85" s="142"/>
    </row>
    <row r="86" spans="2:42" x14ac:dyDescent="0.2">
      <c r="B86" s="140"/>
      <c r="C86" s="141"/>
      <c r="D86" s="142"/>
      <c r="E86" s="142"/>
      <c r="F86" s="142"/>
      <c r="H86" s="140"/>
      <c r="I86" s="141"/>
      <c r="J86" s="142"/>
      <c r="K86" s="142"/>
      <c r="L86" s="142"/>
      <c r="N86" s="140"/>
      <c r="O86" s="141"/>
      <c r="P86" s="142"/>
      <c r="Q86" s="142"/>
      <c r="R86" s="142"/>
      <c r="T86" s="140"/>
      <c r="U86" s="141"/>
      <c r="V86" s="142"/>
      <c r="W86" s="142"/>
      <c r="X86" s="142"/>
      <c r="Z86" s="140"/>
      <c r="AA86" s="141"/>
      <c r="AB86" s="142"/>
      <c r="AC86" s="142"/>
      <c r="AD86" s="142"/>
      <c r="AF86" s="140"/>
      <c r="AG86" s="141"/>
      <c r="AH86" s="142"/>
      <c r="AI86" s="142"/>
      <c r="AJ86" s="142"/>
      <c r="AL86" s="140"/>
      <c r="AM86" s="141"/>
      <c r="AN86" s="142"/>
      <c r="AO86" s="142"/>
      <c r="AP86" s="142"/>
    </row>
    <row r="87" spans="2:42" x14ac:dyDescent="0.2">
      <c r="B87" s="140"/>
      <c r="C87" s="141"/>
      <c r="D87" s="142"/>
      <c r="E87" s="142"/>
      <c r="F87" s="142"/>
      <c r="H87" s="140"/>
      <c r="I87" s="141"/>
      <c r="J87" s="142"/>
      <c r="K87" s="142"/>
      <c r="L87" s="142"/>
      <c r="N87" s="140"/>
      <c r="O87" s="141"/>
      <c r="P87" s="142"/>
      <c r="Q87" s="142"/>
      <c r="R87" s="142"/>
      <c r="T87" s="140"/>
      <c r="U87" s="141"/>
      <c r="V87" s="142"/>
      <c r="W87" s="142"/>
      <c r="X87" s="142"/>
      <c r="Z87" s="140"/>
      <c r="AA87" s="141"/>
      <c r="AB87" s="142"/>
      <c r="AC87" s="142"/>
      <c r="AD87" s="142"/>
      <c r="AF87" s="140"/>
      <c r="AG87" s="141"/>
      <c r="AH87" s="142"/>
      <c r="AI87" s="142"/>
      <c r="AJ87" s="142"/>
      <c r="AL87" s="140"/>
      <c r="AM87" s="141"/>
      <c r="AN87" s="142"/>
      <c r="AO87" s="142"/>
      <c r="AP87" s="142"/>
    </row>
    <row r="88" spans="2:42" x14ac:dyDescent="0.2">
      <c r="B88" s="140"/>
      <c r="C88" s="141"/>
      <c r="D88" s="142"/>
      <c r="E88" s="142"/>
      <c r="F88" s="142"/>
      <c r="H88" s="140"/>
      <c r="I88" s="141"/>
      <c r="J88" s="142"/>
      <c r="K88" s="142"/>
      <c r="L88" s="142"/>
      <c r="N88" s="140"/>
      <c r="O88" s="141"/>
      <c r="P88" s="142"/>
      <c r="Q88" s="142"/>
      <c r="R88" s="142"/>
      <c r="T88" s="140"/>
      <c r="U88" s="141"/>
      <c r="V88" s="142"/>
      <c r="W88" s="142"/>
      <c r="X88" s="142"/>
      <c r="Z88" s="140"/>
      <c r="AA88" s="141"/>
      <c r="AB88" s="142"/>
      <c r="AC88" s="142"/>
      <c r="AD88" s="142"/>
      <c r="AF88" s="140"/>
      <c r="AG88" s="141"/>
      <c r="AH88" s="142"/>
      <c r="AI88" s="142"/>
      <c r="AJ88" s="142"/>
      <c r="AL88" s="140"/>
      <c r="AM88" s="141"/>
      <c r="AN88" s="142"/>
      <c r="AO88" s="142"/>
      <c r="AP88" s="142"/>
    </row>
    <row r="89" spans="2:42" x14ac:dyDescent="0.2">
      <c r="B89" s="140"/>
      <c r="C89" s="141"/>
      <c r="D89" s="142"/>
      <c r="E89" s="142"/>
      <c r="F89" s="142"/>
      <c r="H89" s="140"/>
      <c r="I89" s="141"/>
      <c r="J89" s="142"/>
      <c r="K89" s="142"/>
      <c r="L89" s="142"/>
      <c r="N89" s="140"/>
      <c r="O89" s="141"/>
      <c r="P89" s="142"/>
      <c r="Q89" s="142"/>
      <c r="R89" s="142"/>
      <c r="T89" s="140"/>
      <c r="U89" s="141"/>
      <c r="V89" s="142"/>
      <c r="W89" s="142"/>
      <c r="X89" s="142"/>
      <c r="Z89" s="140"/>
      <c r="AA89" s="141"/>
      <c r="AB89" s="142"/>
      <c r="AC89" s="142"/>
      <c r="AD89" s="142"/>
      <c r="AF89" s="140"/>
      <c r="AG89" s="141"/>
      <c r="AH89" s="142"/>
      <c r="AI89" s="142"/>
      <c r="AJ89" s="142"/>
      <c r="AL89" s="140"/>
      <c r="AM89" s="141"/>
      <c r="AN89" s="142"/>
      <c r="AO89" s="142"/>
      <c r="AP89" s="142"/>
    </row>
    <row r="90" spans="2:42" x14ac:dyDescent="0.2">
      <c r="B90" s="140"/>
      <c r="C90" s="141"/>
      <c r="D90" s="142"/>
      <c r="E90" s="142"/>
      <c r="F90" s="142"/>
      <c r="H90" s="140"/>
      <c r="I90" s="141"/>
      <c r="J90" s="142"/>
      <c r="K90" s="142"/>
      <c r="L90" s="142"/>
      <c r="N90" s="140"/>
      <c r="O90" s="141"/>
      <c r="P90" s="142"/>
      <c r="Q90" s="142"/>
      <c r="R90" s="142"/>
      <c r="T90" s="140"/>
      <c r="U90" s="141"/>
      <c r="V90" s="142"/>
      <c r="W90" s="142"/>
      <c r="X90" s="142"/>
      <c r="Z90" s="140"/>
      <c r="AA90" s="141"/>
      <c r="AB90" s="142"/>
      <c r="AC90" s="142"/>
      <c r="AD90" s="142"/>
      <c r="AF90" s="140"/>
      <c r="AG90" s="141"/>
      <c r="AH90" s="142"/>
      <c r="AI90" s="142"/>
      <c r="AJ90" s="142"/>
      <c r="AL90" s="140"/>
      <c r="AM90" s="141"/>
      <c r="AN90" s="142"/>
      <c r="AO90" s="142"/>
      <c r="AP90" s="142"/>
    </row>
    <row r="91" spans="2:42" x14ac:dyDescent="0.2">
      <c r="B91" s="140"/>
      <c r="C91" s="141"/>
      <c r="D91" s="142"/>
      <c r="E91" s="142"/>
      <c r="F91" s="142"/>
      <c r="H91" s="140"/>
      <c r="I91" s="141"/>
      <c r="J91" s="142"/>
      <c r="K91" s="142"/>
      <c r="L91" s="142"/>
      <c r="N91" s="140"/>
      <c r="O91" s="141"/>
      <c r="P91" s="142"/>
      <c r="Q91" s="142"/>
      <c r="R91" s="142"/>
      <c r="T91" s="140"/>
      <c r="U91" s="141"/>
      <c r="V91" s="142"/>
      <c r="W91" s="142"/>
      <c r="X91" s="142"/>
      <c r="Z91" s="140"/>
      <c r="AA91" s="141"/>
      <c r="AB91" s="142"/>
      <c r="AC91" s="142"/>
      <c r="AD91" s="142"/>
      <c r="AF91" s="140"/>
      <c r="AG91" s="141"/>
      <c r="AH91" s="142"/>
      <c r="AI91" s="142"/>
      <c r="AJ91" s="142"/>
      <c r="AL91" s="140"/>
      <c r="AM91" s="141"/>
      <c r="AN91" s="142"/>
      <c r="AO91" s="142"/>
      <c r="AP91" s="142"/>
    </row>
    <row r="92" spans="2:42" x14ac:dyDescent="0.2">
      <c r="B92" s="140"/>
      <c r="C92" s="141"/>
      <c r="D92" s="142"/>
      <c r="E92" s="142"/>
      <c r="F92" s="142"/>
      <c r="H92" s="140"/>
      <c r="I92" s="141"/>
      <c r="J92" s="142"/>
      <c r="K92" s="142"/>
      <c r="L92" s="142"/>
      <c r="N92" s="140"/>
      <c r="O92" s="141"/>
      <c r="P92" s="142"/>
      <c r="Q92" s="142"/>
      <c r="R92" s="142"/>
      <c r="T92" s="140"/>
      <c r="U92" s="141"/>
      <c r="V92" s="142"/>
      <c r="W92" s="142"/>
      <c r="X92" s="142"/>
      <c r="Z92" s="140"/>
      <c r="AA92" s="141"/>
      <c r="AB92" s="142"/>
      <c r="AC92" s="142"/>
      <c r="AD92" s="142"/>
      <c r="AF92" s="140"/>
      <c r="AG92" s="141"/>
      <c r="AH92" s="142"/>
      <c r="AI92" s="142"/>
      <c r="AJ92" s="142"/>
      <c r="AL92" s="140"/>
      <c r="AM92" s="141"/>
      <c r="AN92" s="142"/>
      <c r="AO92" s="142"/>
      <c r="AP92" s="142"/>
    </row>
    <row r="93" spans="2:42" x14ac:dyDescent="0.2">
      <c r="B93" s="140"/>
      <c r="C93" s="141"/>
      <c r="D93" s="142"/>
      <c r="E93" s="142"/>
      <c r="F93" s="142"/>
      <c r="H93" s="140"/>
      <c r="I93" s="141"/>
      <c r="J93" s="142"/>
      <c r="K93" s="142"/>
      <c r="L93" s="142"/>
      <c r="N93" s="140"/>
      <c r="O93" s="141"/>
      <c r="P93" s="142"/>
      <c r="Q93" s="142"/>
      <c r="R93" s="142"/>
      <c r="T93" s="140"/>
      <c r="U93" s="141"/>
      <c r="V93" s="142"/>
      <c r="W93" s="142"/>
      <c r="X93" s="142"/>
      <c r="Z93" s="140"/>
      <c r="AA93" s="141"/>
      <c r="AB93" s="142"/>
      <c r="AC93" s="142"/>
      <c r="AD93" s="142"/>
      <c r="AF93" s="140"/>
      <c r="AG93" s="141"/>
      <c r="AH93" s="142"/>
      <c r="AI93" s="142"/>
      <c r="AJ93" s="142"/>
      <c r="AL93" s="140"/>
      <c r="AM93" s="141"/>
      <c r="AN93" s="142"/>
      <c r="AO93" s="142"/>
      <c r="AP93" s="142"/>
    </row>
    <row r="94" spans="2:42" x14ac:dyDescent="0.2">
      <c r="B94" s="140"/>
      <c r="C94" s="141"/>
      <c r="D94" s="142"/>
      <c r="E94" s="142"/>
      <c r="F94" s="142"/>
      <c r="H94" s="140"/>
      <c r="I94" s="141"/>
      <c r="J94" s="142"/>
      <c r="K94" s="142"/>
      <c r="L94" s="142"/>
      <c r="N94" s="140"/>
      <c r="O94" s="141"/>
      <c r="P94" s="142"/>
      <c r="Q94" s="142"/>
      <c r="R94" s="142"/>
      <c r="T94" s="140"/>
      <c r="U94" s="141"/>
      <c r="V94" s="142"/>
      <c r="W94" s="142"/>
      <c r="X94" s="142"/>
      <c r="Z94" s="140"/>
      <c r="AA94" s="141"/>
      <c r="AB94" s="142"/>
      <c r="AC94" s="142"/>
      <c r="AD94" s="142"/>
      <c r="AF94" s="140"/>
      <c r="AG94" s="141"/>
      <c r="AH94" s="142"/>
      <c r="AI94" s="142"/>
      <c r="AJ94" s="142"/>
      <c r="AL94" s="140"/>
      <c r="AM94" s="141"/>
      <c r="AN94" s="142"/>
      <c r="AO94" s="142"/>
      <c r="AP94" s="142"/>
    </row>
    <row r="95" spans="2:42" x14ac:dyDescent="0.2">
      <c r="B95" s="140"/>
      <c r="C95" s="141"/>
      <c r="D95" s="142"/>
      <c r="E95" s="142"/>
      <c r="F95" s="142"/>
      <c r="H95" s="140"/>
      <c r="I95" s="141"/>
      <c r="J95" s="142"/>
      <c r="K95" s="142"/>
      <c r="L95" s="142"/>
      <c r="N95" s="140"/>
      <c r="O95" s="141"/>
      <c r="P95" s="142"/>
      <c r="Q95" s="142"/>
      <c r="R95" s="142"/>
      <c r="T95" s="140"/>
      <c r="U95" s="141"/>
      <c r="V95" s="142"/>
      <c r="W95" s="142"/>
      <c r="X95" s="142"/>
      <c r="Z95" s="140"/>
      <c r="AA95" s="141"/>
      <c r="AB95" s="142"/>
      <c r="AC95" s="142"/>
      <c r="AD95" s="142"/>
      <c r="AF95" s="140"/>
      <c r="AG95" s="141"/>
      <c r="AH95" s="142"/>
      <c r="AI95" s="142"/>
      <c r="AJ95" s="142"/>
      <c r="AL95" s="140"/>
      <c r="AM95" s="141"/>
      <c r="AN95" s="142"/>
      <c r="AO95" s="142"/>
      <c r="AP95" s="142"/>
    </row>
    <row r="96" spans="2:42" x14ac:dyDescent="0.2">
      <c r="B96" s="140"/>
      <c r="C96" s="141"/>
      <c r="D96" s="142"/>
      <c r="E96" s="142"/>
      <c r="F96" s="142"/>
      <c r="H96" s="140"/>
      <c r="I96" s="141"/>
      <c r="J96" s="142"/>
      <c r="K96" s="142"/>
      <c r="L96" s="142"/>
      <c r="N96" s="140"/>
      <c r="O96" s="141"/>
      <c r="P96" s="142"/>
      <c r="Q96" s="142"/>
      <c r="R96" s="142"/>
      <c r="T96" s="140"/>
      <c r="U96" s="141"/>
      <c r="V96" s="142"/>
      <c r="W96" s="142"/>
      <c r="X96" s="142"/>
      <c r="Z96" s="140"/>
      <c r="AA96" s="141"/>
      <c r="AB96" s="142"/>
      <c r="AC96" s="142"/>
      <c r="AD96" s="142"/>
      <c r="AF96" s="140"/>
      <c r="AG96" s="141"/>
      <c r="AH96" s="142"/>
      <c r="AI96" s="142"/>
      <c r="AJ96" s="142"/>
      <c r="AL96" s="140"/>
      <c r="AM96" s="141"/>
      <c r="AN96" s="142"/>
      <c r="AO96" s="142"/>
      <c r="AP96" s="142"/>
    </row>
    <row r="97" spans="2:42" x14ac:dyDescent="0.2">
      <c r="B97" s="140"/>
      <c r="C97" s="141"/>
      <c r="D97" s="142"/>
      <c r="E97" s="142"/>
      <c r="F97" s="142"/>
      <c r="H97" s="140"/>
      <c r="I97" s="141"/>
      <c r="J97" s="142"/>
      <c r="K97" s="142"/>
      <c r="L97" s="142"/>
      <c r="N97" s="140"/>
      <c r="O97" s="141"/>
      <c r="P97" s="142"/>
      <c r="Q97" s="142"/>
      <c r="R97" s="142"/>
      <c r="T97" s="140"/>
      <c r="U97" s="141"/>
      <c r="V97" s="142"/>
      <c r="W97" s="142"/>
      <c r="X97" s="142"/>
      <c r="Z97" s="140"/>
      <c r="AA97" s="141"/>
      <c r="AB97" s="142"/>
      <c r="AC97" s="142"/>
      <c r="AD97" s="142"/>
      <c r="AF97" s="140"/>
      <c r="AG97" s="141"/>
      <c r="AH97" s="142"/>
      <c r="AI97" s="142"/>
      <c r="AJ97" s="142"/>
      <c r="AL97" s="140"/>
      <c r="AM97" s="141"/>
      <c r="AN97" s="142"/>
      <c r="AO97" s="142"/>
      <c r="AP97" s="142"/>
    </row>
    <row r="98" spans="2:42" x14ac:dyDescent="0.2">
      <c r="B98" s="140"/>
      <c r="C98" s="141"/>
      <c r="D98" s="142"/>
      <c r="E98" s="142"/>
      <c r="F98" s="142"/>
      <c r="H98" s="140"/>
      <c r="I98" s="141"/>
      <c r="J98" s="142"/>
      <c r="K98" s="142"/>
      <c r="L98" s="142"/>
      <c r="N98" s="140"/>
      <c r="O98" s="141"/>
      <c r="P98" s="142"/>
      <c r="Q98" s="142"/>
      <c r="R98" s="142"/>
      <c r="T98" s="140"/>
      <c r="U98" s="141"/>
      <c r="V98" s="142"/>
      <c r="W98" s="142"/>
      <c r="X98" s="142"/>
      <c r="Z98" s="140"/>
      <c r="AA98" s="141"/>
      <c r="AB98" s="142"/>
      <c r="AC98" s="142"/>
      <c r="AD98" s="142"/>
      <c r="AF98" s="140"/>
      <c r="AG98" s="141"/>
      <c r="AH98" s="142"/>
      <c r="AI98" s="142"/>
      <c r="AJ98" s="142"/>
      <c r="AL98" s="140"/>
      <c r="AM98" s="141"/>
      <c r="AN98" s="142"/>
      <c r="AO98" s="142"/>
      <c r="AP98" s="142"/>
    </row>
    <row r="99" spans="2:42" x14ac:dyDescent="0.2">
      <c r="B99" s="140"/>
      <c r="C99" s="141"/>
      <c r="D99" s="142"/>
      <c r="E99" s="142"/>
      <c r="F99" s="142"/>
      <c r="H99" s="140"/>
      <c r="I99" s="141"/>
      <c r="J99" s="142"/>
      <c r="K99" s="142"/>
      <c r="L99" s="142"/>
      <c r="N99" s="140"/>
      <c r="O99" s="141"/>
      <c r="P99" s="142"/>
      <c r="Q99" s="142"/>
      <c r="R99" s="142"/>
      <c r="T99" s="140"/>
      <c r="U99" s="141"/>
      <c r="V99" s="142"/>
      <c r="W99" s="142"/>
      <c r="X99" s="142"/>
      <c r="Z99" s="140"/>
      <c r="AA99" s="141"/>
      <c r="AB99" s="142"/>
      <c r="AC99" s="142"/>
      <c r="AD99" s="142"/>
      <c r="AF99" s="140"/>
      <c r="AG99" s="141"/>
      <c r="AH99" s="142"/>
      <c r="AI99" s="142"/>
      <c r="AJ99" s="142"/>
      <c r="AL99" s="140"/>
      <c r="AM99" s="141"/>
      <c r="AN99" s="142"/>
      <c r="AO99" s="142"/>
      <c r="AP99" s="142"/>
    </row>
    <row r="100" spans="2:42" x14ac:dyDescent="0.2">
      <c r="B100" s="140"/>
      <c r="C100" s="141"/>
      <c r="D100" s="142"/>
      <c r="E100" s="142"/>
      <c r="F100" s="142"/>
      <c r="H100" s="140"/>
      <c r="I100" s="141"/>
      <c r="J100" s="142"/>
      <c r="K100" s="142"/>
      <c r="L100" s="142"/>
      <c r="N100" s="140"/>
      <c r="O100" s="141"/>
      <c r="P100" s="142"/>
      <c r="Q100" s="142"/>
      <c r="R100" s="142"/>
      <c r="T100" s="140"/>
      <c r="U100" s="141"/>
      <c r="V100" s="142"/>
      <c r="W100" s="142"/>
      <c r="X100" s="142"/>
      <c r="Z100" s="140"/>
      <c r="AA100" s="141"/>
      <c r="AB100" s="142"/>
      <c r="AC100" s="142"/>
      <c r="AD100" s="142"/>
      <c r="AF100" s="140"/>
      <c r="AG100" s="141"/>
      <c r="AH100" s="142"/>
      <c r="AI100" s="142"/>
      <c r="AJ100" s="142"/>
      <c r="AL100" s="140"/>
      <c r="AM100" s="141"/>
      <c r="AN100" s="142"/>
      <c r="AO100" s="142"/>
      <c r="AP100" s="142"/>
    </row>
    <row r="101" spans="2:42" x14ac:dyDescent="0.2">
      <c r="B101" s="140"/>
      <c r="C101" s="141"/>
      <c r="D101" s="142"/>
      <c r="E101" s="142"/>
      <c r="F101" s="142"/>
      <c r="H101" s="140"/>
      <c r="I101" s="141"/>
      <c r="J101" s="142"/>
      <c r="K101" s="142"/>
      <c r="L101" s="142"/>
      <c r="N101" s="140"/>
      <c r="O101" s="141"/>
      <c r="P101" s="142"/>
      <c r="Q101" s="142"/>
      <c r="R101" s="142"/>
      <c r="T101" s="140"/>
      <c r="U101" s="141"/>
      <c r="V101" s="142"/>
      <c r="W101" s="142"/>
      <c r="X101" s="142"/>
      <c r="Z101" s="140"/>
      <c r="AA101" s="141"/>
      <c r="AB101" s="142"/>
      <c r="AC101" s="142"/>
      <c r="AD101" s="142"/>
      <c r="AF101" s="140"/>
      <c r="AG101" s="141"/>
      <c r="AH101" s="142"/>
      <c r="AI101" s="142"/>
      <c r="AJ101" s="142"/>
      <c r="AL101" s="140"/>
      <c r="AM101" s="141"/>
      <c r="AN101" s="142"/>
      <c r="AO101" s="142"/>
      <c r="AP101" s="142"/>
    </row>
    <row r="102" spans="2:42" x14ac:dyDescent="0.2">
      <c r="B102" s="140"/>
      <c r="C102" s="141"/>
      <c r="D102" s="142"/>
      <c r="E102" s="142"/>
      <c r="F102" s="142"/>
      <c r="H102" s="140"/>
      <c r="I102" s="141"/>
      <c r="J102" s="142"/>
      <c r="K102" s="142"/>
      <c r="L102" s="142"/>
      <c r="N102" s="140"/>
      <c r="O102" s="141"/>
      <c r="P102" s="142"/>
      <c r="Q102" s="142"/>
      <c r="R102" s="142"/>
      <c r="T102" s="140"/>
      <c r="U102" s="141"/>
      <c r="V102" s="142"/>
      <c r="W102" s="142"/>
      <c r="X102" s="142"/>
      <c r="Z102" s="140"/>
      <c r="AA102" s="141"/>
      <c r="AB102" s="142"/>
      <c r="AC102" s="142"/>
      <c r="AD102" s="142"/>
      <c r="AF102" s="140"/>
      <c r="AG102" s="141"/>
      <c r="AH102" s="142"/>
      <c r="AI102" s="142"/>
      <c r="AJ102" s="142"/>
      <c r="AL102" s="140"/>
      <c r="AM102" s="141"/>
      <c r="AN102" s="142"/>
      <c r="AO102" s="142"/>
      <c r="AP102" s="142"/>
    </row>
    <row r="103" spans="2:42" x14ac:dyDescent="0.2">
      <c r="B103" s="140"/>
      <c r="C103" s="141"/>
      <c r="D103" s="142"/>
      <c r="E103" s="142"/>
      <c r="F103" s="142"/>
      <c r="H103" s="140"/>
      <c r="I103" s="141"/>
      <c r="J103" s="142"/>
      <c r="K103" s="142"/>
      <c r="L103" s="142"/>
      <c r="N103" s="140"/>
      <c r="O103" s="141"/>
      <c r="P103" s="142"/>
      <c r="Q103" s="142"/>
      <c r="R103" s="142"/>
      <c r="T103" s="140"/>
      <c r="U103" s="141"/>
      <c r="V103" s="142"/>
      <c r="W103" s="142"/>
      <c r="X103" s="142"/>
      <c r="Z103" s="140"/>
      <c r="AA103" s="141"/>
      <c r="AB103" s="142"/>
      <c r="AC103" s="142"/>
      <c r="AD103" s="142"/>
      <c r="AF103" s="140"/>
      <c r="AG103" s="141"/>
      <c r="AH103" s="142"/>
      <c r="AI103" s="142"/>
      <c r="AJ103" s="142"/>
      <c r="AL103" s="140"/>
      <c r="AM103" s="141"/>
      <c r="AN103" s="142"/>
      <c r="AO103" s="142"/>
      <c r="AP103" s="142"/>
    </row>
    <row r="104" spans="2:42" x14ac:dyDescent="0.2">
      <c r="B104" s="140"/>
      <c r="C104" s="141"/>
      <c r="D104" s="142"/>
      <c r="E104" s="142"/>
      <c r="F104" s="142"/>
      <c r="H104" s="140"/>
      <c r="I104" s="141"/>
      <c r="J104" s="142"/>
      <c r="K104" s="142"/>
      <c r="L104" s="142"/>
      <c r="N104" s="140"/>
      <c r="O104" s="141"/>
      <c r="P104" s="142"/>
      <c r="Q104" s="142"/>
      <c r="R104" s="142"/>
      <c r="T104" s="140"/>
      <c r="U104" s="141"/>
      <c r="V104" s="142"/>
      <c r="W104" s="142"/>
      <c r="X104" s="142"/>
      <c r="Z104" s="140"/>
      <c r="AA104" s="141"/>
      <c r="AB104" s="142"/>
      <c r="AC104" s="142"/>
      <c r="AD104" s="142"/>
      <c r="AF104" s="140"/>
      <c r="AG104" s="141"/>
      <c r="AH104" s="142"/>
      <c r="AI104" s="142"/>
      <c r="AJ104" s="142"/>
      <c r="AL104" s="140"/>
      <c r="AM104" s="141"/>
      <c r="AN104" s="142"/>
      <c r="AO104" s="142"/>
      <c r="AP104" s="142"/>
    </row>
    <row r="105" spans="2:42" x14ac:dyDescent="0.2">
      <c r="B105" s="140"/>
      <c r="C105" s="141"/>
      <c r="D105" s="142"/>
      <c r="E105" s="142"/>
      <c r="F105" s="142"/>
      <c r="H105" s="140"/>
      <c r="I105" s="141"/>
      <c r="J105" s="142"/>
      <c r="K105" s="142"/>
      <c r="L105" s="142"/>
      <c r="N105" s="140"/>
      <c r="O105" s="141"/>
      <c r="P105" s="142"/>
      <c r="Q105" s="142"/>
      <c r="R105" s="142"/>
      <c r="T105" s="140"/>
      <c r="U105" s="141"/>
      <c r="V105" s="142"/>
      <c r="W105" s="142"/>
      <c r="X105" s="142"/>
      <c r="Z105" s="140"/>
      <c r="AA105" s="141"/>
      <c r="AB105" s="142"/>
      <c r="AC105" s="142"/>
      <c r="AD105" s="142"/>
      <c r="AF105" s="140"/>
      <c r="AG105" s="141"/>
      <c r="AH105" s="142"/>
      <c r="AI105" s="142"/>
      <c r="AJ105" s="142"/>
      <c r="AL105" s="140"/>
      <c r="AM105" s="141"/>
      <c r="AN105" s="142"/>
      <c r="AO105" s="142"/>
      <c r="AP105" s="142"/>
    </row>
    <row r="106" spans="2:42" x14ac:dyDescent="0.2">
      <c r="B106" s="140"/>
      <c r="C106" s="141"/>
      <c r="D106" s="142"/>
      <c r="E106" s="142"/>
      <c r="F106" s="142"/>
      <c r="H106" s="140"/>
      <c r="I106" s="141"/>
      <c r="J106" s="142"/>
      <c r="K106" s="142"/>
      <c r="L106" s="142"/>
      <c r="N106" s="140"/>
      <c r="O106" s="141"/>
      <c r="P106" s="142"/>
      <c r="Q106" s="142"/>
      <c r="R106" s="142"/>
      <c r="T106" s="140"/>
      <c r="U106" s="141"/>
      <c r="V106" s="142"/>
      <c r="W106" s="142"/>
      <c r="X106" s="142"/>
      <c r="Z106" s="140"/>
      <c r="AA106" s="141"/>
      <c r="AB106" s="142"/>
      <c r="AC106" s="142"/>
      <c r="AD106" s="142"/>
      <c r="AF106" s="140"/>
      <c r="AG106" s="141"/>
      <c r="AH106" s="142"/>
      <c r="AI106" s="142"/>
      <c r="AJ106" s="142"/>
      <c r="AL106" s="140"/>
      <c r="AM106" s="141"/>
      <c r="AN106" s="142"/>
      <c r="AO106" s="142"/>
      <c r="AP106" s="142"/>
    </row>
    <row r="107" spans="2:42" x14ac:dyDescent="0.2">
      <c r="B107" s="140"/>
      <c r="C107" s="141"/>
      <c r="D107" s="142"/>
      <c r="E107" s="142"/>
      <c r="F107" s="142"/>
      <c r="H107" s="140"/>
      <c r="I107" s="141"/>
      <c r="J107" s="142"/>
      <c r="K107" s="142"/>
      <c r="L107" s="142"/>
      <c r="N107" s="140"/>
      <c r="O107" s="141"/>
      <c r="P107" s="142"/>
      <c r="Q107" s="142"/>
      <c r="R107" s="142"/>
      <c r="T107" s="140"/>
      <c r="U107" s="141"/>
      <c r="V107" s="142"/>
      <c r="W107" s="142"/>
      <c r="X107" s="142"/>
      <c r="Z107" s="140"/>
      <c r="AA107" s="141"/>
      <c r="AB107" s="142"/>
      <c r="AC107" s="142"/>
      <c r="AD107" s="142"/>
      <c r="AF107" s="140"/>
      <c r="AG107" s="141"/>
      <c r="AH107" s="142"/>
      <c r="AI107" s="142"/>
      <c r="AJ107" s="142"/>
      <c r="AL107" s="140"/>
      <c r="AM107" s="141"/>
      <c r="AN107" s="142"/>
      <c r="AO107" s="142"/>
      <c r="AP107" s="142"/>
    </row>
    <row r="108" spans="2:42" x14ac:dyDescent="0.2">
      <c r="B108" s="140"/>
      <c r="C108" s="141"/>
      <c r="D108" s="142"/>
      <c r="E108" s="142"/>
      <c r="F108" s="142"/>
      <c r="H108" s="140"/>
      <c r="I108" s="141"/>
      <c r="J108" s="142"/>
      <c r="K108" s="142"/>
      <c r="L108" s="142"/>
      <c r="N108" s="140"/>
      <c r="O108" s="141"/>
      <c r="P108" s="142"/>
      <c r="Q108" s="142"/>
      <c r="R108" s="142"/>
      <c r="T108" s="140"/>
      <c r="U108" s="141"/>
      <c r="V108" s="142"/>
      <c r="W108" s="142"/>
      <c r="X108" s="142"/>
      <c r="Z108" s="140"/>
      <c r="AA108" s="141"/>
      <c r="AB108" s="142"/>
      <c r="AC108" s="142"/>
      <c r="AD108" s="142"/>
      <c r="AF108" s="140"/>
      <c r="AG108" s="141"/>
      <c r="AH108" s="142"/>
      <c r="AI108" s="142"/>
      <c r="AJ108" s="142"/>
      <c r="AL108" s="140"/>
      <c r="AM108" s="141"/>
      <c r="AN108" s="142"/>
      <c r="AO108" s="142"/>
      <c r="AP108" s="142"/>
    </row>
    <row r="109" spans="2:42" x14ac:dyDescent="0.2">
      <c r="B109" s="140"/>
      <c r="C109" s="141"/>
      <c r="D109" s="142"/>
      <c r="E109" s="142"/>
      <c r="F109" s="142"/>
      <c r="H109" s="140"/>
      <c r="I109" s="141"/>
      <c r="J109" s="142"/>
      <c r="K109" s="142"/>
      <c r="L109" s="142"/>
      <c r="N109" s="140"/>
      <c r="O109" s="141"/>
      <c r="P109" s="142"/>
      <c r="Q109" s="142"/>
      <c r="R109" s="142"/>
      <c r="T109" s="140"/>
      <c r="U109" s="141"/>
      <c r="V109" s="142"/>
      <c r="W109" s="142"/>
      <c r="X109" s="142"/>
      <c r="Z109" s="140"/>
      <c r="AA109" s="141"/>
      <c r="AB109" s="142"/>
      <c r="AC109" s="142"/>
      <c r="AD109" s="142"/>
      <c r="AF109" s="140"/>
      <c r="AG109" s="141"/>
      <c r="AH109" s="142"/>
      <c r="AI109" s="142"/>
      <c r="AJ109" s="142"/>
      <c r="AL109" s="140"/>
      <c r="AM109" s="141"/>
      <c r="AN109" s="142"/>
      <c r="AO109" s="142"/>
      <c r="AP109" s="142"/>
    </row>
    <row r="110" spans="2:42" x14ac:dyDescent="0.2">
      <c r="B110" s="140"/>
      <c r="C110" s="141"/>
      <c r="D110" s="142"/>
      <c r="E110" s="142"/>
      <c r="F110" s="142"/>
      <c r="H110" s="140"/>
      <c r="I110" s="141"/>
      <c r="J110" s="142"/>
      <c r="K110" s="142"/>
      <c r="L110" s="142"/>
      <c r="N110" s="140"/>
      <c r="O110" s="141"/>
      <c r="P110" s="142"/>
      <c r="Q110" s="142"/>
      <c r="R110" s="142"/>
      <c r="T110" s="140"/>
      <c r="U110" s="141"/>
      <c r="V110" s="142"/>
      <c r="W110" s="142"/>
      <c r="X110" s="142"/>
      <c r="Z110" s="140"/>
      <c r="AA110" s="141"/>
      <c r="AB110" s="142"/>
      <c r="AC110" s="142"/>
      <c r="AD110" s="142"/>
      <c r="AF110" s="140"/>
      <c r="AG110" s="141"/>
      <c r="AH110" s="142"/>
      <c r="AI110" s="142"/>
      <c r="AJ110" s="142"/>
      <c r="AL110" s="140"/>
      <c r="AM110" s="141"/>
      <c r="AN110" s="142"/>
      <c r="AO110" s="142"/>
      <c r="AP110" s="142"/>
    </row>
    <row r="111" spans="2:42" x14ac:dyDescent="0.2">
      <c r="B111" s="140"/>
      <c r="C111" s="141"/>
      <c r="D111" s="142"/>
      <c r="E111" s="142"/>
      <c r="F111" s="142"/>
      <c r="H111" s="140"/>
      <c r="I111" s="141"/>
      <c r="J111" s="142"/>
      <c r="K111" s="142"/>
      <c r="L111" s="142"/>
      <c r="N111" s="140"/>
      <c r="O111" s="141"/>
      <c r="P111" s="142"/>
      <c r="Q111" s="142"/>
      <c r="R111" s="142"/>
      <c r="T111" s="140"/>
      <c r="U111" s="141"/>
      <c r="V111" s="142"/>
      <c r="W111" s="142"/>
      <c r="X111" s="142"/>
      <c r="Z111" s="140"/>
      <c r="AA111" s="141"/>
      <c r="AB111" s="142"/>
      <c r="AC111" s="142"/>
      <c r="AD111" s="142"/>
      <c r="AF111" s="140"/>
      <c r="AG111" s="141"/>
      <c r="AH111" s="142"/>
      <c r="AI111" s="142"/>
      <c r="AJ111" s="142"/>
      <c r="AL111" s="140"/>
      <c r="AM111" s="141"/>
      <c r="AN111" s="142"/>
      <c r="AO111" s="142"/>
      <c r="AP111" s="142"/>
    </row>
    <row r="112" spans="2:42" x14ac:dyDescent="0.2">
      <c r="B112" s="140"/>
      <c r="C112" s="141"/>
      <c r="D112" s="142"/>
      <c r="E112" s="142"/>
      <c r="F112" s="142"/>
      <c r="H112" s="140"/>
      <c r="I112" s="141"/>
      <c r="J112" s="142"/>
      <c r="K112" s="142"/>
      <c r="L112" s="142"/>
      <c r="N112" s="140"/>
      <c r="O112" s="141"/>
      <c r="P112" s="142"/>
      <c r="Q112" s="142"/>
      <c r="R112" s="142"/>
      <c r="T112" s="140"/>
      <c r="U112" s="141"/>
      <c r="V112" s="142"/>
      <c r="W112" s="142"/>
      <c r="X112" s="142"/>
      <c r="Z112" s="140"/>
      <c r="AA112" s="141"/>
      <c r="AB112" s="142"/>
      <c r="AC112" s="142"/>
      <c r="AD112" s="142"/>
      <c r="AF112" s="140"/>
      <c r="AG112" s="141"/>
      <c r="AH112" s="142"/>
      <c r="AI112" s="142"/>
      <c r="AJ112" s="142"/>
      <c r="AL112" s="140"/>
      <c r="AM112" s="141"/>
      <c r="AN112" s="142"/>
      <c r="AO112" s="142"/>
      <c r="AP112" s="142"/>
    </row>
    <row r="113" spans="2:42" x14ac:dyDescent="0.2">
      <c r="B113" s="140"/>
      <c r="C113" s="141"/>
      <c r="D113" s="142"/>
      <c r="E113" s="142"/>
      <c r="F113" s="142"/>
      <c r="H113" s="140"/>
      <c r="I113" s="141"/>
      <c r="J113" s="142"/>
      <c r="K113" s="142"/>
      <c r="L113" s="142"/>
      <c r="N113" s="140"/>
      <c r="O113" s="141"/>
      <c r="P113" s="142"/>
      <c r="Q113" s="142"/>
      <c r="R113" s="142"/>
      <c r="T113" s="140"/>
      <c r="U113" s="141"/>
      <c r="V113" s="142"/>
      <c r="W113" s="142"/>
      <c r="X113" s="142"/>
      <c r="Z113" s="140"/>
      <c r="AA113" s="141"/>
      <c r="AB113" s="142"/>
      <c r="AC113" s="142"/>
      <c r="AD113" s="142"/>
      <c r="AF113" s="140"/>
      <c r="AG113" s="141"/>
      <c r="AH113" s="142"/>
      <c r="AI113" s="142"/>
      <c r="AJ113" s="142"/>
      <c r="AL113" s="140"/>
      <c r="AM113" s="141"/>
      <c r="AN113" s="142"/>
      <c r="AO113" s="142"/>
      <c r="AP113" s="142"/>
    </row>
    <row r="114" spans="2:42" x14ac:dyDescent="0.2">
      <c r="B114" s="140"/>
      <c r="C114" s="141"/>
      <c r="D114" s="142"/>
      <c r="E114" s="142"/>
      <c r="F114" s="142"/>
      <c r="H114" s="140"/>
      <c r="I114" s="141"/>
      <c r="J114" s="142"/>
      <c r="K114" s="142"/>
      <c r="L114" s="142"/>
      <c r="N114" s="140"/>
      <c r="O114" s="141"/>
      <c r="P114" s="142"/>
      <c r="Q114" s="142"/>
      <c r="R114" s="142"/>
      <c r="T114" s="140"/>
      <c r="U114" s="141"/>
      <c r="V114" s="142"/>
      <c r="W114" s="142"/>
      <c r="X114" s="142"/>
      <c r="Z114" s="140"/>
      <c r="AA114" s="141"/>
      <c r="AB114" s="142"/>
      <c r="AC114" s="142"/>
      <c r="AD114" s="142"/>
      <c r="AF114" s="140"/>
      <c r="AG114" s="141"/>
      <c r="AH114" s="142"/>
      <c r="AI114" s="142"/>
      <c r="AJ114" s="142"/>
      <c r="AL114" s="140"/>
      <c r="AM114" s="141"/>
      <c r="AN114" s="142"/>
      <c r="AO114" s="142"/>
      <c r="AP114" s="142"/>
    </row>
    <row r="115" spans="2:42" x14ac:dyDescent="0.2">
      <c r="B115" s="140"/>
      <c r="C115" s="141"/>
      <c r="D115" s="142"/>
      <c r="E115" s="142"/>
      <c r="F115" s="142"/>
      <c r="H115" s="140"/>
      <c r="I115" s="141"/>
      <c r="J115" s="142"/>
      <c r="K115" s="142"/>
      <c r="L115" s="142"/>
      <c r="N115" s="140"/>
      <c r="O115" s="141"/>
      <c r="P115" s="142"/>
      <c r="Q115" s="142"/>
      <c r="R115" s="142"/>
      <c r="T115" s="140"/>
      <c r="U115" s="141"/>
      <c r="V115" s="142"/>
      <c r="W115" s="142"/>
      <c r="X115" s="142"/>
      <c r="Z115" s="140"/>
      <c r="AA115" s="141"/>
      <c r="AB115" s="142"/>
      <c r="AC115" s="142"/>
      <c r="AD115" s="142"/>
      <c r="AF115" s="140"/>
      <c r="AG115" s="141"/>
      <c r="AH115" s="142"/>
      <c r="AI115" s="142"/>
      <c r="AJ115" s="142"/>
      <c r="AL115" s="140"/>
      <c r="AM115" s="141"/>
      <c r="AN115" s="142"/>
      <c r="AO115" s="142"/>
      <c r="AP115" s="142"/>
    </row>
    <row r="116" spans="2:42" x14ac:dyDescent="0.2">
      <c r="B116" s="140"/>
      <c r="C116" s="141"/>
      <c r="D116" s="142"/>
      <c r="E116" s="142"/>
      <c r="F116" s="142"/>
      <c r="H116" s="140"/>
      <c r="I116" s="141"/>
      <c r="J116" s="142"/>
      <c r="K116" s="142"/>
      <c r="L116" s="142"/>
      <c r="N116" s="140"/>
      <c r="O116" s="141"/>
      <c r="P116" s="142"/>
      <c r="Q116" s="142"/>
      <c r="R116" s="142"/>
      <c r="T116" s="140"/>
      <c r="U116" s="141"/>
      <c r="V116" s="142"/>
      <c r="W116" s="142"/>
      <c r="X116" s="142"/>
      <c r="Z116" s="140"/>
      <c r="AA116" s="141"/>
      <c r="AB116" s="142"/>
      <c r="AC116" s="142"/>
      <c r="AD116" s="142"/>
      <c r="AF116" s="140"/>
      <c r="AG116" s="141"/>
      <c r="AH116" s="142"/>
      <c r="AI116" s="142"/>
      <c r="AJ116" s="142"/>
      <c r="AL116" s="140"/>
      <c r="AM116" s="141"/>
      <c r="AN116" s="142"/>
      <c r="AO116" s="142"/>
      <c r="AP116" s="142"/>
    </row>
    <row r="117" spans="2:42" x14ac:dyDescent="0.2">
      <c r="B117" s="140"/>
      <c r="C117" s="141"/>
      <c r="D117" s="142"/>
      <c r="E117" s="142"/>
      <c r="F117" s="142"/>
      <c r="H117" s="140"/>
      <c r="I117" s="141"/>
      <c r="J117" s="142"/>
      <c r="K117" s="142"/>
      <c r="L117" s="142"/>
      <c r="N117" s="140"/>
      <c r="O117" s="141"/>
      <c r="P117" s="142"/>
      <c r="Q117" s="142"/>
      <c r="R117" s="142"/>
      <c r="T117" s="140"/>
      <c r="U117" s="141"/>
      <c r="V117" s="142"/>
      <c r="W117" s="142"/>
      <c r="X117" s="142"/>
      <c r="Z117" s="140"/>
      <c r="AA117" s="141"/>
      <c r="AB117" s="142"/>
      <c r="AC117" s="142"/>
      <c r="AD117" s="142"/>
      <c r="AF117" s="140"/>
      <c r="AG117" s="141"/>
      <c r="AH117" s="142"/>
      <c r="AI117" s="142"/>
      <c r="AJ117" s="142"/>
      <c r="AL117" s="140"/>
      <c r="AM117" s="141"/>
      <c r="AN117" s="142"/>
      <c r="AO117" s="142"/>
      <c r="AP117" s="142"/>
    </row>
    <row r="118" spans="2:42" x14ac:dyDescent="0.2">
      <c r="B118" s="140"/>
      <c r="C118" s="141"/>
      <c r="D118" s="142"/>
      <c r="E118" s="142"/>
      <c r="F118" s="142"/>
      <c r="H118" s="140"/>
      <c r="I118" s="141"/>
      <c r="J118" s="142"/>
      <c r="K118" s="142"/>
      <c r="L118" s="142"/>
      <c r="N118" s="140"/>
      <c r="O118" s="141"/>
      <c r="P118" s="142"/>
      <c r="Q118" s="142"/>
      <c r="R118" s="142"/>
      <c r="T118" s="140"/>
      <c r="U118" s="141"/>
      <c r="V118" s="142"/>
      <c r="W118" s="142"/>
      <c r="X118" s="142"/>
      <c r="Z118" s="140"/>
      <c r="AA118" s="141"/>
      <c r="AB118" s="142"/>
      <c r="AC118" s="142"/>
      <c r="AD118" s="142"/>
      <c r="AF118" s="140"/>
      <c r="AG118" s="141"/>
      <c r="AH118" s="142"/>
      <c r="AI118" s="142"/>
      <c r="AJ118" s="142"/>
      <c r="AL118" s="140"/>
      <c r="AM118" s="141"/>
      <c r="AN118" s="142"/>
      <c r="AO118" s="142"/>
      <c r="AP118" s="142"/>
    </row>
    <row r="119" spans="2:42" x14ac:dyDescent="0.2">
      <c r="B119" s="140"/>
      <c r="C119" s="141"/>
      <c r="D119" s="142"/>
      <c r="E119" s="142"/>
      <c r="F119" s="142"/>
      <c r="H119" s="140"/>
      <c r="I119" s="141"/>
      <c r="J119" s="142"/>
      <c r="K119" s="142"/>
      <c r="L119" s="142"/>
      <c r="N119" s="140"/>
      <c r="O119" s="141"/>
      <c r="P119" s="142"/>
      <c r="Q119" s="142"/>
      <c r="R119" s="142"/>
      <c r="T119" s="140"/>
      <c r="U119" s="141"/>
      <c r="V119" s="142"/>
      <c r="W119" s="142"/>
      <c r="X119" s="142"/>
      <c r="Z119" s="140"/>
      <c r="AA119" s="141"/>
      <c r="AB119" s="142"/>
      <c r="AC119" s="142"/>
      <c r="AD119" s="142"/>
      <c r="AF119" s="140"/>
      <c r="AG119" s="141"/>
      <c r="AH119" s="142"/>
      <c r="AI119" s="142"/>
      <c r="AJ119" s="142"/>
      <c r="AL119" s="140"/>
      <c r="AM119" s="141"/>
      <c r="AN119" s="142"/>
      <c r="AO119" s="142"/>
      <c r="AP119" s="142"/>
    </row>
    <row r="120" spans="2:42" x14ac:dyDescent="0.2">
      <c r="B120" s="140"/>
      <c r="C120" s="141"/>
      <c r="D120" s="142"/>
      <c r="E120" s="142"/>
      <c r="F120" s="142"/>
      <c r="H120" s="140"/>
      <c r="I120" s="141"/>
      <c r="J120" s="142"/>
      <c r="K120" s="142"/>
      <c r="L120" s="142"/>
      <c r="N120" s="140"/>
      <c r="O120" s="141"/>
      <c r="P120" s="142"/>
      <c r="Q120" s="142"/>
      <c r="R120" s="142"/>
      <c r="T120" s="140"/>
      <c r="U120" s="141"/>
      <c r="V120" s="142"/>
      <c r="W120" s="142"/>
      <c r="X120" s="142"/>
      <c r="Z120" s="140"/>
      <c r="AA120" s="141"/>
      <c r="AB120" s="142"/>
      <c r="AC120" s="142"/>
      <c r="AD120" s="142"/>
      <c r="AF120" s="140"/>
      <c r="AG120" s="141"/>
      <c r="AH120" s="142"/>
      <c r="AI120" s="142"/>
      <c r="AJ120" s="142"/>
      <c r="AL120" s="140"/>
      <c r="AM120" s="141"/>
      <c r="AN120" s="142"/>
      <c r="AO120" s="142"/>
      <c r="AP120" s="142"/>
    </row>
    <row r="121" spans="2:42" x14ac:dyDescent="0.2">
      <c r="B121" s="140"/>
      <c r="C121" s="141"/>
      <c r="D121" s="142"/>
      <c r="E121" s="142"/>
      <c r="F121" s="142"/>
      <c r="H121" s="140"/>
      <c r="I121" s="141"/>
      <c r="J121" s="142"/>
      <c r="K121" s="142"/>
      <c r="L121" s="142"/>
      <c r="N121" s="140"/>
      <c r="O121" s="141"/>
      <c r="P121" s="142"/>
      <c r="Q121" s="142"/>
      <c r="R121" s="142"/>
      <c r="T121" s="140"/>
      <c r="U121" s="141"/>
      <c r="V121" s="142"/>
      <c r="W121" s="142"/>
      <c r="X121" s="142"/>
      <c r="Z121" s="140"/>
      <c r="AA121" s="141"/>
      <c r="AB121" s="142"/>
      <c r="AC121" s="142"/>
      <c r="AD121" s="142"/>
      <c r="AF121" s="140"/>
      <c r="AG121" s="141"/>
      <c r="AH121" s="142"/>
      <c r="AI121" s="142"/>
      <c r="AJ121" s="142"/>
      <c r="AL121" s="140"/>
      <c r="AM121" s="141"/>
      <c r="AN121" s="142"/>
      <c r="AO121" s="142"/>
      <c r="AP121" s="142"/>
    </row>
    <row r="122" spans="2:42" x14ac:dyDescent="0.2">
      <c r="B122" s="140"/>
      <c r="C122" s="141"/>
      <c r="D122" s="142"/>
      <c r="E122" s="142"/>
      <c r="F122" s="142"/>
      <c r="H122" s="140"/>
      <c r="I122" s="141"/>
      <c r="J122" s="142"/>
      <c r="K122" s="142"/>
      <c r="L122" s="142"/>
      <c r="N122" s="140"/>
      <c r="O122" s="141"/>
      <c r="P122" s="142"/>
      <c r="Q122" s="142"/>
      <c r="R122" s="142"/>
      <c r="T122" s="140"/>
      <c r="U122" s="141"/>
      <c r="V122" s="142"/>
      <c r="W122" s="142"/>
      <c r="X122" s="142"/>
      <c r="Z122" s="140"/>
      <c r="AA122" s="141"/>
      <c r="AB122" s="142"/>
      <c r="AC122" s="142"/>
      <c r="AD122" s="142"/>
      <c r="AF122" s="140"/>
      <c r="AG122" s="141"/>
      <c r="AH122" s="142"/>
      <c r="AI122" s="142"/>
      <c r="AJ122" s="142"/>
      <c r="AL122" s="140"/>
      <c r="AM122" s="141"/>
      <c r="AN122" s="142"/>
      <c r="AO122" s="142"/>
      <c r="AP122" s="142"/>
    </row>
    <row r="123" spans="2:42" x14ac:dyDescent="0.2">
      <c r="B123" s="140"/>
      <c r="C123" s="141"/>
      <c r="D123" s="142"/>
      <c r="E123" s="142"/>
      <c r="F123" s="142"/>
      <c r="H123" s="140"/>
      <c r="I123" s="141"/>
      <c r="J123" s="142"/>
      <c r="K123" s="142"/>
      <c r="L123" s="142"/>
      <c r="N123" s="140"/>
      <c r="O123" s="141"/>
      <c r="P123" s="142"/>
      <c r="Q123" s="142"/>
      <c r="R123" s="142"/>
      <c r="T123" s="140"/>
      <c r="U123" s="141"/>
      <c r="V123" s="142"/>
      <c r="W123" s="142"/>
      <c r="X123" s="142"/>
      <c r="Z123" s="140"/>
      <c r="AA123" s="141"/>
      <c r="AB123" s="142"/>
      <c r="AC123" s="142"/>
      <c r="AD123" s="142"/>
      <c r="AF123" s="140"/>
      <c r="AG123" s="141"/>
      <c r="AH123" s="142"/>
      <c r="AI123" s="142"/>
      <c r="AJ123" s="142"/>
      <c r="AL123" s="140"/>
      <c r="AM123" s="141"/>
      <c r="AN123" s="142"/>
      <c r="AO123" s="142"/>
      <c r="AP123" s="142"/>
    </row>
    <row r="124" spans="2:42" x14ac:dyDescent="0.2">
      <c r="B124" s="140"/>
      <c r="C124" s="141"/>
      <c r="D124" s="142"/>
      <c r="E124" s="142"/>
      <c r="F124" s="142"/>
      <c r="H124" s="140"/>
      <c r="I124" s="141"/>
      <c r="J124" s="142"/>
      <c r="K124" s="142"/>
      <c r="L124" s="142"/>
      <c r="N124" s="140"/>
      <c r="O124" s="141"/>
      <c r="P124" s="142"/>
      <c r="Q124" s="142"/>
      <c r="R124" s="142"/>
      <c r="T124" s="140"/>
      <c r="U124" s="141"/>
      <c r="V124" s="142"/>
      <c r="W124" s="142"/>
      <c r="X124" s="142"/>
      <c r="Z124" s="140"/>
      <c r="AA124" s="141"/>
      <c r="AB124" s="142"/>
      <c r="AC124" s="142"/>
      <c r="AD124" s="142"/>
      <c r="AF124" s="140"/>
      <c r="AG124" s="141"/>
      <c r="AH124" s="142"/>
      <c r="AI124" s="142"/>
      <c r="AJ124" s="142"/>
      <c r="AL124" s="140"/>
      <c r="AM124" s="141"/>
      <c r="AN124" s="142"/>
      <c r="AO124" s="142"/>
      <c r="AP124" s="142"/>
    </row>
    <row r="125" spans="2:42" x14ac:dyDescent="0.2">
      <c r="B125" s="140"/>
      <c r="C125" s="141"/>
      <c r="D125" s="142"/>
      <c r="E125" s="142"/>
      <c r="F125" s="142"/>
      <c r="H125" s="140"/>
      <c r="I125" s="141"/>
      <c r="J125" s="142"/>
      <c r="K125" s="142"/>
      <c r="L125" s="142"/>
      <c r="N125" s="140"/>
      <c r="O125" s="141"/>
      <c r="P125" s="142"/>
      <c r="Q125" s="142"/>
      <c r="R125" s="142"/>
      <c r="T125" s="140"/>
      <c r="U125" s="141"/>
      <c r="V125" s="142"/>
      <c r="W125" s="142"/>
      <c r="X125" s="142"/>
      <c r="Z125" s="140"/>
      <c r="AA125" s="141"/>
      <c r="AB125" s="142"/>
      <c r="AC125" s="142"/>
      <c r="AD125" s="142"/>
      <c r="AF125" s="140"/>
      <c r="AG125" s="141"/>
      <c r="AH125" s="142"/>
      <c r="AI125" s="142"/>
      <c r="AJ125" s="142"/>
      <c r="AL125" s="140"/>
      <c r="AM125" s="141"/>
      <c r="AN125" s="142"/>
      <c r="AO125" s="142"/>
      <c r="AP125" s="142"/>
    </row>
    <row r="126" spans="2:42" x14ac:dyDescent="0.2">
      <c r="B126" s="140"/>
      <c r="C126" s="141"/>
      <c r="D126" s="142"/>
      <c r="E126" s="142"/>
      <c r="F126" s="142"/>
      <c r="H126" s="140"/>
      <c r="I126" s="141"/>
      <c r="J126" s="142"/>
      <c r="K126" s="142"/>
      <c r="L126" s="142"/>
      <c r="N126" s="140"/>
      <c r="O126" s="141"/>
      <c r="P126" s="142"/>
      <c r="Q126" s="142"/>
      <c r="R126" s="142"/>
      <c r="T126" s="140"/>
      <c r="U126" s="141"/>
      <c r="V126" s="142"/>
      <c r="W126" s="142"/>
      <c r="X126" s="142"/>
      <c r="Z126" s="140"/>
      <c r="AA126" s="141"/>
      <c r="AB126" s="142"/>
      <c r="AC126" s="142"/>
      <c r="AD126" s="142"/>
      <c r="AF126" s="140"/>
      <c r="AG126" s="141"/>
      <c r="AH126" s="142"/>
      <c r="AI126" s="142"/>
      <c r="AJ126" s="142"/>
      <c r="AL126" s="140"/>
      <c r="AM126" s="141"/>
      <c r="AN126" s="142"/>
      <c r="AO126" s="142"/>
      <c r="AP126" s="142"/>
    </row>
    <row r="127" spans="2:42" x14ac:dyDescent="0.2">
      <c r="B127" s="140"/>
      <c r="C127" s="141"/>
      <c r="D127" s="142"/>
      <c r="E127" s="142"/>
      <c r="F127" s="142"/>
      <c r="H127" s="140"/>
      <c r="I127" s="141"/>
      <c r="J127" s="142"/>
      <c r="K127" s="142"/>
      <c r="L127" s="142"/>
      <c r="N127" s="140"/>
      <c r="O127" s="141"/>
      <c r="P127" s="142"/>
      <c r="Q127" s="142"/>
      <c r="R127" s="142"/>
      <c r="T127" s="140"/>
      <c r="U127" s="141"/>
      <c r="V127" s="142"/>
      <c r="W127" s="142"/>
      <c r="X127" s="142"/>
      <c r="Z127" s="140"/>
      <c r="AA127" s="141"/>
      <c r="AB127" s="142"/>
      <c r="AC127" s="142"/>
      <c r="AD127" s="142"/>
      <c r="AF127" s="140"/>
      <c r="AG127" s="141"/>
      <c r="AH127" s="142"/>
      <c r="AI127" s="142"/>
      <c r="AJ127" s="142"/>
      <c r="AL127" s="140"/>
      <c r="AM127" s="141"/>
      <c r="AN127" s="142"/>
      <c r="AO127" s="142"/>
      <c r="AP127" s="142"/>
    </row>
    <row r="128" spans="2:42" x14ac:dyDescent="0.2">
      <c r="B128" s="140"/>
      <c r="C128" s="141"/>
      <c r="D128" s="142"/>
      <c r="E128" s="142"/>
      <c r="F128" s="142"/>
      <c r="H128" s="140"/>
      <c r="I128" s="141"/>
      <c r="J128" s="142"/>
      <c r="K128" s="142"/>
      <c r="L128" s="142"/>
      <c r="N128" s="140"/>
      <c r="O128" s="141"/>
      <c r="P128" s="142"/>
      <c r="Q128" s="142"/>
      <c r="R128" s="142"/>
      <c r="T128" s="140"/>
      <c r="U128" s="141"/>
      <c r="V128" s="142"/>
      <c r="W128" s="142"/>
      <c r="X128" s="142"/>
      <c r="Z128" s="140"/>
      <c r="AA128" s="141"/>
      <c r="AB128" s="142"/>
      <c r="AC128" s="142"/>
      <c r="AD128" s="142"/>
      <c r="AF128" s="140"/>
      <c r="AG128" s="141"/>
      <c r="AH128" s="142"/>
      <c r="AI128" s="142"/>
      <c r="AJ128" s="142"/>
      <c r="AL128" s="140"/>
      <c r="AM128" s="141"/>
      <c r="AN128" s="142"/>
      <c r="AO128" s="142"/>
      <c r="AP128" s="142"/>
    </row>
    <row r="129" spans="2:42" x14ac:dyDescent="0.2">
      <c r="B129" s="140"/>
      <c r="C129" s="141"/>
      <c r="D129" s="142"/>
      <c r="E129" s="142"/>
      <c r="F129" s="142"/>
      <c r="H129" s="140"/>
      <c r="I129" s="141"/>
      <c r="J129" s="142"/>
      <c r="K129" s="142"/>
      <c r="L129" s="142"/>
      <c r="N129" s="140"/>
      <c r="O129" s="141"/>
      <c r="P129" s="142"/>
      <c r="Q129" s="142"/>
      <c r="R129" s="142"/>
      <c r="T129" s="140"/>
      <c r="U129" s="141"/>
      <c r="V129" s="142"/>
      <c r="W129" s="142"/>
      <c r="X129" s="142"/>
      <c r="Z129" s="140"/>
      <c r="AA129" s="141"/>
      <c r="AB129" s="142"/>
      <c r="AC129" s="142"/>
      <c r="AD129" s="142"/>
      <c r="AF129" s="140"/>
      <c r="AG129" s="141"/>
      <c r="AH129" s="142"/>
      <c r="AI129" s="142"/>
      <c r="AJ129" s="142"/>
      <c r="AL129" s="140"/>
      <c r="AM129" s="141"/>
      <c r="AN129" s="142"/>
      <c r="AO129" s="142"/>
      <c r="AP129" s="142"/>
    </row>
    <row r="130" spans="2:42" x14ac:dyDescent="0.2">
      <c r="B130" s="140"/>
      <c r="C130" s="141"/>
      <c r="D130" s="142"/>
      <c r="E130" s="142"/>
      <c r="F130" s="142"/>
      <c r="H130" s="140"/>
      <c r="I130" s="141"/>
      <c r="J130" s="142"/>
      <c r="K130" s="142"/>
      <c r="L130" s="142"/>
      <c r="N130" s="140"/>
      <c r="O130" s="141"/>
      <c r="P130" s="142"/>
      <c r="Q130" s="142"/>
      <c r="R130" s="142"/>
      <c r="T130" s="140"/>
      <c r="U130" s="141"/>
      <c r="V130" s="142"/>
      <c r="W130" s="142"/>
      <c r="X130" s="142"/>
      <c r="Z130" s="140"/>
      <c r="AA130" s="141"/>
      <c r="AB130" s="142"/>
      <c r="AC130" s="142"/>
      <c r="AD130" s="142"/>
      <c r="AF130" s="140"/>
      <c r="AG130" s="141"/>
      <c r="AH130" s="142"/>
      <c r="AI130" s="142"/>
      <c r="AJ130" s="142"/>
      <c r="AL130" s="140"/>
      <c r="AM130" s="141"/>
      <c r="AN130" s="142"/>
      <c r="AO130" s="142"/>
      <c r="AP130" s="142"/>
    </row>
    <row r="131" spans="2:42" x14ac:dyDescent="0.2">
      <c r="B131" s="140"/>
      <c r="C131" s="141"/>
      <c r="D131" s="142"/>
      <c r="E131" s="142"/>
      <c r="F131" s="142"/>
      <c r="H131" s="140"/>
      <c r="I131" s="141"/>
      <c r="J131" s="142"/>
      <c r="K131" s="142"/>
      <c r="L131" s="142"/>
      <c r="N131" s="140"/>
      <c r="O131" s="141"/>
      <c r="P131" s="142"/>
      <c r="Q131" s="142"/>
      <c r="R131" s="142"/>
      <c r="T131" s="140"/>
      <c r="U131" s="141"/>
      <c r="V131" s="142"/>
      <c r="W131" s="142"/>
      <c r="X131" s="142"/>
      <c r="Z131" s="140"/>
      <c r="AA131" s="141"/>
      <c r="AB131" s="142"/>
      <c r="AC131" s="142"/>
      <c r="AD131" s="142"/>
      <c r="AF131" s="140"/>
      <c r="AG131" s="141"/>
      <c r="AH131" s="142"/>
      <c r="AI131" s="142"/>
      <c r="AJ131" s="142"/>
      <c r="AL131" s="140"/>
      <c r="AM131" s="141"/>
      <c r="AN131" s="142"/>
      <c r="AO131" s="142"/>
      <c r="AP131" s="142"/>
    </row>
    <row r="132" spans="2:42" x14ac:dyDescent="0.2">
      <c r="B132" s="140"/>
      <c r="C132" s="141"/>
      <c r="D132" s="142"/>
      <c r="E132" s="142"/>
      <c r="F132" s="142"/>
      <c r="H132" s="140"/>
      <c r="I132" s="141"/>
      <c r="J132" s="142"/>
      <c r="K132" s="142"/>
      <c r="L132" s="142"/>
      <c r="N132" s="140"/>
      <c r="O132" s="141"/>
      <c r="P132" s="142"/>
      <c r="Q132" s="142"/>
      <c r="R132" s="142"/>
      <c r="T132" s="140"/>
      <c r="U132" s="141"/>
      <c r="V132" s="142"/>
      <c r="W132" s="142"/>
      <c r="X132" s="142"/>
      <c r="Z132" s="140"/>
      <c r="AA132" s="141"/>
      <c r="AB132" s="142"/>
      <c r="AC132" s="142"/>
      <c r="AD132" s="142"/>
      <c r="AF132" s="140"/>
      <c r="AG132" s="141"/>
      <c r="AH132" s="142"/>
      <c r="AI132" s="142"/>
      <c r="AJ132" s="142"/>
      <c r="AL132" s="140"/>
      <c r="AM132" s="141"/>
      <c r="AN132" s="142"/>
      <c r="AO132" s="142"/>
      <c r="AP132" s="142"/>
    </row>
    <row r="133" spans="2:42" x14ac:dyDescent="0.2">
      <c r="B133" s="140"/>
      <c r="C133" s="141"/>
      <c r="D133" s="142"/>
      <c r="E133" s="142"/>
      <c r="F133" s="142"/>
      <c r="H133" s="140"/>
      <c r="I133" s="141"/>
      <c r="J133" s="142"/>
      <c r="K133" s="142"/>
      <c r="L133" s="142"/>
      <c r="N133" s="140"/>
      <c r="O133" s="141"/>
      <c r="P133" s="142"/>
      <c r="Q133" s="142"/>
      <c r="R133" s="142"/>
      <c r="T133" s="140"/>
      <c r="U133" s="141"/>
      <c r="V133" s="142"/>
      <c r="W133" s="142"/>
      <c r="X133" s="142"/>
      <c r="Z133" s="140"/>
      <c r="AA133" s="141"/>
      <c r="AB133" s="142"/>
      <c r="AC133" s="142"/>
      <c r="AD133" s="142"/>
      <c r="AF133" s="140"/>
      <c r="AG133" s="141"/>
      <c r="AH133" s="142"/>
      <c r="AI133" s="142"/>
      <c r="AJ133" s="142"/>
      <c r="AL133" s="140"/>
      <c r="AM133" s="141"/>
      <c r="AN133" s="142"/>
      <c r="AO133" s="142"/>
      <c r="AP133" s="142"/>
    </row>
    <row r="134" spans="2:42" x14ac:dyDescent="0.2">
      <c r="B134" s="140"/>
      <c r="C134" s="141"/>
      <c r="D134" s="142"/>
      <c r="E134" s="142"/>
      <c r="F134" s="142"/>
      <c r="H134" s="140"/>
      <c r="I134" s="141"/>
      <c r="J134" s="142"/>
      <c r="K134" s="142"/>
      <c r="L134" s="142"/>
      <c r="N134" s="140"/>
      <c r="O134" s="141"/>
      <c r="P134" s="142"/>
      <c r="Q134" s="142"/>
      <c r="R134" s="142"/>
      <c r="T134" s="140"/>
      <c r="U134" s="141"/>
      <c r="V134" s="142"/>
      <c r="W134" s="142"/>
      <c r="X134" s="142"/>
      <c r="Z134" s="140"/>
      <c r="AA134" s="141"/>
      <c r="AB134" s="142"/>
      <c r="AC134" s="142"/>
      <c r="AD134" s="142"/>
      <c r="AF134" s="140"/>
      <c r="AG134" s="141"/>
      <c r="AH134" s="142"/>
      <c r="AI134" s="142"/>
      <c r="AJ134" s="142"/>
      <c r="AL134" s="140"/>
      <c r="AM134" s="141"/>
      <c r="AN134" s="142"/>
      <c r="AO134" s="142"/>
      <c r="AP134" s="142"/>
    </row>
    <row r="135" spans="2:42" x14ac:dyDescent="0.2">
      <c r="B135" s="140"/>
      <c r="C135" s="141"/>
      <c r="D135" s="142"/>
      <c r="E135" s="142"/>
      <c r="F135" s="142"/>
      <c r="H135" s="140"/>
      <c r="I135" s="141"/>
      <c r="J135" s="142"/>
      <c r="K135" s="142"/>
      <c r="L135" s="142"/>
      <c r="N135" s="140"/>
      <c r="O135" s="141"/>
      <c r="P135" s="142"/>
      <c r="Q135" s="142"/>
      <c r="R135" s="142"/>
      <c r="T135" s="140"/>
      <c r="U135" s="141"/>
      <c r="V135" s="142"/>
      <c r="W135" s="142"/>
      <c r="X135" s="142"/>
      <c r="Z135" s="140"/>
      <c r="AA135" s="141"/>
      <c r="AB135" s="142"/>
      <c r="AC135" s="142"/>
      <c r="AD135" s="142"/>
      <c r="AF135" s="140"/>
      <c r="AG135" s="141"/>
      <c r="AH135" s="142"/>
      <c r="AI135" s="142"/>
      <c r="AJ135" s="142"/>
      <c r="AL135" s="140"/>
      <c r="AM135" s="141"/>
      <c r="AN135" s="142"/>
      <c r="AO135" s="142"/>
      <c r="AP135" s="142"/>
    </row>
    <row r="136" spans="2:42" x14ac:dyDescent="0.2">
      <c r="B136" s="140"/>
      <c r="C136" s="141"/>
      <c r="D136" s="142"/>
      <c r="E136" s="142"/>
      <c r="F136" s="142"/>
      <c r="H136" s="140"/>
      <c r="I136" s="141"/>
      <c r="J136" s="142"/>
      <c r="K136" s="142"/>
      <c r="L136" s="142"/>
      <c r="N136" s="140"/>
      <c r="O136" s="141"/>
      <c r="P136" s="142"/>
      <c r="Q136" s="142"/>
      <c r="R136" s="142"/>
      <c r="T136" s="140"/>
      <c r="U136" s="141"/>
      <c r="V136" s="142"/>
      <c r="W136" s="142"/>
      <c r="X136" s="142"/>
      <c r="Z136" s="140"/>
      <c r="AA136" s="141"/>
      <c r="AB136" s="142"/>
      <c r="AC136" s="142"/>
      <c r="AD136" s="142"/>
      <c r="AF136" s="140"/>
      <c r="AG136" s="141"/>
      <c r="AH136" s="142"/>
      <c r="AI136" s="142"/>
      <c r="AJ136" s="142"/>
      <c r="AL136" s="140"/>
      <c r="AM136" s="141"/>
      <c r="AN136" s="142"/>
      <c r="AO136" s="142"/>
      <c r="AP136" s="142"/>
    </row>
    <row r="137" spans="2:42" x14ac:dyDescent="0.2">
      <c r="B137" s="140"/>
      <c r="C137" s="141"/>
      <c r="D137" s="142"/>
      <c r="E137" s="142"/>
      <c r="F137" s="142"/>
      <c r="H137" s="140"/>
      <c r="I137" s="141"/>
      <c r="J137" s="142"/>
      <c r="K137" s="142"/>
      <c r="L137" s="142"/>
      <c r="N137" s="140"/>
      <c r="O137" s="141"/>
      <c r="P137" s="142"/>
      <c r="Q137" s="142"/>
      <c r="R137" s="142"/>
      <c r="T137" s="140"/>
      <c r="U137" s="141"/>
      <c r="V137" s="142"/>
      <c r="W137" s="142"/>
      <c r="X137" s="142"/>
      <c r="Z137" s="140"/>
      <c r="AA137" s="141"/>
      <c r="AB137" s="142"/>
      <c r="AC137" s="142"/>
      <c r="AD137" s="142"/>
      <c r="AF137" s="140"/>
      <c r="AG137" s="141"/>
      <c r="AH137" s="142"/>
      <c r="AI137" s="142"/>
      <c r="AJ137" s="142"/>
      <c r="AL137" s="140"/>
      <c r="AM137" s="141"/>
      <c r="AN137" s="142"/>
      <c r="AO137" s="142"/>
      <c r="AP137" s="142"/>
    </row>
    <row r="138" spans="2:42" x14ac:dyDescent="0.2">
      <c r="B138" s="140"/>
      <c r="C138" s="141"/>
      <c r="D138" s="142"/>
      <c r="E138" s="142"/>
      <c r="F138" s="142"/>
      <c r="H138" s="140"/>
      <c r="I138" s="141"/>
      <c r="J138" s="142"/>
      <c r="K138" s="142"/>
      <c r="L138" s="142"/>
      <c r="N138" s="140"/>
      <c r="O138" s="141"/>
      <c r="P138" s="142"/>
      <c r="Q138" s="142"/>
      <c r="R138" s="142"/>
      <c r="T138" s="140"/>
      <c r="U138" s="141"/>
      <c r="V138" s="142"/>
      <c r="W138" s="142"/>
      <c r="X138" s="142"/>
      <c r="Z138" s="140"/>
      <c r="AA138" s="141"/>
      <c r="AB138" s="142"/>
      <c r="AC138" s="142"/>
      <c r="AD138" s="142"/>
      <c r="AF138" s="140"/>
      <c r="AG138" s="141"/>
      <c r="AH138" s="142"/>
      <c r="AI138" s="142"/>
      <c r="AJ138" s="142"/>
      <c r="AL138" s="140"/>
      <c r="AM138" s="141"/>
      <c r="AN138" s="142"/>
      <c r="AO138" s="142"/>
      <c r="AP138" s="142"/>
    </row>
    <row r="139" spans="2:42" x14ac:dyDescent="0.2">
      <c r="B139" s="140"/>
      <c r="C139" s="141"/>
      <c r="D139" s="142"/>
      <c r="E139" s="142"/>
      <c r="F139" s="142"/>
      <c r="H139" s="140"/>
      <c r="I139" s="141"/>
      <c r="J139" s="142"/>
      <c r="K139" s="142"/>
      <c r="L139" s="142"/>
      <c r="N139" s="140"/>
      <c r="O139" s="141"/>
      <c r="P139" s="142"/>
      <c r="Q139" s="142"/>
      <c r="R139" s="142"/>
      <c r="T139" s="140"/>
      <c r="U139" s="141"/>
      <c r="V139" s="142"/>
      <c r="W139" s="142"/>
      <c r="X139" s="142"/>
      <c r="Z139" s="140"/>
      <c r="AA139" s="141"/>
      <c r="AB139" s="142"/>
      <c r="AC139" s="142"/>
      <c r="AD139" s="142"/>
      <c r="AF139" s="140"/>
      <c r="AG139" s="141"/>
      <c r="AH139" s="142"/>
      <c r="AI139" s="142"/>
      <c r="AJ139" s="142"/>
      <c r="AL139" s="140"/>
      <c r="AM139" s="141"/>
      <c r="AN139" s="142"/>
      <c r="AO139" s="142"/>
      <c r="AP139" s="142"/>
    </row>
    <row r="140" spans="2:42" x14ac:dyDescent="0.2">
      <c r="B140" s="140"/>
      <c r="C140" s="141"/>
      <c r="D140" s="142"/>
      <c r="E140" s="142"/>
      <c r="F140" s="142"/>
      <c r="H140" s="140"/>
      <c r="I140" s="141"/>
      <c r="J140" s="142"/>
      <c r="K140" s="142"/>
      <c r="L140" s="142"/>
      <c r="N140" s="140"/>
      <c r="O140" s="141"/>
      <c r="P140" s="142"/>
      <c r="Q140" s="142"/>
      <c r="R140" s="142"/>
      <c r="T140" s="140"/>
      <c r="U140" s="141"/>
      <c r="V140" s="142"/>
      <c r="W140" s="142"/>
      <c r="X140" s="142"/>
      <c r="Z140" s="140"/>
      <c r="AA140" s="141"/>
      <c r="AB140" s="142"/>
      <c r="AC140" s="142"/>
      <c r="AD140" s="142"/>
      <c r="AF140" s="140"/>
      <c r="AG140" s="141"/>
      <c r="AH140" s="142"/>
      <c r="AI140" s="142"/>
      <c r="AJ140" s="142"/>
      <c r="AL140" s="140"/>
      <c r="AM140" s="141"/>
      <c r="AN140" s="142"/>
      <c r="AO140" s="142"/>
      <c r="AP140" s="142"/>
    </row>
    <row r="141" spans="2:42" x14ac:dyDescent="0.2">
      <c r="B141" s="140"/>
      <c r="C141" s="141"/>
      <c r="D141" s="142"/>
      <c r="E141" s="142"/>
      <c r="F141" s="142"/>
      <c r="H141" s="140"/>
      <c r="I141" s="141"/>
      <c r="J141" s="142"/>
      <c r="K141" s="142"/>
      <c r="L141" s="142"/>
      <c r="N141" s="140"/>
      <c r="O141" s="141"/>
      <c r="P141" s="142"/>
      <c r="Q141" s="142"/>
      <c r="R141" s="142"/>
      <c r="T141" s="140"/>
      <c r="U141" s="141"/>
      <c r="V141" s="142"/>
      <c r="W141" s="142"/>
      <c r="X141" s="142"/>
      <c r="Z141" s="140"/>
      <c r="AA141" s="141"/>
      <c r="AB141" s="142"/>
      <c r="AC141" s="142"/>
      <c r="AD141" s="142"/>
      <c r="AF141" s="140"/>
      <c r="AG141" s="141"/>
      <c r="AH141" s="142"/>
      <c r="AI141" s="142"/>
      <c r="AJ141" s="142"/>
      <c r="AL141" s="140"/>
      <c r="AM141" s="141"/>
      <c r="AN141" s="142"/>
      <c r="AO141" s="142"/>
      <c r="AP141" s="142"/>
    </row>
    <row r="142" spans="2:42" x14ac:dyDescent="0.2">
      <c r="B142" s="140"/>
      <c r="C142" s="141"/>
      <c r="D142" s="142"/>
      <c r="E142" s="142"/>
      <c r="F142" s="142"/>
      <c r="H142" s="140"/>
      <c r="I142" s="141"/>
      <c r="J142" s="142"/>
      <c r="K142" s="142"/>
      <c r="L142" s="142"/>
      <c r="N142" s="140"/>
      <c r="O142" s="141"/>
      <c r="P142" s="142"/>
      <c r="Q142" s="142"/>
      <c r="R142" s="142"/>
      <c r="T142" s="140"/>
      <c r="U142" s="141"/>
      <c r="V142" s="142"/>
      <c r="W142" s="142"/>
      <c r="X142" s="142"/>
      <c r="Z142" s="140"/>
      <c r="AA142" s="141"/>
      <c r="AB142" s="142"/>
      <c r="AC142" s="142"/>
      <c r="AD142" s="142"/>
      <c r="AF142" s="140"/>
      <c r="AG142" s="141"/>
      <c r="AH142" s="142"/>
      <c r="AI142" s="142"/>
      <c r="AJ142" s="142"/>
      <c r="AL142" s="140"/>
      <c r="AM142" s="141"/>
      <c r="AN142" s="142"/>
      <c r="AO142" s="142"/>
      <c r="AP142" s="142"/>
    </row>
    <row r="143" spans="2:42" x14ac:dyDescent="0.2">
      <c r="B143" s="140"/>
      <c r="C143" s="141"/>
      <c r="D143" s="142"/>
      <c r="E143" s="142"/>
      <c r="F143" s="142"/>
      <c r="H143" s="140"/>
      <c r="I143" s="141"/>
      <c r="J143" s="142"/>
      <c r="K143" s="142"/>
      <c r="L143" s="142"/>
      <c r="N143" s="140"/>
      <c r="O143" s="141"/>
      <c r="P143" s="142"/>
      <c r="Q143" s="142"/>
      <c r="R143" s="142"/>
      <c r="T143" s="140"/>
      <c r="U143" s="141"/>
      <c r="V143" s="142"/>
      <c r="W143" s="142"/>
      <c r="X143" s="142"/>
      <c r="Z143" s="140"/>
      <c r="AA143" s="141"/>
      <c r="AB143" s="142"/>
      <c r="AC143" s="142"/>
      <c r="AD143" s="142"/>
      <c r="AF143" s="140"/>
      <c r="AG143" s="141"/>
      <c r="AH143" s="142"/>
      <c r="AI143" s="142"/>
      <c r="AJ143" s="142"/>
      <c r="AL143" s="140"/>
      <c r="AM143" s="141"/>
      <c r="AN143" s="142"/>
      <c r="AO143" s="142"/>
      <c r="AP143" s="142"/>
    </row>
    <row r="144" spans="2:42" x14ac:dyDescent="0.2">
      <c r="B144" s="140"/>
      <c r="C144" s="141"/>
      <c r="D144" s="142"/>
      <c r="E144" s="142"/>
      <c r="F144" s="142"/>
      <c r="H144" s="140"/>
      <c r="I144" s="141"/>
      <c r="J144" s="142"/>
      <c r="K144" s="142"/>
      <c r="L144" s="142"/>
      <c r="N144" s="140"/>
      <c r="O144" s="141"/>
      <c r="P144" s="142"/>
      <c r="Q144" s="142"/>
      <c r="R144" s="142"/>
      <c r="T144" s="140"/>
      <c r="U144" s="141"/>
      <c r="V144" s="142"/>
      <c r="W144" s="142"/>
      <c r="X144" s="142"/>
      <c r="Z144" s="140"/>
      <c r="AA144" s="141"/>
      <c r="AB144" s="142"/>
      <c r="AC144" s="142"/>
      <c r="AD144" s="142"/>
      <c r="AF144" s="140"/>
      <c r="AG144" s="141"/>
      <c r="AH144" s="142"/>
      <c r="AI144" s="142"/>
      <c r="AJ144" s="142"/>
      <c r="AL144" s="140"/>
      <c r="AM144" s="141"/>
      <c r="AN144" s="142"/>
      <c r="AO144" s="142"/>
      <c r="AP144" s="142"/>
    </row>
    <row r="145" spans="2:42" x14ac:dyDescent="0.2">
      <c r="B145" s="140"/>
      <c r="C145" s="141"/>
      <c r="D145" s="142"/>
      <c r="E145" s="142"/>
      <c r="F145" s="142"/>
      <c r="H145" s="140"/>
      <c r="I145" s="141"/>
      <c r="J145" s="142"/>
      <c r="K145" s="142"/>
      <c r="L145" s="142"/>
      <c r="N145" s="140"/>
      <c r="O145" s="141"/>
      <c r="P145" s="142"/>
      <c r="Q145" s="142"/>
      <c r="R145" s="142"/>
      <c r="T145" s="140"/>
      <c r="U145" s="141"/>
      <c r="V145" s="142"/>
      <c r="W145" s="142"/>
      <c r="X145" s="142"/>
      <c r="Z145" s="140"/>
      <c r="AA145" s="141"/>
      <c r="AB145" s="142"/>
      <c r="AC145" s="142"/>
      <c r="AD145" s="142"/>
      <c r="AF145" s="140"/>
      <c r="AG145" s="141"/>
      <c r="AH145" s="142"/>
      <c r="AI145" s="142"/>
      <c r="AJ145" s="142"/>
      <c r="AL145" s="140"/>
      <c r="AM145" s="141"/>
      <c r="AN145" s="142"/>
      <c r="AO145" s="142"/>
      <c r="AP145" s="142"/>
    </row>
    <row r="146" spans="2:42" x14ac:dyDescent="0.2">
      <c r="B146" s="140"/>
      <c r="C146" s="141"/>
      <c r="D146" s="142"/>
      <c r="E146" s="142"/>
      <c r="F146" s="142"/>
      <c r="H146" s="140"/>
      <c r="I146" s="141"/>
      <c r="J146" s="142"/>
      <c r="K146" s="142"/>
      <c r="L146" s="142"/>
      <c r="N146" s="140"/>
      <c r="O146" s="141"/>
      <c r="P146" s="142"/>
      <c r="Q146" s="142"/>
      <c r="R146" s="142"/>
      <c r="T146" s="140"/>
      <c r="U146" s="141"/>
      <c r="V146" s="142"/>
      <c r="W146" s="142"/>
      <c r="X146" s="142"/>
      <c r="Z146" s="140"/>
      <c r="AA146" s="141"/>
      <c r="AB146" s="142"/>
      <c r="AC146" s="142"/>
      <c r="AD146" s="142"/>
      <c r="AF146" s="140"/>
      <c r="AG146" s="141"/>
      <c r="AH146" s="142"/>
      <c r="AI146" s="142"/>
      <c r="AJ146" s="142"/>
      <c r="AL146" s="140"/>
      <c r="AM146" s="141"/>
      <c r="AN146" s="142"/>
      <c r="AO146" s="142"/>
      <c r="AP146" s="142"/>
    </row>
    <row r="147" spans="2:42" x14ac:dyDescent="0.2">
      <c r="B147" s="140"/>
      <c r="C147" s="141"/>
      <c r="D147" s="142"/>
      <c r="E147" s="142"/>
      <c r="F147" s="142"/>
      <c r="H147" s="140"/>
      <c r="I147" s="141"/>
      <c r="J147" s="142"/>
      <c r="K147" s="142"/>
      <c r="L147" s="142"/>
      <c r="N147" s="140"/>
      <c r="O147" s="141"/>
      <c r="P147" s="142"/>
      <c r="Q147" s="142"/>
      <c r="R147" s="142"/>
      <c r="T147" s="140"/>
      <c r="U147" s="141"/>
      <c r="V147" s="142"/>
      <c r="W147" s="142"/>
      <c r="X147" s="142"/>
      <c r="Z147" s="140"/>
      <c r="AA147" s="141"/>
      <c r="AB147" s="142"/>
      <c r="AC147" s="142"/>
      <c r="AD147" s="142"/>
      <c r="AF147" s="140"/>
      <c r="AG147" s="141"/>
      <c r="AH147" s="142"/>
      <c r="AI147" s="142"/>
      <c r="AJ147" s="142"/>
      <c r="AL147" s="140"/>
      <c r="AM147" s="141"/>
      <c r="AN147" s="142"/>
      <c r="AO147" s="142"/>
      <c r="AP147" s="142"/>
    </row>
    <row r="148" spans="2:42" x14ac:dyDescent="0.2">
      <c r="B148" s="140"/>
      <c r="C148" s="141"/>
      <c r="D148" s="142"/>
      <c r="E148" s="142"/>
      <c r="F148" s="142"/>
      <c r="H148" s="140"/>
      <c r="I148" s="141"/>
      <c r="J148" s="142"/>
      <c r="K148" s="142"/>
      <c r="L148" s="142"/>
      <c r="N148" s="140"/>
      <c r="O148" s="141"/>
      <c r="P148" s="142"/>
      <c r="Q148" s="142"/>
      <c r="R148" s="142"/>
      <c r="T148" s="140"/>
      <c r="U148" s="141"/>
      <c r="V148" s="142"/>
      <c r="W148" s="142"/>
      <c r="X148" s="142"/>
      <c r="Z148" s="140"/>
      <c r="AA148" s="141"/>
      <c r="AB148" s="142"/>
      <c r="AC148" s="142"/>
      <c r="AD148" s="142"/>
      <c r="AF148" s="140"/>
      <c r="AG148" s="141"/>
      <c r="AH148" s="142"/>
      <c r="AI148" s="142"/>
      <c r="AJ148" s="142"/>
      <c r="AL148" s="140"/>
      <c r="AM148" s="141"/>
      <c r="AN148" s="142"/>
      <c r="AO148" s="142"/>
      <c r="AP148" s="142"/>
    </row>
    <row r="149" spans="2:42" x14ac:dyDescent="0.2">
      <c r="B149" s="140"/>
      <c r="C149" s="141"/>
      <c r="D149" s="142"/>
      <c r="E149" s="142"/>
      <c r="F149" s="142"/>
      <c r="H149" s="140"/>
      <c r="I149" s="141"/>
      <c r="J149" s="142"/>
      <c r="K149" s="142"/>
      <c r="L149" s="142"/>
      <c r="N149" s="140"/>
      <c r="O149" s="141"/>
      <c r="P149" s="142"/>
      <c r="Q149" s="142"/>
      <c r="R149" s="142"/>
      <c r="T149" s="140"/>
      <c r="U149" s="141"/>
      <c r="V149" s="142"/>
      <c r="W149" s="142"/>
      <c r="X149" s="142"/>
      <c r="Z149" s="140"/>
      <c r="AA149" s="141"/>
      <c r="AB149" s="142"/>
      <c r="AC149" s="142"/>
      <c r="AD149" s="142"/>
      <c r="AF149" s="140"/>
      <c r="AG149" s="141"/>
      <c r="AH149" s="142"/>
      <c r="AI149" s="142"/>
      <c r="AJ149" s="142"/>
      <c r="AL149" s="140"/>
      <c r="AM149" s="141"/>
      <c r="AN149" s="142"/>
      <c r="AO149" s="142"/>
      <c r="AP149" s="142"/>
    </row>
    <row r="150" spans="2:42" x14ac:dyDescent="0.2">
      <c r="B150" s="140"/>
      <c r="C150" s="141"/>
      <c r="D150" s="142"/>
      <c r="E150" s="142"/>
      <c r="F150" s="142"/>
      <c r="H150" s="140"/>
      <c r="I150" s="141"/>
      <c r="J150" s="142"/>
      <c r="K150" s="142"/>
      <c r="L150" s="142"/>
      <c r="N150" s="140"/>
      <c r="O150" s="141"/>
      <c r="P150" s="142"/>
      <c r="Q150" s="142"/>
      <c r="R150" s="142"/>
      <c r="T150" s="140"/>
      <c r="U150" s="141"/>
      <c r="V150" s="142"/>
      <c r="W150" s="142"/>
      <c r="X150" s="142"/>
      <c r="Z150" s="140"/>
      <c r="AA150" s="141"/>
      <c r="AB150" s="142"/>
      <c r="AC150" s="142"/>
      <c r="AD150" s="142"/>
      <c r="AF150" s="140"/>
      <c r="AG150" s="141"/>
      <c r="AH150" s="142"/>
      <c r="AI150" s="142"/>
      <c r="AJ150" s="142"/>
      <c r="AL150" s="140"/>
      <c r="AM150" s="141"/>
      <c r="AN150" s="142"/>
      <c r="AO150" s="142"/>
      <c r="AP150" s="142"/>
    </row>
    <row r="151" spans="2:42" x14ac:dyDescent="0.2">
      <c r="B151" s="140"/>
      <c r="C151" s="141"/>
      <c r="D151" s="142"/>
      <c r="E151" s="142"/>
      <c r="F151" s="142"/>
      <c r="H151" s="140"/>
      <c r="I151" s="141"/>
      <c r="J151" s="142"/>
      <c r="K151" s="142"/>
      <c r="L151" s="142"/>
      <c r="N151" s="140"/>
      <c r="O151" s="141"/>
      <c r="P151" s="142"/>
      <c r="Q151" s="142"/>
      <c r="R151" s="142"/>
      <c r="T151" s="140"/>
      <c r="U151" s="141"/>
      <c r="V151" s="142"/>
      <c r="W151" s="142"/>
      <c r="X151" s="142"/>
      <c r="Z151" s="140"/>
      <c r="AA151" s="141"/>
      <c r="AB151" s="142"/>
      <c r="AC151" s="142"/>
      <c r="AD151" s="142"/>
      <c r="AF151" s="140"/>
      <c r="AG151" s="141"/>
      <c r="AH151" s="142"/>
      <c r="AI151" s="142"/>
      <c r="AJ151" s="142"/>
      <c r="AL151" s="140"/>
      <c r="AM151" s="141"/>
      <c r="AN151" s="142"/>
      <c r="AO151" s="142"/>
      <c r="AP151" s="142"/>
    </row>
    <row r="152" spans="2:42" x14ac:dyDescent="0.2">
      <c r="B152" s="140"/>
      <c r="C152" s="141"/>
      <c r="D152" s="142"/>
      <c r="E152" s="142"/>
      <c r="F152" s="142"/>
      <c r="H152" s="140"/>
      <c r="I152" s="141"/>
      <c r="J152" s="142"/>
      <c r="K152" s="142"/>
      <c r="L152" s="142"/>
      <c r="N152" s="140"/>
      <c r="O152" s="141"/>
      <c r="P152" s="142"/>
      <c r="Q152" s="142"/>
      <c r="R152" s="142"/>
      <c r="T152" s="140"/>
      <c r="U152" s="141"/>
      <c r="V152" s="142"/>
      <c r="W152" s="142"/>
      <c r="X152" s="142"/>
      <c r="Z152" s="140"/>
      <c r="AA152" s="141"/>
      <c r="AB152" s="142"/>
      <c r="AC152" s="142"/>
      <c r="AD152" s="142"/>
      <c r="AF152" s="140"/>
      <c r="AG152" s="141"/>
      <c r="AH152" s="142"/>
      <c r="AI152" s="142"/>
      <c r="AJ152" s="142"/>
      <c r="AL152" s="140"/>
      <c r="AM152" s="141"/>
      <c r="AN152" s="142"/>
      <c r="AO152" s="142"/>
      <c r="AP152" s="142"/>
    </row>
    <row r="153" spans="2:42" x14ac:dyDescent="0.2">
      <c r="B153" s="140"/>
      <c r="C153" s="141"/>
      <c r="D153" s="142"/>
      <c r="E153" s="142"/>
      <c r="F153" s="142"/>
      <c r="H153" s="140"/>
      <c r="I153" s="141"/>
      <c r="J153" s="142"/>
      <c r="K153" s="142"/>
      <c r="L153" s="142"/>
      <c r="N153" s="140"/>
      <c r="O153" s="141"/>
      <c r="P153" s="142"/>
      <c r="Q153" s="142"/>
      <c r="R153" s="142"/>
      <c r="T153" s="140"/>
      <c r="U153" s="141"/>
      <c r="V153" s="142"/>
      <c r="W153" s="142"/>
      <c r="X153" s="142"/>
      <c r="Z153" s="140"/>
      <c r="AA153" s="141"/>
      <c r="AB153" s="142"/>
      <c r="AC153" s="142"/>
      <c r="AD153" s="142"/>
      <c r="AF153" s="140"/>
      <c r="AG153" s="141"/>
      <c r="AH153" s="142"/>
      <c r="AI153" s="142"/>
      <c r="AJ153" s="142"/>
      <c r="AL153" s="140"/>
      <c r="AM153" s="141"/>
      <c r="AN153" s="142"/>
      <c r="AO153" s="142"/>
      <c r="AP153" s="142"/>
    </row>
    <row r="154" spans="2:42" x14ac:dyDescent="0.2">
      <c r="B154" s="140"/>
      <c r="C154" s="141"/>
      <c r="D154" s="142"/>
      <c r="E154" s="142"/>
      <c r="F154" s="142"/>
      <c r="H154" s="140"/>
      <c r="I154" s="141"/>
      <c r="J154" s="142"/>
      <c r="K154" s="142"/>
      <c r="L154" s="142"/>
      <c r="N154" s="140"/>
      <c r="O154" s="141"/>
      <c r="P154" s="142"/>
      <c r="Q154" s="142"/>
      <c r="R154" s="142"/>
      <c r="T154" s="140"/>
      <c r="U154" s="141"/>
      <c r="V154" s="142"/>
      <c r="W154" s="142"/>
      <c r="X154" s="142"/>
      <c r="Z154" s="140"/>
      <c r="AA154" s="141"/>
      <c r="AB154" s="142"/>
      <c r="AC154" s="142"/>
      <c r="AD154" s="142"/>
      <c r="AF154" s="140"/>
      <c r="AG154" s="141"/>
      <c r="AH154" s="142"/>
      <c r="AI154" s="142"/>
      <c r="AJ154" s="142"/>
      <c r="AL154" s="140"/>
      <c r="AM154" s="141"/>
      <c r="AN154" s="142"/>
      <c r="AO154" s="142"/>
      <c r="AP154" s="142"/>
    </row>
    <row r="155" spans="2:42" x14ac:dyDescent="0.2">
      <c r="B155" s="140"/>
      <c r="C155" s="141"/>
      <c r="D155" s="142"/>
      <c r="E155" s="142"/>
      <c r="F155" s="142"/>
      <c r="H155" s="140"/>
      <c r="I155" s="141"/>
      <c r="J155" s="142"/>
      <c r="K155" s="142"/>
      <c r="L155" s="142"/>
      <c r="N155" s="140"/>
      <c r="O155" s="141"/>
      <c r="P155" s="142"/>
      <c r="Q155" s="142"/>
      <c r="R155" s="142"/>
      <c r="T155" s="140"/>
      <c r="U155" s="141"/>
      <c r="V155" s="142"/>
      <c r="W155" s="142"/>
      <c r="X155" s="142"/>
      <c r="Z155" s="140"/>
      <c r="AA155" s="141"/>
      <c r="AB155" s="142"/>
      <c r="AC155" s="142"/>
      <c r="AD155" s="142"/>
      <c r="AF155" s="140"/>
      <c r="AG155" s="141"/>
      <c r="AH155" s="142"/>
      <c r="AI155" s="142"/>
      <c r="AJ155" s="142"/>
      <c r="AL155" s="140"/>
      <c r="AM155" s="141"/>
      <c r="AN155" s="142"/>
      <c r="AO155" s="142"/>
      <c r="AP155" s="142"/>
    </row>
    <row r="156" spans="2:42" x14ac:dyDescent="0.2">
      <c r="B156" s="140"/>
      <c r="C156" s="141"/>
      <c r="D156" s="142"/>
      <c r="E156" s="142"/>
      <c r="F156" s="142"/>
      <c r="H156" s="140"/>
      <c r="I156" s="141"/>
      <c r="J156" s="142"/>
      <c r="K156" s="142"/>
      <c r="L156" s="142"/>
      <c r="N156" s="140"/>
      <c r="O156" s="141"/>
      <c r="P156" s="142"/>
      <c r="Q156" s="142"/>
      <c r="R156" s="142"/>
      <c r="T156" s="140"/>
      <c r="U156" s="141"/>
      <c r="V156" s="142"/>
      <c r="W156" s="142"/>
      <c r="X156" s="142"/>
      <c r="Z156" s="140"/>
      <c r="AA156" s="141"/>
      <c r="AB156" s="142"/>
      <c r="AC156" s="142"/>
      <c r="AD156" s="142"/>
      <c r="AF156" s="140"/>
      <c r="AG156" s="141"/>
      <c r="AH156" s="142"/>
      <c r="AI156" s="142"/>
      <c r="AJ156" s="142"/>
      <c r="AL156" s="140"/>
      <c r="AM156" s="141"/>
      <c r="AN156" s="142"/>
      <c r="AO156" s="142"/>
      <c r="AP156" s="142"/>
    </row>
    <row r="157" spans="2:42" x14ac:dyDescent="0.2">
      <c r="B157" s="140"/>
      <c r="C157" s="141"/>
      <c r="D157" s="142"/>
      <c r="E157" s="142"/>
      <c r="F157" s="142"/>
      <c r="H157" s="140"/>
      <c r="I157" s="141"/>
      <c r="J157" s="142"/>
      <c r="K157" s="142"/>
      <c r="L157" s="142"/>
      <c r="N157" s="140"/>
      <c r="O157" s="141"/>
      <c r="P157" s="142"/>
      <c r="Q157" s="142"/>
      <c r="R157" s="142"/>
      <c r="T157" s="140"/>
      <c r="U157" s="141"/>
      <c r="V157" s="142"/>
      <c r="W157" s="142"/>
      <c r="X157" s="142"/>
      <c r="Z157" s="140"/>
      <c r="AA157" s="141"/>
      <c r="AB157" s="142"/>
      <c r="AC157" s="142"/>
      <c r="AD157" s="142"/>
      <c r="AF157" s="140"/>
      <c r="AG157" s="141"/>
      <c r="AH157" s="142"/>
      <c r="AI157" s="142"/>
      <c r="AJ157" s="142"/>
      <c r="AL157" s="140"/>
      <c r="AM157" s="141"/>
      <c r="AN157" s="142"/>
      <c r="AO157" s="142"/>
      <c r="AP157" s="142"/>
    </row>
    <row r="158" spans="2:42" x14ac:dyDescent="0.2">
      <c r="B158" s="140"/>
      <c r="C158" s="141"/>
      <c r="D158" s="142"/>
      <c r="E158" s="142"/>
      <c r="F158" s="142"/>
      <c r="H158" s="140"/>
      <c r="I158" s="141"/>
      <c r="J158" s="142"/>
      <c r="K158" s="142"/>
      <c r="L158" s="142"/>
      <c r="N158" s="140"/>
      <c r="O158" s="141"/>
      <c r="P158" s="142"/>
      <c r="Q158" s="142"/>
      <c r="R158" s="142"/>
      <c r="T158" s="140"/>
      <c r="U158" s="141"/>
      <c r="V158" s="142"/>
      <c r="W158" s="142"/>
      <c r="X158" s="142"/>
      <c r="Z158" s="140"/>
      <c r="AA158" s="141"/>
      <c r="AB158" s="142"/>
      <c r="AC158" s="142"/>
      <c r="AD158" s="142"/>
      <c r="AF158" s="140"/>
      <c r="AG158" s="141"/>
      <c r="AH158" s="142"/>
      <c r="AI158" s="142"/>
      <c r="AJ158" s="142"/>
      <c r="AL158" s="140"/>
      <c r="AM158" s="141"/>
      <c r="AN158" s="142"/>
      <c r="AO158" s="142"/>
      <c r="AP158" s="142"/>
    </row>
    <row r="159" spans="2:42" x14ac:dyDescent="0.2">
      <c r="B159" s="140"/>
      <c r="C159" s="141"/>
      <c r="D159" s="142"/>
      <c r="E159" s="142"/>
      <c r="F159" s="142"/>
      <c r="H159" s="140"/>
      <c r="I159" s="141"/>
      <c r="J159" s="142"/>
      <c r="K159" s="142"/>
      <c r="L159" s="142"/>
      <c r="N159" s="140"/>
      <c r="O159" s="141"/>
      <c r="P159" s="142"/>
      <c r="Q159" s="142"/>
      <c r="R159" s="142"/>
      <c r="T159" s="140"/>
      <c r="U159" s="141"/>
      <c r="V159" s="142"/>
      <c r="W159" s="142"/>
      <c r="X159" s="142"/>
      <c r="Z159" s="140"/>
      <c r="AA159" s="141"/>
      <c r="AB159" s="142"/>
      <c r="AC159" s="142"/>
      <c r="AD159" s="142"/>
      <c r="AF159" s="140"/>
      <c r="AG159" s="141"/>
      <c r="AH159" s="142"/>
      <c r="AI159" s="142"/>
      <c r="AJ159" s="142"/>
      <c r="AL159" s="140"/>
      <c r="AM159" s="141"/>
      <c r="AN159" s="142"/>
      <c r="AO159" s="142"/>
      <c r="AP159" s="142"/>
    </row>
    <row r="160" spans="2:42" x14ac:dyDescent="0.2">
      <c r="B160" s="140"/>
      <c r="C160" s="141"/>
      <c r="D160" s="142"/>
      <c r="E160" s="142"/>
      <c r="F160" s="142"/>
      <c r="H160" s="140"/>
      <c r="I160" s="141"/>
      <c r="J160" s="142"/>
      <c r="K160" s="142"/>
      <c r="L160" s="142"/>
      <c r="N160" s="140"/>
      <c r="O160" s="141"/>
      <c r="P160" s="142"/>
      <c r="Q160" s="142"/>
      <c r="R160" s="142"/>
      <c r="T160" s="140"/>
      <c r="U160" s="141"/>
      <c r="V160" s="142"/>
      <c r="W160" s="142"/>
      <c r="X160" s="142"/>
      <c r="Z160" s="140"/>
      <c r="AA160" s="141"/>
      <c r="AB160" s="142"/>
      <c r="AC160" s="142"/>
      <c r="AD160" s="142"/>
      <c r="AF160" s="140"/>
      <c r="AG160" s="141"/>
      <c r="AH160" s="142"/>
      <c r="AI160" s="142"/>
      <c r="AJ160" s="142"/>
      <c r="AL160" s="140"/>
      <c r="AM160" s="141"/>
      <c r="AN160" s="142"/>
      <c r="AO160" s="142"/>
      <c r="AP160" s="142"/>
    </row>
    <row r="161" spans="2:42" x14ac:dyDescent="0.2">
      <c r="B161" s="140"/>
      <c r="C161" s="141"/>
      <c r="D161" s="142"/>
      <c r="E161" s="142"/>
      <c r="F161" s="142"/>
      <c r="H161" s="140"/>
      <c r="I161" s="141"/>
      <c r="J161" s="142"/>
      <c r="K161" s="142"/>
      <c r="L161" s="142"/>
      <c r="N161" s="140"/>
      <c r="O161" s="141"/>
      <c r="P161" s="142"/>
      <c r="Q161" s="142"/>
      <c r="R161" s="142"/>
      <c r="T161" s="140"/>
      <c r="U161" s="141"/>
      <c r="V161" s="142"/>
      <c r="W161" s="142"/>
      <c r="X161" s="142"/>
      <c r="Z161" s="140"/>
      <c r="AA161" s="141"/>
      <c r="AB161" s="142"/>
      <c r="AC161" s="142"/>
      <c r="AD161" s="142"/>
      <c r="AF161" s="140"/>
      <c r="AG161" s="141"/>
      <c r="AH161" s="142"/>
      <c r="AI161" s="142"/>
      <c r="AJ161" s="142"/>
      <c r="AL161" s="140"/>
      <c r="AM161" s="141"/>
      <c r="AN161" s="142"/>
      <c r="AO161" s="142"/>
      <c r="AP161" s="142"/>
    </row>
    <row r="162" spans="2:42" x14ac:dyDescent="0.2">
      <c r="B162" s="140"/>
      <c r="C162" s="141"/>
      <c r="D162" s="142"/>
      <c r="E162" s="142"/>
      <c r="F162" s="142"/>
      <c r="H162" s="140"/>
      <c r="I162" s="141"/>
      <c r="J162" s="142"/>
      <c r="K162" s="142"/>
      <c r="L162" s="142"/>
      <c r="N162" s="140"/>
      <c r="O162" s="141"/>
      <c r="P162" s="142"/>
      <c r="Q162" s="142"/>
      <c r="R162" s="142"/>
      <c r="T162" s="140"/>
      <c r="U162" s="141"/>
      <c r="V162" s="142"/>
      <c r="W162" s="142"/>
      <c r="X162" s="142"/>
      <c r="Z162" s="140"/>
      <c r="AA162" s="141"/>
      <c r="AB162" s="142"/>
      <c r="AC162" s="142"/>
      <c r="AD162" s="142"/>
      <c r="AF162" s="140"/>
      <c r="AG162" s="141"/>
      <c r="AH162" s="142"/>
      <c r="AI162" s="142"/>
      <c r="AJ162" s="142"/>
      <c r="AL162" s="140"/>
      <c r="AM162" s="141"/>
      <c r="AN162" s="142"/>
      <c r="AO162" s="142"/>
      <c r="AP162" s="142"/>
    </row>
    <row r="163" spans="2:42" x14ac:dyDescent="0.2">
      <c r="B163" s="140"/>
      <c r="C163" s="141"/>
      <c r="D163" s="142"/>
      <c r="E163" s="142"/>
      <c r="F163" s="142"/>
      <c r="H163" s="140"/>
      <c r="I163" s="141"/>
      <c r="J163" s="142"/>
      <c r="K163" s="142"/>
      <c r="L163" s="142"/>
      <c r="N163" s="140"/>
      <c r="O163" s="141"/>
      <c r="P163" s="142"/>
      <c r="Q163" s="142"/>
      <c r="R163" s="142"/>
      <c r="T163" s="140"/>
      <c r="U163" s="141"/>
      <c r="V163" s="142"/>
      <c r="W163" s="142"/>
      <c r="X163" s="142"/>
      <c r="Z163" s="140"/>
      <c r="AA163" s="141"/>
      <c r="AB163" s="142"/>
      <c r="AC163" s="142"/>
      <c r="AD163" s="142"/>
      <c r="AF163" s="140"/>
      <c r="AG163" s="141"/>
      <c r="AH163" s="142"/>
      <c r="AI163" s="142"/>
      <c r="AJ163" s="142"/>
      <c r="AL163" s="140"/>
      <c r="AM163" s="141"/>
      <c r="AN163" s="142"/>
      <c r="AO163" s="142"/>
      <c r="AP163" s="142"/>
    </row>
    <row r="164" spans="2:42" x14ac:dyDescent="0.2">
      <c r="B164" s="140"/>
      <c r="C164" s="141"/>
      <c r="D164" s="142"/>
      <c r="E164" s="142"/>
      <c r="F164" s="142"/>
      <c r="H164" s="140"/>
      <c r="I164" s="141"/>
      <c r="J164" s="142"/>
      <c r="K164" s="142"/>
      <c r="L164" s="142"/>
      <c r="N164" s="140"/>
      <c r="O164" s="141"/>
      <c r="P164" s="142"/>
      <c r="Q164" s="142"/>
      <c r="R164" s="142"/>
      <c r="T164" s="140"/>
      <c r="U164" s="141"/>
      <c r="V164" s="142"/>
      <c r="W164" s="142"/>
      <c r="X164" s="142"/>
      <c r="Z164" s="140"/>
      <c r="AA164" s="141"/>
      <c r="AB164" s="142"/>
      <c r="AC164" s="142"/>
      <c r="AD164" s="142"/>
      <c r="AF164" s="140"/>
      <c r="AG164" s="141"/>
      <c r="AH164" s="142"/>
      <c r="AI164" s="142"/>
      <c r="AJ164" s="142"/>
      <c r="AL164" s="140"/>
      <c r="AM164" s="141"/>
      <c r="AN164" s="142"/>
      <c r="AO164" s="142"/>
      <c r="AP164" s="142"/>
    </row>
    <row r="165" spans="2:42" x14ac:dyDescent="0.2">
      <c r="B165" s="140"/>
      <c r="C165" s="141"/>
      <c r="D165" s="142"/>
      <c r="E165" s="142"/>
      <c r="F165" s="142"/>
      <c r="H165" s="140"/>
      <c r="I165" s="141"/>
      <c r="J165" s="142"/>
      <c r="K165" s="142"/>
      <c r="L165" s="142"/>
      <c r="N165" s="140"/>
      <c r="O165" s="141"/>
      <c r="P165" s="142"/>
      <c r="Q165" s="142"/>
      <c r="R165" s="142"/>
      <c r="T165" s="140"/>
      <c r="U165" s="141"/>
      <c r="V165" s="142"/>
      <c r="W165" s="142"/>
      <c r="X165" s="142"/>
      <c r="Z165" s="140"/>
      <c r="AA165" s="141"/>
      <c r="AB165" s="142"/>
      <c r="AC165" s="142"/>
      <c r="AD165" s="142"/>
      <c r="AF165" s="140"/>
      <c r="AG165" s="141"/>
      <c r="AH165" s="142"/>
      <c r="AI165" s="142"/>
      <c r="AJ165" s="142"/>
      <c r="AL165" s="140"/>
      <c r="AM165" s="141"/>
      <c r="AN165" s="142"/>
      <c r="AO165" s="142"/>
      <c r="AP165" s="142"/>
    </row>
    <row r="166" spans="2:42" x14ac:dyDescent="0.2">
      <c r="B166" s="140"/>
      <c r="C166" s="141"/>
      <c r="D166" s="142"/>
      <c r="E166" s="142"/>
      <c r="F166" s="142"/>
      <c r="H166" s="140"/>
      <c r="I166" s="141"/>
      <c r="J166" s="142"/>
      <c r="K166" s="142"/>
      <c r="L166" s="142"/>
      <c r="N166" s="140"/>
      <c r="O166" s="141"/>
      <c r="P166" s="142"/>
      <c r="Q166" s="142"/>
      <c r="R166" s="142"/>
      <c r="T166" s="140"/>
      <c r="U166" s="141"/>
      <c r="V166" s="142"/>
      <c r="W166" s="142"/>
      <c r="X166" s="142"/>
      <c r="Z166" s="140"/>
      <c r="AA166" s="141"/>
      <c r="AB166" s="142"/>
      <c r="AC166" s="142"/>
      <c r="AD166" s="142"/>
      <c r="AF166" s="140"/>
      <c r="AG166" s="141"/>
      <c r="AH166" s="142"/>
      <c r="AI166" s="142"/>
      <c r="AJ166" s="142"/>
      <c r="AL166" s="140"/>
      <c r="AM166" s="141"/>
      <c r="AN166" s="142"/>
      <c r="AO166" s="142"/>
      <c r="AP166" s="142"/>
    </row>
    <row r="167" spans="2:42" x14ac:dyDescent="0.2">
      <c r="B167" s="140"/>
      <c r="C167" s="141"/>
      <c r="D167" s="142"/>
      <c r="E167" s="142"/>
      <c r="F167" s="142"/>
      <c r="H167" s="140"/>
      <c r="I167" s="141"/>
      <c r="J167" s="142"/>
      <c r="K167" s="142"/>
      <c r="L167" s="142"/>
      <c r="N167" s="140"/>
      <c r="O167" s="141"/>
      <c r="P167" s="142"/>
      <c r="Q167" s="142"/>
      <c r="R167" s="142"/>
      <c r="T167" s="140"/>
      <c r="U167" s="141"/>
      <c r="V167" s="142"/>
      <c r="W167" s="142"/>
      <c r="X167" s="142"/>
      <c r="Z167" s="140"/>
      <c r="AA167" s="141"/>
      <c r="AB167" s="142"/>
      <c r="AC167" s="142"/>
      <c r="AD167" s="142"/>
      <c r="AF167" s="140"/>
      <c r="AG167" s="141"/>
      <c r="AH167" s="142"/>
      <c r="AI167" s="142"/>
      <c r="AJ167" s="142"/>
      <c r="AL167" s="140"/>
      <c r="AM167" s="141"/>
      <c r="AN167" s="142"/>
      <c r="AO167" s="142"/>
      <c r="AP167" s="142"/>
    </row>
    <row r="168" spans="2:42" x14ac:dyDescent="0.2">
      <c r="B168" s="140"/>
      <c r="C168" s="141"/>
      <c r="D168" s="142"/>
      <c r="E168" s="142"/>
      <c r="F168" s="142"/>
      <c r="H168" s="140"/>
      <c r="I168" s="141"/>
      <c r="J168" s="142"/>
      <c r="K168" s="142"/>
      <c r="L168" s="142"/>
      <c r="N168" s="140"/>
      <c r="O168" s="141"/>
      <c r="P168" s="142"/>
      <c r="Q168" s="142"/>
      <c r="R168" s="142"/>
      <c r="T168" s="140"/>
      <c r="U168" s="141"/>
      <c r="V168" s="142"/>
      <c r="W168" s="142"/>
      <c r="X168" s="142"/>
      <c r="Z168" s="140"/>
      <c r="AA168" s="141"/>
      <c r="AB168" s="142"/>
      <c r="AC168" s="142"/>
      <c r="AD168" s="142"/>
      <c r="AF168" s="140"/>
      <c r="AG168" s="141"/>
      <c r="AH168" s="142"/>
      <c r="AI168" s="142"/>
      <c r="AJ168" s="142"/>
      <c r="AL168" s="140"/>
      <c r="AM168" s="141"/>
      <c r="AN168" s="142"/>
      <c r="AO168" s="142"/>
      <c r="AP168" s="142"/>
    </row>
    <row r="169" spans="2:42" x14ac:dyDescent="0.2">
      <c r="B169" s="140"/>
      <c r="C169" s="141"/>
      <c r="D169" s="142"/>
      <c r="E169" s="142"/>
      <c r="F169" s="142"/>
      <c r="H169" s="140"/>
      <c r="I169" s="141"/>
      <c r="J169" s="142"/>
      <c r="K169" s="142"/>
      <c r="L169" s="142"/>
      <c r="N169" s="140"/>
      <c r="O169" s="141"/>
      <c r="P169" s="142"/>
      <c r="Q169" s="142"/>
      <c r="R169" s="142"/>
      <c r="T169" s="140"/>
      <c r="U169" s="141"/>
      <c r="V169" s="142"/>
      <c r="W169" s="142"/>
      <c r="X169" s="142"/>
      <c r="Z169" s="140"/>
      <c r="AA169" s="141"/>
      <c r="AB169" s="142"/>
      <c r="AC169" s="142"/>
      <c r="AD169" s="142"/>
      <c r="AF169" s="140"/>
      <c r="AG169" s="141"/>
      <c r="AH169" s="142"/>
      <c r="AI169" s="142"/>
      <c r="AJ169" s="142"/>
      <c r="AL169" s="140"/>
      <c r="AM169" s="141"/>
      <c r="AN169" s="142"/>
      <c r="AO169" s="142"/>
      <c r="AP169" s="142"/>
    </row>
    <row r="170" spans="2:42" x14ac:dyDescent="0.2">
      <c r="B170" s="140"/>
      <c r="C170" s="141"/>
      <c r="D170" s="142"/>
      <c r="E170" s="142"/>
      <c r="F170" s="142"/>
      <c r="H170" s="140"/>
      <c r="I170" s="141"/>
      <c r="J170" s="142"/>
      <c r="K170" s="142"/>
      <c r="L170" s="142"/>
      <c r="N170" s="140"/>
      <c r="O170" s="141"/>
      <c r="P170" s="142"/>
      <c r="Q170" s="142"/>
      <c r="R170" s="142"/>
      <c r="T170" s="140"/>
      <c r="U170" s="141"/>
      <c r="V170" s="142"/>
      <c r="W170" s="142"/>
      <c r="X170" s="142"/>
      <c r="Z170" s="140"/>
      <c r="AA170" s="141"/>
      <c r="AB170" s="142"/>
      <c r="AC170" s="142"/>
      <c r="AD170" s="142"/>
      <c r="AF170" s="140"/>
      <c r="AG170" s="141"/>
      <c r="AH170" s="142"/>
      <c r="AI170" s="142"/>
      <c r="AJ170" s="142"/>
      <c r="AL170" s="140"/>
      <c r="AM170" s="141"/>
      <c r="AN170" s="142"/>
      <c r="AO170" s="142"/>
      <c r="AP170" s="142"/>
    </row>
    <row r="171" spans="2:42" x14ac:dyDescent="0.2">
      <c r="B171" s="140"/>
      <c r="C171" s="141"/>
      <c r="D171" s="142"/>
      <c r="E171" s="142"/>
      <c r="F171" s="142"/>
      <c r="H171" s="140"/>
      <c r="I171" s="141"/>
      <c r="J171" s="142"/>
      <c r="K171" s="142"/>
      <c r="L171" s="142"/>
      <c r="N171" s="140"/>
      <c r="O171" s="141"/>
      <c r="P171" s="142"/>
      <c r="Q171" s="142"/>
      <c r="R171" s="142"/>
      <c r="T171" s="140"/>
      <c r="U171" s="141"/>
      <c r="V171" s="142"/>
      <c r="W171" s="142"/>
      <c r="X171" s="142"/>
      <c r="Z171" s="140"/>
      <c r="AA171" s="141"/>
      <c r="AB171" s="142"/>
      <c r="AC171" s="142"/>
      <c r="AD171" s="142"/>
      <c r="AF171" s="140"/>
      <c r="AG171" s="141"/>
      <c r="AH171" s="142"/>
      <c r="AI171" s="142"/>
      <c r="AJ171" s="142"/>
      <c r="AL171" s="140"/>
      <c r="AM171" s="141"/>
      <c r="AN171" s="142"/>
      <c r="AO171" s="142"/>
      <c r="AP171" s="142"/>
    </row>
    <row r="172" spans="2:42" x14ac:dyDescent="0.2">
      <c r="B172" s="140"/>
      <c r="C172" s="141"/>
      <c r="D172" s="142"/>
      <c r="E172" s="142"/>
      <c r="F172" s="142"/>
      <c r="H172" s="140"/>
      <c r="I172" s="141"/>
      <c r="J172" s="142"/>
      <c r="K172" s="142"/>
      <c r="L172" s="142"/>
      <c r="N172" s="140"/>
      <c r="O172" s="141"/>
      <c r="P172" s="142"/>
      <c r="Q172" s="142"/>
      <c r="R172" s="142"/>
      <c r="T172" s="140"/>
      <c r="U172" s="141"/>
      <c r="V172" s="142"/>
      <c r="W172" s="142"/>
      <c r="X172" s="142"/>
      <c r="Z172" s="140"/>
      <c r="AA172" s="141"/>
      <c r="AB172" s="142"/>
      <c r="AC172" s="142"/>
      <c r="AD172" s="142"/>
      <c r="AF172" s="140"/>
      <c r="AG172" s="141"/>
      <c r="AH172" s="142"/>
      <c r="AI172" s="142"/>
      <c r="AJ172" s="142"/>
      <c r="AL172" s="140"/>
      <c r="AM172" s="141"/>
      <c r="AN172" s="142"/>
      <c r="AO172" s="142"/>
      <c r="AP172" s="142"/>
    </row>
    <row r="173" spans="2:42" x14ac:dyDescent="0.2">
      <c r="B173" s="140"/>
      <c r="C173" s="141"/>
      <c r="D173" s="142"/>
      <c r="E173" s="142"/>
      <c r="F173" s="142"/>
      <c r="H173" s="140"/>
      <c r="I173" s="141"/>
      <c r="J173" s="142"/>
      <c r="K173" s="142"/>
      <c r="L173" s="142"/>
      <c r="N173" s="140"/>
      <c r="O173" s="141"/>
      <c r="P173" s="142"/>
      <c r="Q173" s="142"/>
      <c r="R173" s="142"/>
      <c r="T173" s="140"/>
      <c r="U173" s="141"/>
      <c r="V173" s="142"/>
      <c r="W173" s="142"/>
      <c r="X173" s="142"/>
      <c r="Z173" s="140"/>
      <c r="AA173" s="141"/>
      <c r="AB173" s="142"/>
      <c r="AC173" s="142"/>
      <c r="AD173" s="142"/>
      <c r="AF173" s="140"/>
      <c r="AG173" s="141"/>
      <c r="AH173" s="142"/>
      <c r="AI173" s="142"/>
      <c r="AJ173" s="142"/>
      <c r="AL173" s="140"/>
      <c r="AM173" s="141"/>
      <c r="AN173" s="142"/>
      <c r="AO173" s="142"/>
      <c r="AP173" s="142"/>
    </row>
    <row r="174" spans="2:42" x14ac:dyDescent="0.2">
      <c r="B174" s="140"/>
      <c r="C174" s="141"/>
      <c r="D174" s="142"/>
      <c r="E174" s="142"/>
      <c r="F174" s="142"/>
      <c r="H174" s="140"/>
      <c r="I174" s="141"/>
      <c r="J174" s="142"/>
      <c r="K174" s="142"/>
      <c r="L174" s="142"/>
      <c r="N174" s="140"/>
      <c r="O174" s="141"/>
      <c r="P174" s="142"/>
      <c r="Q174" s="142"/>
      <c r="R174" s="142"/>
      <c r="T174" s="140"/>
      <c r="U174" s="141"/>
      <c r="V174" s="142"/>
      <c r="W174" s="142"/>
      <c r="X174" s="142"/>
      <c r="Z174" s="140"/>
      <c r="AA174" s="141"/>
      <c r="AB174" s="142"/>
      <c r="AC174" s="142"/>
      <c r="AD174" s="142"/>
      <c r="AF174" s="140"/>
      <c r="AG174" s="141"/>
      <c r="AH174" s="142"/>
      <c r="AI174" s="142"/>
      <c r="AJ174" s="142"/>
      <c r="AL174" s="140"/>
      <c r="AM174" s="141"/>
      <c r="AN174" s="142"/>
      <c r="AO174" s="142"/>
      <c r="AP174" s="142"/>
    </row>
    <row r="175" spans="2:42" x14ac:dyDescent="0.2">
      <c r="B175" s="140"/>
      <c r="C175" s="141"/>
      <c r="D175" s="142"/>
      <c r="E175" s="142"/>
      <c r="F175" s="142"/>
      <c r="H175" s="140"/>
      <c r="I175" s="141"/>
      <c r="J175" s="142"/>
      <c r="K175" s="142"/>
      <c r="L175" s="142"/>
      <c r="N175" s="140"/>
      <c r="O175" s="141"/>
      <c r="P175" s="142"/>
      <c r="Q175" s="142"/>
      <c r="R175" s="142"/>
      <c r="T175" s="140"/>
      <c r="U175" s="141"/>
      <c r="V175" s="142"/>
      <c r="W175" s="142"/>
      <c r="X175" s="142"/>
      <c r="Z175" s="140"/>
      <c r="AA175" s="141"/>
      <c r="AB175" s="142"/>
      <c r="AC175" s="142"/>
      <c r="AD175" s="142"/>
      <c r="AF175" s="140"/>
      <c r="AG175" s="141"/>
      <c r="AH175" s="142"/>
      <c r="AI175" s="142"/>
      <c r="AJ175" s="142"/>
      <c r="AL175" s="140"/>
      <c r="AM175" s="141"/>
      <c r="AN175" s="142"/>
      <c r="AO175" s="142"/>
      <c r="AP175" s="142"/>
    </row>
    <row r="176" spans="2:42" x14ac:dyDescent="0.2">
      <c r="B176" s="140"/>
      <c r="C176" s="141"/>
      <c r="D176" s="142"/>
      <c r="E176" s="142"/>
      <c r="F176" s="142"/>
      <c r="H176" s="140"/>
      <c r="I176" s="141"/>
      <c r="J176" s="142"/>
      <c r="K176" s="142"/>
      <c r="L176" s="142"/>
      <c r="N176" s="140"/>
      <c r="O176" s="141"/>
      <c r="P176" s="142"/>
      <c r="Q176" s="142"/>
      <c r="R176" s="142"/>
      <c r="T176" s="140"/>
      <c r="U176" s="141"/>
      <c r="V176" s="142"/>
      <c r="W176" s="142"/>
      <c r="X176" s="142"/>
      <c r="Z176" s="140"/>
      <c r="AA176" s="141"/>
      <c r="AB176" s="142"/>
      <c r="AC176" s="142"/>
      <c r="AD176" s="142"/>
      <c r="AF176" s="140"/>
      <c r="AG176" s="141"/>
      <c r="AH176" s="142"/>
      <c r="AI176" s="142"/>
      <c r="AJ176" s="142"/>
      <c r="AL176" s="140"/>
      <c r="AM176" s="141"/>
      <c r="AN176" s="142"/>
      <c r="AO176" s="142"/>
      <c r="AP176" s="142"/>
    </row>
    <row r="177" spans="2:42" x14ac:dyDescent="0.2">
      <c r="B177" s="140"/>
      <c r="C177" s="141"/>
      <c r="D177" s="142"/>
      <c r="E177" s="142"/>
      <c r="F177" s="142"/>
      <c r="H177" s="140"/>
      <c r="I177" s="141"/>
      <c r="J177" s="142"/>
      <c r="K177" s="142"/>
      <c r="L177" s="142"/>
      <c r="N177" s="140"/>
      <c r="O177" s="141"/>
      <c r="P177" s="142"/>
      <c r="Q177" s="142"/>
      <c r="R177" s="142"/>
      <c r="T177" s="140"/>
      <c r="U177" s="141"/>
      <c r="V177" s="142"/>
      <c r="W177" s="142"/>
      <c r="X177" s="142"/>
      <c r="Z177" s="140"/>
      <c r="AA177" s="141"/>
      <c r="AB177" s="142"/>
      <c r="AC177" s="142"/>
      <c r="AD177" s="142"/>
      <c r="AF177" s="140"/>
      <c r="AG177" s="141"/>
      <c r="AH177" s="142"/>
      <c r="AI177" s="142"/>
      <c r="AJ177" s="142"/>
      <c r="AL177" s="140"/>
      <c r="AM177" s="141"/>
      <c r="AN177" s="142"/>
      <c r="AO177" s="142"/>
      <c r="AP177" s="142"/>
    </row>
    <row r="178" spans="2:42" x14ac:dyDescent="0.2">
      <c r="B178" s="140"/>
      <c r="C178" s="141"/>
      <c r="D178" s="142"/>
      <c r="E178" s="142"/>
      <c r="F178" s="142"/>
      <c r="H178" s="140"/>
      <c r="I178" s="141"/>
      <c r="J178" s="142"/>
      <c r="K178" s="142"/>
      <c r="L178" s="142"/>
      <c r="N178" s="140"/>
      <c r="O178" s="141"/>
      <c r="P178" s="142"/>
      <c r="Q178" s="142"/>
      <c r="R178" s="142"/>
      <c r="T178" s="140"/>
      <c r="U178" s="141"/>
      <c r="V178" s="142"/>
      <c r="W178" s="142"/>
      <c r="X178" s="142"/>
      <c r="Z178" s="140"/>
      <c r="AA178" s="141"/>
      <c r="AB178" s="142"/>
      <c r="AC178" s="142"/>
      <c r="AD178" s="142"/>
      <c r="AF178" s="140"/>
      <c r="AG178" s="141"/>
      <c r="AH178" s="142"/>
      <c r="AI178" s="142"/>
      <c r="AJ178" s="142"/>
      <c r="AL178" s="140"/>
      <c r="AM178" s="141"/>
      <c r="AN178" s="142"/>
      <c r="AO178" s="142"/>
      <c r="AP178" s="142"/>
    </row>
    <row r="179" spans="2:42" x14ac:dyDescent="0.2">
      <c r="B179" s="140"/>
      <c r="C179" s="141"/>
      <c r="D179" s="142"/>
      <c r="E179" s="142"/>
      <c r="F179" s="142"/>
      <c r="H179" s="140"/>
      <c r="I179" s="141"/>
      <c r="J179" s="142"/>
      <c r="K179" s="142"/>
      <c r="L179" s="142"/>
      <c r="N179" s="140"/>
      <c r="O179" s="141"/>
      <c r="P179" s="142"/>
      <c r="Q179" s="142"/>
      <c r="R179" s="142"/>
      <c r="T179" s="140"/>
      <c r="U179" s="141"/>
      <c r="V179" s="142"/>
      <c r="W179" s="142"/>
      <c r="X179" s="142"/>
      <c r="Z179" s="140"/>
      <c r="AA179" s="141"/>
      <c r="AB179" s="142"/>
      <c r="AC179" s="142"/>
      <c r="AD179" s="142"/>
      <c r="AF179" s="140"/>
      <c r="AG179" s="141"/>
      <c r="AH179" s="142"/>
      <c r="AI179" s="142"/>
      <c r="AJ179" s="142"/>
      <c r="AL179" s="140"/>
      <c r="AM179" s="141"/>
      <c r="AN179" s="142"/>
      <c r="AO179" s="142"/>
      <c r="AP179" s="142"/>
    </row>
    <row r="180" spans="2:42" x14ac:dyDescent="0.2">
      <c r="B180" s="140"/>
      <c r="C180" s="141"/>
      <c r="D180" s="142"/>
      <c r="E180" s="142"/>
      <c r="F180" s="142"/>
      <c r="H180" s="140"/>
      <c r="I180" s="141"/>
      <c r="J180" s="142"/>
      <c r="K180" s="142"/>
      <c r="L180" s="142"/>
      <c r="N180" s="140"/>
      <c r="O180" s="141"/>
      <c r="P180" s="142"/>
      <c r="Q180" s="142"/>
      <c r="R180" s="142"/>
      <c r="T180" s="140"/>
      <c r="U180" s="141"/>
      <c r="V180" s="142"/>
      <c r="W180" s="142"/>
      <c r="X180" s="142"/>
      <c r="Z180" s="140"/>
      <c r="AA180" s="141"/>
      <c r="AB180" s="142"/>
      <c r="AC180" s="142"/>
      <c r="AD180" s="142"/>
      <c r="AF180" s="140"/>
      <c r="AG180" s="141"/>
      <c r="AH180" s="142"/>
      <c r="AI180" s="142"/>
      <c r="AJ180" s="142"/>
      <c r="AL180" s="140"/>
      <c r="AM180" s="141"/>
      <c r="AN180" s="142"/>
      <c r="AO180" s="142"/>
      <c r="AP180" s="142"/>
    </row>
    <row r="181" spans="2:42" x14ac:dyDescent="0.2">
      <c r="B181" s="140"/>
      <c r="C181" s="141"/>
      <c r="D181" s="142"/>
      <c r="E181" s="142"/>
      <c r="F181" s="142"/>
      <c r="H181" s="140"/>
      <c r="I181" s="141"/>
      <c r="J181" s="142"/>
      <c r="K181" s="142"/>
      <c r="L181" s="142"/>
      <c r="N181" s="140"/>
      <c r="O181" s="141"/>
      <c r="P181" s="142"/>
      <c r="Q181" s="142"/>
      <c r="R181" s="142"/>
      <c r="T181" s="140"/>
      <c r="U181" s="141"/>
      <c r="V181" s="142"/>
      <c r="W181" s="142"/>
      <c r="X181" s="142"/>
      <c r="Z181" s="140"/>
      <c r="AA181" s="141"/>
      <c r="AB181" s="142"/>
      <c r="AC181" s="142"/>
      <c r="AD181" s="142"/>
      <c r="AF181" s="140"/>
      <c r="AG181" s="141"/>
      <c r="AH181" s="142"/>
      <c r="AI181" s="142"/>
      <c r="AJ181" s="142"/>
      <c r="AL181" s="140"/>
      <c r="AM181" s="141"/>
      <c r="AN181" s="142"/>
      <c r="AO181" s="142"/>
      <c r="AP181" s="142"/>
    </row>
    <row r="182" spans="2:42" x14ac:dyDescent="0.2">
      <c r="B182" s="140"/>
      <c r="C182" s="141"/>
      <c r="D182" s="142"/>
      <c r="E182" s="142"/>
      <c r="F182" s="142"/>
      <c r="H182" s="140"/>
      <c r="I182" s="141"/>
      <c r="J182" s="142"/>
      <c r="K182" s="142"/>
      <c r="L182" s="142"/>
      <c r="N182" s="140"/>
      <c r="O182" s="141"/>
      <c r="P182" s="142"/>
      <c r="Q182" s="142"/>
      <c r="R182" s="142"/>
      <c r="T182" s="140"/>
      <c r="U182" s="141"/>
      <c r="V182" s="142"/>
      <c r="W182" s="142"/>
      <c r="X182" s="142"/>
      <c r="Z182" s="140"/>
      <c r="AA182" s="141"/>
      <c r="AB182" s="142"/>
      <c r="AC182" s="142"/>
      <c r="AD182" s="142"/>
      <c r="AF182" s="140"/>
      <c r="AG182" s="141"/>
      <c r="AH182" s="142"/>
      <c r="AI182" s="142"/>
      <c r="AJ182" s="142"/>
      <c r="AL182" s="140"/>
      <c r="AM182" s="141"/>
      <c r="AN182" s="142"/>
      <c r="AO182" s="142"/>
      <c r="AP182" s="142"/>
    </row>
    <row r="183" spans="2:42" x14ac:dyDescent="0.2">
      <c r="B183" s="140"/>
      <c r="C183" s="141"/>
      <c r="D183" s="142"/>
      <c r="E183" s="142"/>
      <c r="F183" s="142"/>
      <c r="H183" s="140"/>
      <c r="I183" s="141"/>
      <c r="J183" s="142"/>
      <c r="K183" s="142"/>
      <c r="L183" s="142"/>
      <c r="N183" s="140"/>
      <c r="O183" s="141"/>
      <c r="P183" s="142"/>
      <c r="Q183" s="142"/>
      <c r="R183" s="142"/>
      <c r="T183" s="140"/>
      <c r="U183" s="141"/>
      <c r="V183" s="142"/>
      <c r="W183" s="142"/>
      <c r="X183" s="142"/>
      <c r="Z183" s="140"/>
      <c r="AA183" s="141"/>
      <c r="AB183" s="142"/>
      <c r="AC183" s="142"/>
      <c r="AD183" s="142"/>
      <c r="AF183" s="140"/>
      <c r="AG183" s="141"/>
      <c r="AH183" s="142"/>
      <c r="AI183" s="142"/>
      <c r="AJ183" s="142"/>
      <c r="AL183" s="140"/>
      <c r="AM183" s="141"/>
      <c r="AN183" s="142"/>
      <c r="AO183" s="142"/>
      <c r="AP183" s="142"/>
    </row>
    <row r="184" spans="2:42" x14ac:dyDescent="0.2">
      <c r="B184" s="140"/>
      <c r="C184" s="141"/>
      <c r="D184" s="142"/>
      <c r="E184" s="142"/>
      <c r="F184" s="142"/>
      <c r="H184" s="140"/>
      <c r="I184" s="141"/>
      <c r="J184" s="142"/>
      <c r="K184" s="142"/>
      <c r="L184" s="142"/>
      <c r="N184" s="140"/>
      <c r="O184" s="141"/>
      <c r="P184" s="142"/>
      <c r="Q184" s="142"/>
      <c r="R184" s="142"/>
      <c r="T184" s="140"/>
      <c r="U184" s="141"/>
      <c r="V184" s="142"/>
      <c r="W184" s="142"/>
      <c r="X184" s="142"/>
      <c r="Z184" s="140"/>
      <c r="AA184" s="141"/>
      <c r="AB184" s="142"/>
      <c r="AC184" s="142"/>
      <c r="AD184" s="142"/>
      <c r="AF184" s="140"/>
      <c r="AG184" s="141"/>
      <c r="AH184" s="142"/>
      <c r="AI184" s="142"/>
      <c r="AJ184" s="142"/>
      <c r="AL184" s="140"/>
      <c r="AM184" s="141"/>
      <c r="AN184" s="142"/>
      <c r="AO184" s="142"/>
      <c r="AP184" s="142"/>
    </row>
    <row r="185" spans="2:42" x14ac:dyDescent="0.2">
      <c r="B185" s="140"/>
      <c r="C185" s="141"/>
      <c r="D185" s="142"/>
      <c r="E185" s="142"/>
      <c r="F185" s="142"/>
      <c r="H185" s="140"/>
      <c r="I185" s="141"/>
      <c r="J185" s="142"/>
      <c r="K185" s="142"/>
      <c r="L185" s="142"/>
      <c r="N185" s="140"/>
      <c r="O185" s="141"/>
      <c r="P185" s="142"/>
      <c r="Q185" s="142"/>
      <c r="R185" s="142"/>
      <c r="T185" s="140"/>
      <c r="U185" s="141"/>
      <c r="V185" s="142"/>
      <c r="W185" s="142"/>
      <c r="X185" s="142"/>
      <c r="Z185" s="140"/>
      <c r="AA185" s="141"/>
      <c r="AB185" s="142"/>
      <c r="AC185" s="142"/>
      <c r="AD185" s="142"/>
      <c r="AF185" s="140"/>
      <c r="AG185" s="141"/>
      <c r="AH185" s="142"/>
      <c r="AI185" s="142"/>
      <c r="AJ185" s="142"/>
      <c r="AL185" s="140"/>
      <c r="AM185" s="141"/>
      <c r="AN185" s="142"/>
      <c r="AO185" s="142"/>
      <c r="AP185" s="142"/>
    </row>
    <row r="186" spans="2:42" x14ac:dyDescent="0.2">
      <c r="B186" s="140"/>
      <c r="C186" s="141"/>
      <c r="D186" s="142"/>
      <c r="E186" s="142"/>
      <c r="F186" s="142"/>
      <c r="H186" s="140"/>
      <c r="I186" s="141"/>
      <c r="J186" s="142"/>
      <c r="K186" s="142"/>
      <c r="L186" s="142"/>
      <c r="N186" s="140"/>
      <c r="O186" s="141"/>
      <c r="P186" s="142"/>
      <c r="Q186" s="142"/>
      <c r="R186" s="142"/>
      <c r="T186" s="140"/>
      <c r="U186" s="141"/>
      <c r="V186" s="142"/>
      <c r="W186" s="142"/>
      <c r="X186" s="142"/>
      <c r="Z186" s="140"/>
      <c r="AA186" s="141"/>
      <c r="AB186" s="142"/>
      <c r="AC186" s="142"/>
      <c r="AD186" s="142"/>
      <c r="AF186" s="140"/>
      <c r="AG186" s="141"/>
      <c r="AH186" s="142"/>
      <c r="AI186" s="142"/>
      <c r="AJ186" s="142"/>
      <c r="AL186" s="140"/>
      <c r="AM186" s="141"/>
      <c r="AN186" s="142"/>
      <c r="AO186" s="142"/>
      <c r="AP186" s="142"/>
    </row>
    <row r="187" spans="2:42" x14ac:dyDescent="0.2">
      <c r="B187" s="140"/>
      <c r="C187" s="141"/>
      <c r="D187" s="142"/>
      <c r="E187" s="142"/>
      <c r="F187" s="142"/>
      <c r="H187" s="140"/>
      <c r="I187" s="141"/>
      <c r="J187" s="142"/>
      <c r="K187" s="142"/>
      <c r="L187" s="142"/>
      <c r="N187" s="140"/>
      <c r="O187" s="141"/>
      <c r="P187" s="142"/>
      <c r="Q187" s="142"/>
      <c r="R187" s="142"/>
      <c r="T187" s="140"/>
      <c r="U187" s="141"/>
      <c r="V187" s="142"/>
      <c r="W187" s="142"/>
      <c r="X187" s="142"/>
      <c r="Z187" s="140"/>
      <c r="AA187" s="141"/>
      <c r="AB187" s="142"/>
      <c r="AC187" s="142"/>
      <c r="AD187" s="142"/>
      <c r="AF187" s="140"/>
      <c r="AG187" s="141"/>
      <c r="AH187" s="142"/>
      <c r="AI187" s="142"/>
      <c r="AJ187" s="142"/>
      <c r="AL187" s="140"/>
      <c r="AM187" s="141"/>
      <c r="AN187" s="142"/>
      <c r="AO187" s="142"/>
      <c r="AP187" s="142"/>
    </row>
    <row r="188" spans="2:42" x14ac:dyDescent="0.2">
      <c r="B188" s="140"/>
      <c r="C188" s="141"/>
      <c r="D188" s="142"/>
      <c r="E188" s="142"/>
      <c r="F188" s="142"/>
      <c r="H188" s="140"/>
      <c r="I188" s="141"/>
      <c r="J188" s="142"/>
      <c r="K188" s="142"/>
      <c r="L188" s="142"/>
      <c r="N188" s="140"/>
      <c r="O188" s="141"/>
      <c r="P188" s="142"/>
      <c r="Q188" s="142"/>
      <c r="R188" s="142"/>
      <c r="T188" s="140"/>
      <c r="U188" s="141"/>
      <c r="V188" s="142"/>
      <c r="W188" s="142"/>
      <c r="X188" s="142"/>
      <c r="Z188" s="140"/>
      <c r="AA188" s="141"/>
      <c r="AB188" s="142"/>
      <c r="AC188" s="142"/>
      <c r="AD188" s="142"/>
      <c r="AF188" s="140"/>
      <c r="AG188" s="141"/>
      <c r="AH188" s="142"/>
      <c r="AI188" s="142"/>
      <c r="AJ188" s="142"/>
      <c r="AL188" s="140"/>
      <c r="AM188" s="141"/>
      <c r="AN188" s="142"/>
      <c r="AO188" s="142"/>
      <c r="AP188" s="142"/>
    </row>
    <row r="189" spans="2:42" x14ac:dyDescent="0.2">
      <c r="B189" s="140"/>
      <c r="C189" s="141"/>
      <c r="D189" s="142"/>
      <c r="E189" s="142"/>
      <c r="F189" s="142"/>
      <c r="H189" s="140"/>
      <c r="I189" s="141"/>
      <c r="J189" s="142"/>
      <c r="K189" s="142"/>
      <c r="L189" s="142"/>
      <c r="N189" s="140"/>
      <c r="O189" s="141"/>
      <c r="P189" s="142"/>
      <c r="Q189" s="142"/>
      <c r="R189" s="142"/>
      <c r="T189" s="140"/>
      <c r="U189" s="141"/>
      <c r="V189" s="142"/>
      <c r="W189" s="142"/>
      <c r="X189" s="142"/>
      <c r="Z189" s="140"/>
      <c r="AA189" s="141"/>
      <c r="AB189" s="142"/>
      <c r="AC189" s="142"/>
      <c r="AD189" s="142"/>
      <c r="AF189" s="140"/>
      <c r="AG189" s="141"/>
      <c r="AH189" s="142"/>
      <c r="AI189" s="142"/>
      <c r="AJ189" s="142"/>
      <c r="AL189" s="140"/>
      <c r="AM189" s="141"/>
      <c r="AN189" s="142"/>
      <c r="AO189" s="142"/>
      <c r="AP189" s="142"/>
    </row>
    <row r="190" spans="2:42" x14ac:dyDescent="0.2">
      <c r="B190" s="140"/>
      <c r="C190" s="141"/>
      <c r="D190" s="142"/>
      <c r="E190" s="142"/>
      <c r="F190" s="142"/>
      <c r="H190" s="140"/>
      <c r="I190" s="141"/>
      <c r="J190" s="142"/>
      <c r="K190" s="142"/>
      <c r="L190" s="142"/>
      <c r="N190" s="140"/>
      <c r="O190" s="141"/>
      <c r="P190" s="142"/>
      <c r="Q190" s="142"/>
      <c r="R190" s="142"/>
      <c r="T190" s="140"/>
      <c r="U190" s="141"/>
      <c r="V190" s="142"/>
      <c r="W190" s="142"/>
      <c r="X190" s="142"/>
      <c r="Z190" s="140"/>
      <c r="AA190" s="141"/>
      <c r="AB190" s="142"/>
      <c r="AC190" s="142"/>
      <c r="AD190" s="142"/>
      <c r="AF190" s="140"/>
      <c r="AG190" s="141"/>
      <c r="AH190" s="142"/>
      <c r="AI190" s="142"/>
      <c r="AJ190" s="142"/>
      <c r="AL190" s="140"/>
      <c r="AM190" s="141"/>
      <c r="AN190" s="142"/>
      <c r="AO190" s="142"/>
      <c r="AP190" s="142"/>
    </row>
    <row r="191" spans="2:42" x14ac:dyDescent="0.2">
      <c r="B191" s="140"/>
      <c r="C191" s="141"/>
      <c r="D191" s="142"/>
      <c r="E191" s="142"/>
      <c r="F191" s="142"/>
      <c r="H191" s="140"/>
      <c r="I191" s="141"/>
      <c r="J191" s="142"/>
      <c r="K191" s="142"/>
      <c r="L191" s="142"/>
      <c r="N191" s="140"/>
      <c r="O191" s="141"/>
      <c r="P191" s="142"/>
      <c r="Q191" s="142"/>
      <c r="R191" s="142"/>
      <c r="T191" s="140"/>
      <c r="U191" s="141"/>
      <c r="V191" s="142"/>
      <c r="W191" s="142"/>
      <c r="X191" s="142"/>
      <c r="Z191" s="140"/>
      <c r="AA191" s="141"/>
      <c r="AB191" s="142"/>
      <c r="AC191" s="142"/>
      <c r="AD191" s="142"/>
      <c r="AF191" s="140"/>
      <c r="AG191" s="141"/>
      <c r="AH191" s="142"/>
      <c r="AI191" s="142"/>
      <c r="AJ191" s="142"/>
      <c r="AL191" s="140"/>
      <c r="AM191" s="141"/>
      <c r="AN191" s="142"/>
      <c r="AO191" s="142"/>
      <c r="AP191" s="142"/>
    </row>
    <row r="192" spans="2:42" x14ac:dyDescent="0.2">
      <c r="B192" s="140"/>
      <c r="C192" s="141"/>
      <c r="D192" s="142"/>
      <c r="E192" s="142"/>
      <c r="F192" s="142"/>
      <c r="H192" s="140"/>
      <c r="I192" s="141"/>
      <c r="J192" s="142"/>
      <c r="K192" s="142"/>
      <c r="L192" s="142"/>
      <c r="N192" s="140"/>
      <c r="O192" s="141"/>
      <c r="P192" s="142"/>
      <c r="Q192" s="142"/>
      <c r="R192" s="142"/>
      <c r="T192" s="140"/>
      <c r="U192" s="141"/>
      <c r="V192" s="142"/>
      <c r="W192" s="142"/>
      <c r="X192" s="142"/>
      <c r="Z192" s="140"/>
      <c r="AA192" s="141"/>
      <c r="AB192" s="142"/>
      <c r="AC192" s="142"/>
      <c r="AD192" s="142"/>
      <c r="AF192" s="140"/>
      <c r="AG192" s="141"/>
      <c r="AH192" s="142"/>
      <c r="AI192" s="142"/>
      <c r="AJ192" s="142"/>
      <c r="AL192" s="140"/>
      <c r="AM192" s="141"/>
      <c r="AN192" s="142"/>
      <c r="AO192" s="142"/>
      <c r="AP192" s="142"/>
    </row>
    <row r="193" spans="2:42" x14ac:dyDescent="0.2">
      <c r="B193" s="140"/>
      <c r="C193" s="141"/>
      <c r="D193" s="142"/>
      <c r="E193" s="142"/>
      <c r="F193" s="142"/>
      <c r="H193" s="140"/>
      <c r="I193" s="141"/>
      <c r="J193" s="142"/>
      <c r="K193" s="142"/>
      <c r="L193" s="142"/>
      <c r="N193" s="140"/>
      <c r="O193" s="141"/>
      <c r="P193" s="142"/>
      <c r="Q193" s="142"/>
      <c r="R193" s="142"/>
      <c r="T193" s="140"/>
      <c r="U193" s="141"/>
      <c r="V193" s="142"/>
      <c r="W193" s="142"/>
      <c r="X193" s="142"/>
      <c r="Z193" s="140"/>
      <c r="AA193" s="141"/>
      <c r="AB193" s="142"/>
      <c r="AC193" s="142"/>
      <c r="AD193" s="142"/>
      <c r="AF193" s="140"/>
      <c r="AG193" s="141"/>
      <c r="AH193" s="142"/>
      <c r="AI193" s="142"/>
      <c r="AJ193" s="142"/>
      <c r="AL193" s="140"/>
      <c r="AM193" s="141"/>
      <c r="AN193" s="142"/>
      <c r="AO193" s="142"/>
      <c r="AP193" s="142"/>
    </row>
    <row r="194" spans="2:42" x14ac:dyDescent="0.2">
      <c r="B194" s="140"/>
      <c r="C194" s="141"/>
      <c r="D194" s="142"/>
      <c r="E194" s="142"/>
      <c r="F194" s="142"/>
      <c r="H194" s="140"/>
      <c r="I194" s="141"/>
      <c r="J194" s="142"/>
      <c r="K194" s="142"/>
      <c r="L194" s="142"/>
      <c r="N194" s="140"/>
      <c r="O194" s="141"/>
      <c r="P194" s="142"/>
      <c r="Q194" s="142"/>
      <c r="R194" s="142"/>
      <c r="T194" s="140"/>
      <c r="U194" s="141"/>
      <c r="V194" s="142"/>
      <c r="W194" s="142"/>
      <c r="X194" s="142"/>
      <c r="Z194" s="140"/>
      <c r="AA194" s="141"/>
      <c r="AB194" s="142"/>
      <c r="AC194" s="142"/>
      <c r="AD194" s="142"/>
      <c r="AF194" s="140"/>
      <c r="AG194" s="141"/>
      <c r="AH194" s="142"/>
      <c r="AI194" s="142"/>
      <c r="AJ194" s="142"/>
      <c r="AL194" s="140"/>
      <c r="AM194" s="141"/>
      <c r="AN194" s="142"/>
      <c r="AO194" s="142"/>
      <c r="AP194" s="142"/>
    </row>
    <row r="195" spans="2:42" x14ac:dyDescent="0.2">
      <c r="B195" s="140"/>
      <c r="C195" s="141"/>
      <c r="D195" s="142"/>
      <c r="E195" s="142"/>
      <c r="F195" s="142"/>
      <c r="H195" s="140"/>
      <c r="I195" s="141"/>
      <c r="J195" s="142"/>
      <c r="K195" s="142"/>
      <c r="L195" s="142"/>
      <c r="N195" s="140"/>
      <c r="O195" s="141"/>
      <c r="P195" s="142"/>
      <c r="Q195" s="142"/>
      <c r="R195" s="142"/>
      <c r="T195" s="140"/>
      <c r="U195" s="141"/>
      <c r="V195" s="142"/>
      <c r="W195" s="142"/>
      <c r="X195" s="142"/>
      <c r="Z195" s="140"/>
      <c r="AA195" s="141"/>
      <c r="AB195" s="142"/>
      <c r="AC195" s="142"/>
      <c r="AD195" s="142"/>
      <c r="AF195" s="140"/>
      <c r="AG195" s="141"/>
      <c r="AH195" s="142"/>
      <c r="AI195" s="142"/>
      <c r="AJ195" s="142"/>
      <c r="AL195" s="140"/>
      <c r="AM195" s="141"/>
      <c r="AN195" s="142"/>
      <c r="AO195" s="142"/>
      <c r="AP195" s="142"/>
    </row>
    <row r="197" spans="2:42" x14ac:dyDescent="0.2">
      <c r="C197" s="27"/>
      <c r="E197" s="27"/>
      <c r="K197" s="27"/>
      <c r="Q197" s="27"/>
      <c r="W197" s="27"/>
      <c r="AC197" s="27"/>
      <c r="AI197" s="27"/>
      <c r="AO197" s="27"/>
    </row>
    <row r="198" spans="2:42" x14ac:dyDescent="0.2">
      <c r="C198" s="93"/>
      <c r="E198" s="94"/>
      <c r="K198" s="94"/>
      <c r="Q198" s="94"/>
      <c r="W198" s="94"/>
      <c r="AC198" s="94"/>
      <c r="AI198" s="94"/>
      <c r="AO198" s="94"/>
    </row>
    <row r="199" spans="2:42" x14ac:dyDescent="0.2">
      <c r="C199" s="93"/>
      <c r="E199" s="94"/>
      <c r="K199" s="94"/>
      <c r="Q199" s="94"/>
      <c r="W199" s="94"/>
      <c r="AC199" s="94"/>
      <c r="AI199" s="94"/>
      <c r="AO199" s="94"/>
    </row>
    <row r="200" spans="2:42" x14ac:dyDescent="0.2">
      <c r="C200" s="93"/>
      <c r="E200" s="94"/>
      <c r="K200" s="94"/>
      <c r="Q200" s="94"/>
      <c r="W200" s="94"/>
      <c r="AC200" s="94"/>
      <c r="AI200" s="94"/>
      <c r="AO200" s="94"/>
    </row>
    <row r="201" spans="2:42" x14ac:dyDescent="0.2">
      <c r="C201" s="93"/>
      <c r="E201" s="94"/>
      <c r="K201" s="94"/>
      <c r="Q201" s="94"/>
      <c r="W201" s="94"/>
      <c r="AC201" s="94"/>
      <c r="AI201" s="94"/>
      <c r="AO201" s="94"/>
    </row>
    <row r="202" spans="2:42" x14ac:dyDescent="0.2">
      <c r="C202" s="93"/>
      <c r="E202" s="94"/>
      <c r="K202" s="94"/>
      <c r="Q202" s="94"/>
      <c r="W202" s="94"/>
      <c r="AC202" s="94"/>
      <c r="AI202" s="94"/>
      <c r="AO202" s="94"/>
    </row>
    <row r="203" spans="2:42" x14ac:dyDescent="0.2">
      <c r="C203" s="93"/>
      <c r="E203" s="94"/>
      <c r="K203" s="94"/>
      <c r="Q203" s="94"/>
      <c r="W203" s="94"/>
      <c r="AC203" s="94"/>
      <c r="AI203" s="94"/>
      <c r="AO203" s="94"/>
    </row>
  </sheetData>
  <sheetProtection sheet="1" objects="1" scenarios="1"/>
  <phoneticPr fontId="10" type="noConversion"/>
  <pageMargins left="0.75" right="0.75" top="1" bottom="1" header="0.5" footer="0.5"/>
  <pageSetup scale="15" orientation="portrait" r:id="rId1"/>
  <headerFooter alignWithMargins="0">
    <oddFooter>&amp;CSheep EweLambPLAN Copyright Government of Saskatchewan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pageSetUpPr fitToPage="1"/>
  </sheetPr>
  <dimension ref="B3:P9"/>
  <sheetViews>
    <sheetView showGridLines="0" showRowColHeaders="0" workbookViewId="0">
      <selection activeCell="C9" sqref="C9"/>
    </sheetView>
  </sheetViews>
  <sheetFormatPr defaultRowHeight="12.75" x14ac:dyDescent="0.2"/>
  <cols>
    <col min="2" max="2" width="40.7109375" customWidth="1"/>
    <col min="3" max="16" width="10.7109375" customWidth="1"/>
  </cols>
  <sheetData>
    <row r="3" spans="2:16" ht="13.5" thickBot="1" x14ac:dyDescent="0.25"/>
    <row r="4" spans="2:16" ht="13.5" thickBot="1" x14ac:dyDescent="0.25">
      <c r="B4" s="1" t="s">
        <v>113</v>
      </c>
      <c r="C4" s="162" t="s">
        <v>183</v>
      </c>
      <c r="D4" s="97" t="s">
        <v>112</v>
      </c>
      <c r="E4" s="97" t="str">
        <f>Input!$E$15</f>
        <v>Year #1</v>
      </c>
      <c r="F4" s="97" t="s">
        <v>114</v>
      </c>
      <c r="G4" s="163" t="str">
        <f>Input!$F$15</f>
        <v>Year #2</v>
      </c>
      <c r="H4" s="97" t="s">
        <v>114</v>
      </c>
      <c r="I4" s="97" t="str">
        <f>Input!$G$15</f>
        <v>Year #3</v>
      </c>
      <c r="J4" s="97" t="s">
        <v>114</v>
      </c>
      <c r="K4" s="97" t="str">
        <f>Input!$H$15</f>
        <v>Year #4</v>
      </c>
      <c r="L4" s="97" t="s">
        <v>114</v>
      </c>
      <c r="M4" s="97" t="str">
        <f>Input!$I$15</f>
        <v>Year #5</v>
      </c>
      <c r="N4" s="280" t="s">
        <v>114</v>
      </c>
      <c r="O4" s="97">
        <f>Input!$J$15</f>
        <v>0</v>
      </c>
      <c r="P4" s="164" t="s">
        <v>114</v>
      </c>
    </row>
    <row r="5" spans="2:16" x14ac:dyDescent="0.2">
      <c r="B5" s="37" t="str">
        <f>Input!C395</f>
        <v>Land and Other Non Depreciating Assets</v>
      </c>
      <c r="C5" s="112">
        <v>0</v>
      </c>
      <c r="D5" s="165">
        <f>Input!E395</f>
        <v>100000</v>
      </c>
      <c r="E5" s="165">
        <v>0</v>
      </c>
      <c r="F5" s="165">
        <f>D5-E5</f>
        <v>100000</v>
      </c>
      <c r="G5" s="165">
        <v>0</v>
      </c>
      <c r="H5" s="165">
        <f>IF(Input!$F$395&gt;F5,Input!$F$395-G5,F5-G5)</f>
        <v>100000</v>
      </c>
      <c r="I5" s="165">
        <v>0</v>
      </c>
      <c r="J5" s="165">
        <f>IF(Input!$G$395&gt;H5,Input!$G$395-I5,H5-I5)</f>
        <v>100000</v>
      </c>
      <c r="K5" s="165">
        <v>0</v>
      </c>
      <c r="L5" s="165">
        <f>IF(Input!$H$395&gt;J5,Input!$H$395-K5,J5-K5)</f>
        <v>100000</v>
      </c>
      <c r="M5" s="165">
        <v>0</v>
      </c>
      <c r="N5" s="504">
        <f>IF(Input!$I$395&gt;L5,Input!$I$395-M5,L5-M5)</f>
        <v>100000</v>
      </c>
      <c r="O5" s="165">
        <v>0</v>
      </c>
      <c r="P5" s="166">
        <f>IF(Input!$J$395&gt;N5,Input!$J$395-O5,N5-O5)</f>
        <v>100000</v>
      </c>
    </row>
    <row r="6" spans="2:16" x14ac:dyDescent="0.2">
      <c r="B6" s="44" t="str">
        <f>Input!C396</f>
        <v>Buildings and Fences (CCA - 10% dep)</v>
      </c>
      <c r="C6" s="113">
        <v>0.05</v>
      </c>
      <c r="D6" s="67">
        <f>Input!E396</f>
        <v>75000</v>
      </c>
      <c r="E6" s="67">
        <f>D6*$C$6</f>
        <v>3750</v>
      </c>
      <c r="F6" s="67">
        <f>D6-E6</f>
        <v>71250</v>
      </c>
      <c r="G6" s="67">
        <f>F6*$C$6</f>
        <v>3562.5</v>
      </c>
      <c r="H6" s="67">
        <f>IF(Input!$F$396&gt;F6,Input!$F$396-G6,F6-G6)</f>
        <v>67687.5</v>
      </c>
      <c r="I6" s="67">
        <f>H6*$C$6</f>
        <v>3384.375</v>
      </c>
      <c r="J6" s="67">
        <f>IF(Input!$G$396&gt;H6,Input!$G$396-I6,H6-I6)</f>
        <v>64303.125</v>
      </c>
      <c r="K6" s="67">
        <f>J6*$C$6</f>
        <v>3215.15625</v>
      </c>
      <c r="L6" s="67">
        <f>IF(Input!$H$396&gt;J6,Input!$H$396-K6,J6-K6)</f>
        <v>61087.96875</v>
      </c>
      <c r="M6" s="67">
        <f>L6*$C$6</f>
        <v>3054.3984375</v>
      </c>
      <c r="N6" s="46">
        <f>IF(Input!$I$396&gt;L6,Input!$I$396-M6,L6-M6)</f>
        <v>58033.5703125</v>
      </c>
      <c r="O6" s="67">
        <f>N6*$C$6</f>
        <v>2901.6785156250003</v>
      </c>
      <c r="P6" s="47">
        <f>IF(Input!$J$396&gt;N6,Input!$J$396-O6,N6-O6)</f>
        <v>55131.891796875003</v>
      </c>
    </row>
    <row r="7" spans="2:16" x14ac:dyDescent="0.2">
      <c r="B7" s="44" t="str">
        <f>Input!C397</f>
        <v xml:space="preserve">Machinery and Equipment (CCA - 20% dep)  </v>
      </c>
      <c r="C7" s="113">
        <v>0.1</v>
      </c>
      <c r="D7" s="67">
        <f>Input!E397</f>
        <v>50000</v>
      </c>
      <c r="E7" s="67">
        <f>D7*$C$7</f>
        <v>5000</v>
      </c>
      <c r="F7" s="67">
        <f>D7-E7</f>
        <v>45000</v>
      </c>
      <c r="G7" s="67">
        <f>F7*$C$7</f>
        <v>4500</v>
      </c>
      <c r="H7" s="67">
        <f>IF(Input!$F$397&gt;F7,Input!$F$397-G7,F7-G7)</f>
        <v>40500</v>
      </c>
      <c r="I7" s="67">
        <f>H7*$C$7</f>
        <v>4050</v>
      </c>
      <c r="J7" s="67">
        <f>IF(Input!$G$397&gt;H7,Input!$G$397-I7,H7-I7)</f>
        <v>36450</v>
      </c>
      <c r="K7" s="67">
        <f>J7*$C$7</f>
        <v>3645</v>
      </c>
      <c r="L7" s="67">
        <f>IF(Input!$H$397&gt;J7,Input!$H$397-K7,J7-K7)</f>
        <v>32805</v>
      </c>
      <c r="M7" s="67">
        <f>L7*$C$7</f>
        <v>3280.5</v>
      </c>
      <c r="N7" s="46">
        <f>IF(Input!$I$397&gt;L7,Input!$I$397-M7,L7-M7)</f>
        <v>29524.5</v>
      </c>
      <c r="O7" s="67">
        <f>N7*$C$7</f>
        <v>2952.4500000000003</v>
      </c>
      <c r="P7" s="47">
        <f>IF(Input!$J$397&gt;N7,Input!$J$397-O7,N7-O7)</f>
        <v>26572.05</v>
      </c>
    </row>
    <row r="8" spans="2:16" ht="13.5" thickBot="1" x14ac:dyDescent="0.25">
      <c r="B8" s="29" t="str">
        <f>Input!C398</f>
        <v>Infrastructure and Site Development (CCA - 8%)</v>
      </c>
      <c r="C8" s="172">
        <v>0.08</v>
      </c>
      <c r="D8" s="167">
        <f>Input!E398</f>
        <v>0</v>
      </c>
      <c r="E8" s="167">
        <f>IF(D8&gt;0,D8*C8,0)</f>
        <v>0</v>
      </c>
      <c r="F8" s="167">
        <f>D8-E8</f>
        <v>0</v>
      </c>
      <c r="G8" s="77">
        <f>IF(Input!$F$398&gt;F8,Input!$F$398*C8,F8*C8)</f>
        <v>0</v>
      </c>
      <c r="H8" s="77">
        <f>IF(Input!$F$398&gt;F8,Input!$F$398-G8,F8-G8)</f>
        <v>0</v>
      </c>
      <c r="I8" s="77">
        <f>IF(Input!$G$398&gt;H8,Input!$G$398*C8,H8*C8)</f>
        <v>0</v>
      </c>
      <c r="J8" s="77">
        <f>IF(Input!$G$398&gt;H8,Input!$G$398-I8,H8-I8)</f>
        <v>0</v>
      </c>
      <c r="K8" s="77">
        <f>IF(Input!$H$398&gt;J8,Input!$H$398*C8,J8*C8)</f>
        <v>0</v>
      </c>
      <c r="L8" s="77">
        <f>IF(Input!$H$398&gt;J8,Input!$H$398-K8,J8-K8)</f>
        <v>0</v>
      </c>
      <c r="M8" s="77">
        <f>IF(Input!$I$398&gt;L8,Input!$I$398*C8,L8*C8)</f>
        <v>0</v>
      </c>
      <c r="N8" s="68">
        <f>IF(Input!$I$398&gt;L8,Input!$I$398-M8,L8-M8)</f>
        <v>0</v>
      </c>
      <c r="O8" s="77">
        <f>IF(Input!$I$398&gt;N8,Input!$I$398*E8,N8*E8)</f>
        <v>0</v>
      </c>
      <c r="P8" s="78">
        <f>IF(Input!$J$398&gt;N8,Input!$J$398-O8,N8-O8)</f>
        <v>0</v>
      </c>
    </row>
    <row r="9" spans="2:16" ht="13.5" thickBot="1" x14ac:dyDescent="0.25">
      <c r="B9" s="51"/>
      <c r="C9" s="168" t="s">
        <v>0</v>
      </c>
      <c r="D9" s="54">
        <f t="shared" ref="D9:N9" si="0">SUM(D5:D8)</f>
        <v>225000</v>
      </c>
      <c r="E9" s="54">
        <f t="shared" si="0"/>
        <v>8750</v>
      </c>
      <c r="F9" s="54">
        <f t="shared" si="0"/>
        <v>216250</v>
      </c>
      <c r="G9" s="54">
        <f t="shared" si="0"/>
        <v>8062.5</v>
      </c>
      <c r="H9" s="54">
        <f t="shared" si="0"/>
        <v>208187.5</v>
      </c>
      <c r="I9" s="54">
        <f t="shared" si="0"/>
        <v>7434.375</v>
      </c>
      <c r="J9" s="54">
        <f t="shared" si="0"/>
        <v>200753.125</v>
      </c>
      <c r="K9" s="54">
        <f t="shared" si="0"/>
        <v>6860.15625</v>
      </c>
      <c r="L9" s="54">
        <f t="shared" si="0"/>
        <v>193892.96875</v>
      </c>
      <c r="M9" s="54">
        <f t="shared" si="0"/>
        <v>6334.8984375</v>
      </c>
      <c r="N9" s="415">
        <f t="shared" si="0"/>
        <v>187558.0703125</v>
      </c>
      <c r="O9" s="54">
        <f>SUM(O5:O8)</f>
        <v>5854.1285156250005</v>
      </c>
      <c r="P9" s="109">
        <f>SUM(P5:P8)</f>
        <v>181703.94179687498</v>
      </c>
    </row>
  </sheetData>
  <sheetProtection sheet="1" objects="1" scenarios="1"/>
  <phoneticPr fontId="10" type="noConversion"/>
  <pageMargins left="0.75" right="0.75" top="1" bottom="1" header="0.5" footer="0.5"/>
  <pageSetup scale="72" orientation="landscape" r:id="rId1"/>
  <headerFooter alignWithMargins="0">
    <oddFooter>&amp;CSheep EweLambPLAN Copyright Government of Saskatchewan</oddFooter>
  </headerFooter>
</worksheet>
</file>

<file path=docMetadata/LabelInfo.xml><?xml version="1.0" encoding="utf-8"?>
<clbl:labelList xmlns:clbl="http://schemas.microsoft.com/office/2020/mipLabelMetadata">
  <clbl:label id="{9715e697-1c31-4156-8581-01c5d1e29c65}" enabled="1" method="Standard" siteId="{cf4e8a24-641b-40d2-905e-9a328b644f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Disclosure</vt:lpstr>
      <vt:lpstr>Intro</vt:lpstr>
      <vt:lpstr>COP Calculation</vt:lpstr>
      <vt:lpstr>Input</vt:lpstr>
      <vt:lpstr>Feed</vt:lpstr>
      <vt:lpstr>Monthly</vt:lpstr>
      <vt:lpstr>Income_Expense</vt:lpstr>
      <vt:lpstr>Sensitivity</vt:lpstr>
      <vt:lpstr>Balance_Sheet</vt:lpstr>
      <vt:lpstr>Investment</vt:lpstr>
      <vt:lpstr>Financing</vt:lpstr>
      <vt:lpstr>Depreciation</vt:lpstr>
      <vt:lpstr>Monthly!Print_Titles</vt:lpstr>
    </vt:vector>
  </TitlesOfParts>
  <Company>Saskatchewan Agriculture &amp; Food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Brad Marceniuk</dc:creator>
  <cp:lastModifiedBy>Marceniuk, Brad AG</cp:lastModifiedBy>
  <cp:lastPrinted>2025-04-09T21:21:36Z</cp:lastPrinted>
  <dcterms:created xsi:type="dcterms:W3CDTF">2002-02-20T20:21:48Z</dcterms:created>
  <dcterms:modified xsi:type="dcterms:W3CDTF">2025-04-09T21:39:58Z</dcterms:modified>
</cp:coreProperties>
</file>