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46.xml" ContentType="application/vnd.ms-excel.controlpropertie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mc:AlternateContent xmlns:mc="http://schemas.openxmlformats.org/markup-compatibility/2006">
    <mc:Choice Requires="x15">
      <x15ac:absPath xmlns:x15ac="http://schemas.microsoft.com/office/spreadsheetml/2010/11/ac" url="https://skgov-my.sharepoint.com/personal/akot_gov_sk_ca/Documents/documents/Junior Emissions Engineer/Working Documents/Forms/"/>
    </mc:Choice>
  </mc:AlternateContent>
  <xr:revisionPtr revIDLastSave="4" documentId="13_ncr:1_{58593009-31E2-4677-B181-0B707578F187}" xr6:coauthVersionLast="47" xr6:coauthVersionMax="47" xr10:uidLastSave="{971F663B-6BC1-45B6-8366-A6B00A8AD5DF}"/>
  <workbookProtection workbookAlgorithmName="SHA-512" workbookHashValue="zZB2CCoBd5ztdsPP8NfaPmLp77H/UmSMgdPhY/JdVvxgEHJ3c2RzWwOBtGSwObuOg6kJ9VxahjLsZEoIRMSqrQ==" workbookSaltValue="m0Rg7CxpKVA26ot123cCIw==" workbookSpinCount="100000" lockStructure="1"/>
  <bookViews>
    <workbookView xWindow="-120" yWindow="-120" windowWidth="29040" windowHeight="15840" tabRatio="818" xr2:uid="{00000000-000D-0000-FFFF-FFFF00000000}"/>
  </bookViews>
  <sheets>
    <sheet name="Instructions" sheetId="1" r:id="rId1"/>
    <sheet name="Facility Information" sheetId="2" r:id="rId2"/>
    <sheet name="Product Information" sheetId="27" r:id="rId3"/>
    <sheet name="Production Data" sheetId="28" r:id="rId4"/>
    <sheet name="Electricity Data" sheetId="32" state="hidden" r:id="rId5"/>
    <sheet name="Gas-to-Power Data" sheetId="24" state="hidden" r:id="rId6"/>
    <sheet name="Summary" sheetId="5" r:id="rId7"/>
    <sheet name="Declaration" sheetId="4" r:id="rId8"/>
    <sheet name="Appendix" sheetId="31" r:id="rId9"/>
    <sheet name="Developer" sheetId="23" state="veryHidden" r:id="rId10"/>
  </sheets>
  <definedNames>
    <definedName name="I.Declaration.Date" hidden="1">Declaration!$F$26</definedName>
    <definedName name="I.Declaration.Name" hidden="1">Declaration!$D$9</definedName>
    <definedName name="I.Developer.P1C1" hidden="1">Developer!$F$3157</definedName>
    <definedName name="I.Developer.P1C2" hidden="1">Developer!$F$3158</definedName>
    <definedName name="I.Developer.P1C3" hidden="1">Developer!$F$3159</definedName>
    <definedName name="I.Developer.P1C4" hidden="1">Developer!$F$3160</definedName>
    <definedName name="I.Developer.P1C5" hidden="1">Developer!$F$3161</definedName>
    <definedName name="I.Developer.P1C6" hidden="1">Developer!$F$3162</definedName>
    <definedName name="I.Developer.P1C7" hidden="1">Developer!$F$3163</definedName>
    <definedName name="I.Developer.P1C8" hidden="1">Developer!$F$3164</definedName>
    <definedName name="I.Developer.P1C9" hidden="1">Developer!$F$3165</definedName>
    <definedName name="I.Developer.P2C1" hidden="1">Developer!$F$3166</definedName>
    <definedName name="I.Developer.P2C2" hidden="1">Developer!$F$3167</definedName>
    <definedName name="I.Developer.P2C3" hidden="1">Developer!$F$3168</definedName>
    <definedName name="I.Developer.P2C4" hidden="1">Developer!$F$3169</definedName>
    <definedName name="I.Developer.P2C5" hidden="1">Developer!$F$3170</definedName>
    <definedName name="I.Developer.P2C6" hidden="1">Developer!$F$3171</definedName>
    <definedName name="I.Developer.P2C7" hidden="1">Developer!$F$3172</definedName>
    <definedName name="I.Developer.P2C8" hidden="1">Developer!$F$3173</definedName>
    <definedName name="I.Developer.P2C9" hidden="1">Developer!$F$3174</definedName>
    <definedName name="I.Developer.P3C1" hidden="1">Developer!$F$3175</definedName>
    <definedName name="I.Developer.P3C2" hidden="1">Developer!$F$3176</definedName>
    <definedName name="I.Developer.P3C3" hidden="1">Developer!$F$3177</definedName>
    <definedName name="I.Developer.P3C4" hidden="1">Developer!$F$3178</definedName>
    <definedName name="I.Developer.P3C5" hidden="1">Developer!$F$3179</definedName>
    <definedName name="I.Developer.P3C6" hidden="1">Developer!$F$3180</definedName>
    <definedName name="I.Developer.P3C7" hidden="1">Developer!$F$3181</definedName>
    <definedName name="I.Developer.P3C8" hidden="1">Developer!$F$3182</definedName>
    <definedName name="I.Developer.P3C9" hidden="1">Developer!$F$3183</definedName>
    <definedName name="I.Developer.P4C1" hidden="1">Developer!$F$3184</definedName>
    <definedName name="I.Developer.P4C2" hidden="1">Developer!$F$3185</definedName>
    <definedName name="I.Developer.P4C3" hidden="1">Developer!$F$3186</definedName>
    <definedName name="I.Developer.P4C4" hidden="1">Developer!$F$3187</definedName>
    <definedName name="I.Developer.P4C5" hidden="1">Developer!$F$3188</definedName>
    <definedName name="I.Developer.P4C6" hidden="1">Developer!$F$3189</definedName>
    <definedName name="I.Developer.P4C7" hidden="1">Developer!$F$3190</definedName>
    <definedName name="I.Developer.P4C8" hidden="1">Developer!$F$3191</definedName>
    <definedName name="I.Developer.P4C9" hidden="1">Developer!$F$3192</definedName>
    <definedName name="I.Developer.P5C1" hidden="1">Developer!$F$3193</definedName>
    <definedName name="I.Developer.P5C2" hidden="1">Developer!$F$3194</definedName>
    <definedName name="I.Developer.P5C3" hidden="1">Developer!$F$3195</definedName>
    <definedName name="I.Developer.P5C4" hidden="1">Developer!$F$3196</definedName>
    <definedName name="I.Developer.P5C5" hidden="1">Developer!$F$3197</definedName>
    <definedName name="I.Developer.P5C6" hidden="1">Developer!$F$3198</definedName>
    <definedName name="I.Developer.P5C7" hidden="1">Developer!$F$3199</definedName>
    <definedName name="I.Developer.P5C8" hidden="1">Developer!$F$3200</definedName>
    <definedName name="I.Developer.P5C9" hidden="1">Developer!$F$3201</definedName>
    <definedName name="I.Electricity.P1Y1C1" hidden="1">'Electricity Data'!$D$15:$D$17</definedName>
    <definedName name="I.Electricity.P1Y1C2" hidden="1">'Electricity Data'!$D$21:$D$44</definedName>
    <definedName name="I.Electricity.P1Y1C3" hidden="1">'Electricity Data'!$D$48:$D$68</definedName>
    <definedName name="I.Electricity.P1Y1C4" hidden="1">'Electricity Data'!$D$72:$D$74</definedName>
    <definedName name="I.Electricity.P1Y1C5" hidden="1">'Electricity Data'!$D$78:$D$80</definedName>
    <definedName name="I.Electricity.P1Y1C6" hidden="1">'Electricity Data'!$D$84:$D$86</definedName>
    <definedName name="I.Electricity.P1Y1C7" hidden="1">'Electricity Data'!$D$90:$D$92</definedName>
    <definedName name="I.Electricity.P1Y1C8" hidden="1">'Electricity Data'!$D$96:$D$98</definedName>
    <definedName name="I.Electricity.P1Y1C9" hidden="1">'Electricity Data'!$D$102:$D$104</definedName>
    <definedName name="I.Electricity.P1Y2C1" hidden="1">'Electricity Data'!$E$15:$E$17</definedName>
    <definedName name="I.Electricity.P1Y2C2" hidden="1">'Electricity Data'!$E$21:$E$44</definedName>
    <definedName name="I.Electricity.P1Y2C3" hidden="1">'Electricity Data'!$E$48:$E$68</definedName>
    <definedName name="I.Electricity.P1Y2C4" hidden="1">'Electricity Data'!$E$72:$E$74</definedName>
    <definedName name="I.Electricity.P1Y2C5" hidden="1">'Electricity Data'!$E$78:$E$80</definedName>
    <definedName name="I.Electricity.P1Y2C6" hidden="1">'Electricity Data'!$E$84:$E$86</definedName>
    <definedName name="I.Electricity.P1Y2C7" hidden="1">'Electricity Data'!$E$90:$E$92</definedName>
    <definedName name="I.Electricity.P1Y2C8" hidden="1">'Electricity Data'!$E$96:$E$98</definedName>
    <definedName name="I.Electricity.P1Y2C9" hidden="1">'Electricity Data'!$E$102:$E$104</definedName>
    <definedName name="I.Electricity.P1Y3C1" hidden="1">'Electricity Data'!$F$15:$F$17</definedName>
    <definedName name="I.Electricity.P1Y3C2" hidden="1">'Electricity Data'!$F$21:$F$44</definedName>
    <definedName name="I.Electricity.P1Y3C3" hidden="1">'Electricity Data'!$F$48:$F$68</definedName>
    <definedName name="I.Electricity.P1Y3C4" hidden="1">'Electricity Data'!$F$72:$F$74</definedName>
    <definedName name="I.Electricity.P1Y3C5" hidden="1">'Electricity Data'!$F$78:$F$80</definedName>
    <definedName name="I.Electricity.P1Y3C6" hidden="1">'Electricity Data'!$F$84:$F$86</definedName>
    <definedName name="I.Electricity.P1Y3C7" hidden="1">'Electricity Data'!$F$90:$F$92</definedName>
    <definedName name="I.Electricity.P1Y3C8" hidden="1">'Electricity Data'!$F$96:$F$98</definedName>
    <definedName name="I.Electricity.P1Y3C9" hidden="1">'Electricity Data'!$F$102:$F$104</definedName>
    <definedName name="I.Electricity.P2Y1C1" hidden="1">'Electricity Data'!$D$113:$D$115</definedName>
    <definedName name="I.Electricity.P2Y1C2" hidden="1">'Electricity Data'!$D$119:$D$142</definedName>
    <definedName name="I.Electricity.P2Y1C3" hidden="1">'Electricity Data'!$D$146:$D$166</definedName>
    <definedName name="I.Electricity.P2Y1C4" hidden="1">'Electricity Data'!$D$170:$D$172</definedName>
    <definedName name="I.Electricity.P2Y1C5" hidden="1">'Electricity Data'!$D$176:$D$178</definedName>
    <definedName name="I.Electricity.P2Y1C6" hidden="1">'Electricity Data'!$D$182:$D$184</definedName>
    <definedName name="I.Electricity.P2Y1C7" hidden="1">'Electricity Data'!$D$188:$D$190</definedName>
    <definedName name="I.Electricity.P2Y1C8" hidden="1">'Electricity Data'!$D$194:$D$196</definedName>
    <definedName name="I.Electricity.P2Y1C9" hidden="1">'Electricity Data'!$D$200:$D$202</definedName>
    <definedName name="I.Electricity.P2Y2C1" hidden="1">'Electricity Data'!$E$113:$E$115</definedName>
    <definedName name="I.Electricity.P2Y2C2" hidden="1">'Electricity Data'!$E$119:$E$142</definedName>
    <definedName name="I.Electricity.P2Y2C3" hidden="1">'Electricity Data'!$E$146:$E$166</definedName>
    <definedName name="I.Electricity.P2Y2C4" hidden="1">'Electricity Data'!$E$170:$E$172</definedName>
    <definedName name="I.Electricity.P2Y2C5" hidden="1">'Electricity Data'!$E$176:$E$178</definedName>
    <definedName name="I.Electricity.P2Y2C6" hidden="1">'Electricity Data'!$E$182:$E$184</definedName>
    <definedName name="I.Electricity.P2Y2C7" hidden="1">'Electricity Data'!$E$188:$E$190</definedName>
    <definedName name="I.Electricity.P2Y2C8" hidden="1">'Electricity Data'!$E$194:$E$196</definedName>
    <definedName name="I.Electricity.P2Y2C9" hidden="1">'Electricity Data'!$E$200:$E$202</definedName>
    <definedName name="I.Electricity.P2Y3C1" hidden="1">'Electricity Data'!$F$113:$F$115</definedName>
    <definedName name="I.Electricity.P2Y3C2" hidden="1">'Electricity Data'!$F$119:$F$142</definedName>
    <definedName name="I.Electricity.P2Y3C3" hidden="1">'Electricity Data'!$F$146:$F$166</definedName>
    <definedName name="I.Electricity.P2Y3C4" hidden="1">'Electricity Data'!$F$170:$F$172</definedName>
    <definedName name="I.Electricity.P2Y3C5" hidden="1">'Electricity Data'!$F$176:$F$178</definedName>
    <definedName name="I.Electricity.P2Y3C6" hidden="1">'Electricity Data'!$F$182:$F$184</definedName>
    <definedName name="I.Electricity.P2Y3C7" hidden="1">'Electricity Data'!$F$188:$F$190</definedName>
    <definedName name="I.Electricity.P2Y3C8" hidden="1">'Electricity Data'!$F$194:$F$196</definedName>
    <definedName name="I.Electricity.P2Y3C9" hidden="1">'Electricity Data'!$F$200:$F$202</definedName>
    <definedName name="I.Electricity.P3Y1C1" hidden="1">'Electricity Data'!$D$211:$D$213</definedName>
    <definedName name="I.Electricity.P3Y1C2" hidden="1">'Electricity Data'!$D$217:$D$240</definedName>
    <definedName name="I.Electricity.P3Y1C3" hidden="1">'Electricity Data'!$D$244:$D$264</definedName>
    <definedName name="I.Electricity.P3Y1C4" hidden="1">'Electricity Data'!$D$268:$D$270</definedName>
    <definedName name="I.Electricity.P3Y1C5" hidden="1">'Electricity Data'!$D$274:$D$276</definedName>
    <definedName name="I.Electricity.P3Y1C6" hidden="1">'Electricity Data'!$D$280:$D$282</definedName>
    <definedName name="I.Electricity.P3Y1C7" hidden="1">'Electricity Data'!$D$286:$D$288</definedName>
    <definedName name="I.Electricity.P3Y1C8" hidden="1">'Electricity Data'!$D$292:$D$294</definedName>
    <definedName name="I.Electricity.P3Y1C9" hidden="1">'Electricity Data'!$D$298:$D$300</definedName>
    <definedName name="I.Electricity.P3Y2C1" hidden="1">'Electricity Data'!$E$211:$E$213</definedName>
    <definedName name="I.Electricity.P3Y2C2" hidden="1">'Electricity Data'!$E$217:$E$240</definedName>
    <definedName name="I.Electricity.P3Y2C3" hidden="1">'Electricity Data'!$E$244:$E$264</definedName>
    <definedName name="I.Electricity.P3Y2C4" hidden="1">'Electricity Data'!$E$268:$E$270</definedName>
    <definedName name="I.Electricity.P3Y2C5" hidden="1">'Electricity Data'!$E$274:$E$276</definedName>
    <definedName name="I.Electricity.P3Y2C6" hidden="1">'Electricity Data'!$E$280:$E$282</definedName>
    <definedName name="I.Electricity.P3Y2C7" hidden="1">'Electricity Data'!$E$286:$E$288</definedName>
    <definedName name="I.Electricity.P3Y2C8" hidden="1">'Electricity Data'!$E$292:$E$294</definedName>
    <definedName name="I.Electricity.P3Y2C9" hidden="1">'Electricity Data'!$E$298:$E$300</definedName>
    <definedName name="I.Electricity.P3Y3C1" hidden="1">'Electricity Data'!$F$211:$F$213</definedName>
    <definedName name="I.Electricity.P3Y3C2" hidden="1">'Electricity Data'!$F$217:$F$240</definedName>
    <definedName name="I.Electricity.P3Y3C3" hidden="1">'Electricity Data'!$F$244:$F$264</definedName>
    <definedName name="I.Electricity.P3Y3C4" hidden="1">'Electricity Data'!$F$268:$F$270</definedName>
    <definedName name="I.Electricity.P3Y3C5" hidden="1">'Electricity Data'!$F$274:$F$276</definedName>
    <definedName name="I.Electricity.P3Y3C6" hidden="1">'Electricity Data'!$F$280:$F$282</definedName>
    <definedName name="I.Electricity.P3Y3C7" hidden="1">'Electricity Data'!$F$286:$F$288</definedName>
    <definedName name="I.Electricity.P3Y3C8" hidden="1">'Electricity Data'!$F$292:$F$294</definedName>
    <definedName name="I.Electricity.P3Y3C9" hidden="1">'Electricity Data'!$F$298:$F$300</definedName>
    <definedName name="I.Electricity.P4Y1C1" hidden="1">'Electricity Data'!$D$309:$D$311</definedName>
    <definedName name="I.Electricity.P4Y1C2" hidden="1">'Electricity Data'!$D$315:$D$338</definedName>
    <definedName name="I.Electricity.P4Y1C3" hidden="1">'Electricity Data'!$D$342:$D$362</definedName>
    <definedName name="I.Electricity.P4Y1C4" hidden="1">'Electricity Data'!$D$366:$D$368</definedName>
    <definedName name="I.Electricity.P4Y1C5" hidden="1">'Electricity Data'!$D$372:$D$374</definedName>
    <definedName name="I.Electricity.P4Y1C6" hidden="1">'Electricity Data'!$D$378:$D$380</definedName>
    <definedName name="I.Electricity.P4Y1C7" hidden="1">'Electricity Data'!$D$384:$D$386</definedName>
    <definedName name="I.Electricity.P4Y1C8" hidden="1">'Electricity Data'!$D$390:$D$392</definedName>
    <definedName name="I.Electricity.P4Y1C9" hidden="1">'Electricity Data'!$D$396:$D$398</definedName>
    <definedName name="I.Electricity.P4Y2C1" hidden="1">'Electricity Data'!$E$309:$E$311</definedName>
    <definedName name="I.Electricity.P4Y2C2" hidden="1">'Electricity Data'!$E$315:$E$338</definedName>
    <definedName name="I.Electricity.P4Y2C3" hidden="1">'Electricity Data'!$E$342:$E$362</definedName>
    <definedName name="I.Electricity.P4Y2C4" hidden="1">'Electricity Data'!$E$366:$E$368</definedName>
    <definedName name="I.Electricity.P4Y2C5" hidden="1">'Electricity Data'!$E$372:$E$374</definedName>
    <definedName name="I.Electricity.P4Y2C6" hidden="1">'Electricity Data'!$E$378:$E$380</definedName>
    <definedName name="I.Electricity.P4Y2C7" hidden="1">'Electricity Data'!$E$384:$E$386</definedName>
    <definedName name="I.Electricity.P4Y2C8" hidden="1">'Electricity Data'!$E$390:$E$392</definedName>
    <definedName name="I.Electricity.P4Y2C9" hidden="1">'Electricity Data'!$E$396:$E$398</definedName>
    <definedName name="I.Electricity.P4Y3C1" hidden="1">'Electricity Data'!$F$309:$F$311</definedName>
    <definedName name="I.Electricity.P4Y3C2" hidden="1">'Electricity Data'!$F$315:$F$338</definedName>
    <definedName name="I.Electricity.P4Y3C3" hidden="1">'Electricity Data'!$F$342:$F$362</definedName>
    <definedName name="I.Electricity.P4Y3C4" hidden="1">'Electricity Data'!$F$366:$F$368</definedName>
    <definedName name="I.Electricity.P4Y3C5" hidden="1">'Electricity Data'!$F$372:$F$374</definedName>
    <definedName name="I.Electricity.P4Y3C6" hidden="1">'Electricity Data'!$F$378:$F$380</definedName>
    <definedName name="I.Electricity.P4Y3C7" hidden="1">'Electricity Data'!$F$384:$F$386</definedName>
    <definedName name="I.Electricity.P4Y3C8" hidden="1">'Electricity Data'!$F$390:$F$392</definedName>
    <definedName name="I.Electricity.P4Y3C9" hidden="1">'Electricity Data'!$F$396:$F$398</definedName>
    <definedName name="I.Electricity.P5Y1C1" hidden="1">'Electricity Data'!$D$407:$D$409</definedName>
    <definedName name="I.Electricity.P5Y1C2" hidden="1">'Electricity Data'!$D$413:$D$436</definedName>
    <definedName name="I.Electricity.P5Y1C3" hidden="1">'Electricity Data'!$D$440:$D$460</definedName>
    <definedName name="I.Electricity.P5Y1C4" hidden="1">'Electricity Data'!$D$464:$D$466</definedName>
    <definedName name="I.Electricity.P5Y1C5" hidden="1">'Electricity Data'!$D$470:$D$472</definedName>
    <definedName name="I.Electricity.P5Y1C6" hidden="1">'Electricity Data'!$D$476:$D$478</definedName>
    <definedName name="I.Electricity.P5Y1C7" hidden="1">'Electricity Data'!$D$482:$D$484</definedName>
    <definedName name="I.Electricity.P5Y1C8" hidden="1">'Electricity Data'!$D$488:$D$490</definedName>
    <definedName name="I.Electricity.P5Y1C9" hidden="1">'Electricity Data'!$D$494:$D$496</definedName>
    <definedName name="I.Electricity.P5Y2C1" hidden="1">'Electricity Data'!$E$407:$E$409</definedName>
    <definedName name="I.Electricity.P5Y2C2" hidden="1">'Electricity Data'!$E$413:$E$436</definedName>
    <definedName name="I.Electricity.P5Y2C3" hidden="1">'Electricity Data'!$E$440:$E$460</definedName>
    <definedName name="I.Electricity.P5Y2C4" hidden="1">'Electricity Data'!$E$464:$E$466</definedName>
    <definedName name="I.Electricity.P5Y2C5" hidden="1">'Electricity Data'!$E$470:$E$472</definedName>
    <definedName name="I.Electricity.P5Y2C6" hidden="1">'Electricity Data'!$E$476:$E$478</definedName>
    <definedName name="I.Electricity.P5Y2C7" hidden="1">'Electricity Data'!$E$482:$E$484</definedName>
    <definedName name="I.Electricity.P5Y2C8" hidden="1">'Electricity Data'!$E$488:$E$490</definedName>
    <definedName name="I.Electricity.P5Y2C9" hidden="1">'Electricity Data'!$E$494:$E$496</definedName>
    <definedName name="I.Electricity.P5Y3C1" hidden="1">'Electricity Data'!$F$407:$F$409</definedName>
    <definedName name="I.Electricity.P5Y3C2" hidden="1">'Electricity Data'!$F$413:$F$436</definedName>
    <definedName name="I.Electricity.P5Y3C3" hidden="1">'Electricity Data'!$F$440:$F$460</definedName>
    <definedName name="I.Electricity.P5Y3C4" hidden="1">'Electricity Data'!$F$464:$F$466</definedName>
    <definedName name="I.Electricity.P5Y3C5" hidden="1">'Electricity Data'!$F$470:$F$472</definedName>
    <definedName name="I.Electricity.P5Y3C6" hidden="1">'Electricity Data'!$F$476:$F$478</definedName>
    <definedName name="I.Electricity.P5Y3C7" hidden="1">'Electricity Data'!$F$482:$F$484</definedName>
    <definedName name="I.Electricity.P5Y3C8" hidden="1">'Electricity Data'!$F$488:$F$490</definedName>
    <definedName name="I.Electricity.P5Y3C9" hidden="1">'Electricity Data'!$F$494:$F$496</definedName>
    <definedName name="I.Facility.FacilityCount" hidden="1">'Facility Information'!$C$19</definedName>
    <definedName name="I.Facility.FacilityName" hidden="1">'Facility Information'!$C$7</definedName>
    <definedName name="I.Facility.GasToPower" hidden="1">'Facility Information'!$C$13</definedName>
    <definedName name="I.Facility.IDNumber" hidden="1">'Facility Information'!$D$23:$D$522</definedName>
    <definedName name="I.Facility.OBPSNumber" hidden="1">'Facility Information'!$F$7</definedName>
    <definedName name="I.Facility.OilGas" hidden="1">'Facility Information'!$C$16</definedName>
    <definedName name="I.Facility.ProductCount" hidden="1">'Facility Information'!$C$10</definedName>
    <definedName name="I.Gas.Y1AssociatedGasEnergy" hidden="1">'Gas-to-Power Data'!$D$18:$D$67</definedName>
    <definedName name="I.Gas.Y1C1E1" hidden="1">'Gas-to-Power Data'!$G$18:$G$67</definedName>
    <definedName name="I.Gas.Y1C1E2" hidden="1">'Gas-to-Power Data'!$H$18:$H$67</definedName>
    <definedName name="I.Gas.Y1C1E3" hidden="1">'Gas-to-Power Data'!$I$18:$I$67</definedName>
    <definedName name="I.Gas.Y1Count" hidden="1">'Gas-to-Power Data'!$C$12</definedName>
    <definedName name="I.Gas.Y1ElectricityGeneration" hidden="1">'Gas-to-Power Data'!$F$18:$F$67</definedName>
    <definedName name="I.Gas.Y1TotalGasEnergy" hidden="1">'Gas-to-Power Data'!$E$18:$E$67</definedName>
    <definedName name="I.Gas.Y2AssociatedGasEnergy" hidden="1">'Gas-to-Power Data'!$D$79:$D$128</definedName>
    <definedName name="I.Gas.Y2C1E1" hidden="1">'Gas-to-Power Data'!$G$79:$G$128</definedName>
    <definedName name="I.Gas.Y2C1E2" hidden="1">'Gas-to-Power Data'!$H$79:$H$128</definedName>
    <definedName name="I.Gas.Y2C1E3" hidden="1">'Gas-to-Power Data'!$I$79:$I$128</definedName>
    <definedName name="I.Gas.Y2Count" hidden="1">'Gas-to-Power Data'!$C$73</definedName>
    <definedName name="I.Gas.Y2ElectricityGeneration" hidden="1">'Gas-to-Power Data'!$F$79:$F$128</definedName>
    <definedName name="I.Gas.Y2TotalGasEnergy" hidden="1">'Gas-to-Power Data'!$E$79:$E$128</definedName>
    <definedName name="I.Product.GasToPowerStatus" hidden="1">'Product Information'!$C$148</definedName>
    <definedName name="I.Product.GasToPowerYear1" hidden="1">'Product Information'!$C$151</definedName>
    <definedName name="I.Product.P1Electricity" hidden="1">'Product Information'!$C$31</definedName>
    <definedName name="I.Product.P1Name" hidden="1">'Product Information'!$C$8</definedName>
    <definedName name="I.Product.P1OtherSector" hidden="1">'Product Information'!$E$11</definedName>
    <definedName name="I.Product.P1Sector" hidden="1">'Product Information'!$C$11</definedName>
    <definedName name="I.Product.P1Status" hidden="1">'Product Information'!$C$25</definedName>
    <definedName name="I.Product.P1Year1" hidden="1">'Product Information'!$C$28</definedName>
    <definedName name="I.Product.P2Electricity" hidden="1">'Product Information'!$C$59</definedName>
    <definedName name="I.Product.P2Name" hidden="1">'Product Information'!$C$36</definedName>
    <definedName name="I.Product.P2OtherSector" hidden="1">'Product Information'!$E$39</definedName>
    <definedName name="I.Product.P2Sector" hidden="1">'Product Information'!$C$39</definedName>
    <definedName name="I.Product.P2Status" hidden="1">'Product Information'!$C$53</definedName>
    <definedName name="I.Product.P2Year1" hidden="1">'Product Information'!$C$56</definedName>
    <definedName name="I.Product.P3Electricity" hidden="1">'Product Information'!$C$87</definedName>
    <definedName name="I.Product.P3Name" hidden="1">'Product Information'!$C$64</definedName>
    <definedName name="I.Product.P3OtherSector" hidden="1">'Product Information'!$E$67</definedName>
    <definedName name="I.Product.P3Sector" hidden="1">'Product Information'!$C$67</definedName>
    <definedName name="I.Product.P3Status" hidden="1">'Product Information'!$C$81</definedName>
    <definedName name="I.Product.P3Year1" hidden="1">'Product Information'!$C$84</definedName>
    <definedName name="I.Product.P4Electricity" hidden="1">'Product Information'!$C$115</definedName>
    <definedName name="I.Product.P4Name" hidden="1">'Product Information'!$C$92</definedName>
    <definedName name="I.Product.P4OtherSector" hidden="1">'Product Information'!$E$95</definedName>
    <definedName name="I.Product.P4Sector" hidden="1">'Product Information'!$C$95</definedName>
    <definedName name="I.Product.P4Status" hidden="1">'Product Information'!$C$109</definedName>
    <definedName name="I.Product.P4Year1" hidden="1">'Product Information'!$C$112</definedName>
    <definedName name="I.Product.P5Electricity" hidden="1">'Product Information'!$C$143</definedName>
    <definedName name="I.Product.P5Name" hidden="1">'Product Information'!$C$120</definedName>
    <definedName name="I.Product.P5OtherSector" hidden="1">'Product Information'!$E$123</definedName>
    <definedName name="I.Product.P5Sector" hidden="1">'Product Information'!$C$123</definedName>
    <definedName name="I.Product.P5Status" hidden="1">'Product Information'!$C$137</definedName>
    <definedName name="I.Product.P5Year1" hidden="1">'Product Information'!$C$140</definedName>
    <definedName name="I.Production.P1Units" hidden="1">'Production Data'!$G$12</definedName>
    <definedName name="I.Production.P1Y1C1" hidden="1">'Production Data'!$D$16:$D$18</definedName>
    <definedName name="I.Production.P1Y1C2" hidden="1">'Production Data'!$D$22:$D$45</definedName>
    <definedName name="I.Production.P1Y1C3" hidden="1">'Production Data'!$D$49:$D$69</definedName>
    <definedName name="I.Production.P1Y1C4" hidden="1">'Production Data'!$D$73:$D$75</definedName>
    <definedName name="I.Production.P1Y1C5" hidden="1">'Production Data'!$D$79:$D$81</definedName>
    <definedName name="I.Production.P1Y1C6" hidden="1">'Production Data'!$D$85:$D$87</definedName>
    <definedName name="I.Production.P1Y1C7" hidden="1">'Production Data'!$D$91:$D$93</definedName>
    <definedName name="I.Production.P1Y1C8" hidden="1">'Production Data'!$D$97:$D$99</definedName>
    <definedName name="I.Production.P1Y1C9" hidden="1">'Production Data'!$D$103:$D$105</definedName>
    <definedName name="I.Production.P1Y1Quantity" hidden="1">'Production Data'!$D$12</definedName>
    <definedName name="I.Production.P1Y2C1" hidden="1">'Production Data'!$E$16:$E$18</definedName>
    <definedName name="I.Production.P1Y2C2" hidden="1">'Production Data'!$E$22:$E$45</definedName>
    <definedName name="I.Production.P1Y2C3" hidden="1">'Production Data'!$E$49:$E$69</definedName>
    <definedName name="I.Production.P1Y2C4" hidden="1">'Production Data'!$E$73:$E$75</definedName>
    <definedName name="I.Production.P1Y2C5" hidden="1">'Production Data'!$E$79:$E$81</definedName>
    <definedName name="I.Production.P1Y2C6" hidden="1">'Production Data'!$E$85:$E$87</definedName>
    <definedName name="I.Production.P1Y2C7" hidden="1">'Production Data'!$E$91:$E$93</definedName>
    <definedName name="I.Production.P1Y2C8" hidden="1">'Production Data'!$E$97:$E$99</definedName>
    <definedName name="I.Production.P1Y2C9" hidden="1">'Production Data'!$E$103:$E$105</definedName>
    <definedName name="I.Production.P1Y2Quantity" hidden="1">'Production Data'!$E$12</definedName>
    <definedName name="I.Production.P1Y3C1" hidden="1">'Production Data'!$F$16:$F$18</definedName>
    <definedName name="I.Production.P1Y3C2" hidden="1">'Production Data'!$F$22:$F$45</definedName>
    <definedName name="I.Production.P1Y3C3" hidden="1">'Production Data'!$F$49:$F$69</definedName>
    <definedName name="I.Production.P1Y3C4" hidden="1">'Production Data'!$F$73:$F$75</definedName>
    <definedName name="I.Production.P1Y3C5" hidden="1">'Production Data'!$F$79:$F$81</definedName>
    <definedName name="I.Production.P1Y3C6" hidden="1">'Production Data'!$F$85:$F$87</definedName>
    <definedName name="I.Production.P1Y3C7" hidden="1">'Production Data'!$F$91:$F$93</definedName>
    <definedName name="I.Production.P1Y3C8" hidden="1">'Production Data'!$F$97:$F$99</definedName>
    <definedName name="I.Production.P1Y3C9" hidden="1">'Production Data'!$F$103:$F$105</definedName>
    <definedName name="I.Production.P1Y3Quantity" hidden="1">'Production Data'!$F$12</definedName>
    <definedName name="I.Production.P2Units" hidden="1">'Production Data'!$G$114</definedName>
    <definedName name="I.Production.P2Y1C1" hidden="1">'Production Data'!$D$118:$D$120</definedName>
    <definedName name="I.Production.P2Y1C2" hidden="1">'Production Data'!$D$124:$D$147</definedName>
    <definedName name="I.Production.P2Y1C3" hidden="1">'Production Data'!$D$151:$D$171</definedName>
    <definedName name="I.Production.P2Y1C4" hidden="1">'Production Data'!$D$175:$D$177</definedName>
    <definedName name="I.Production.P2Y1C5" hidden="1">'Production Data'!$D$181:$D$183</definedName>
    <definedName name="I.Production.P2Y1C6" hidden="1">'Production Data'!$D$187:$D$189</definedName>
    <definedName name="I.Production.P2Y1C7" hidden="1">'Production Data'!$D$193:$D$195</definedName>
    <definedName name="I.Production.P2Y1C8" hidden="1">'Production Data'!$D$199:$D$201</definedName>
    <definedName name="I.Production.P2Y1C9" hidden="1">'Production Data'!$D$205:$D$207</definedName>
    <definedName name="I.Production.P2Y1Quantity" hidden="1">'Production Data'!$D$114</definedName>
    <definedName name="I.Production.P2Y2C1" hidden="1">'Production Data'!$E$118:$E$120</definedName>
    <definedName name="I.Production.P2Y2C2" hidden="1">'Production Data'!$E$124:$E$147</definedName>
    <definedName name="I.Production.P2Y2C3" hidden="1">'Production Data'!$E$151:$E$171</definedName>
    <definedName name="I.Production.P2Y2C4" hidden="1">'Production Data'!$E$175:$E$177</definedName>
    <definedName name="I.Production.P2Y2C5" hidden="1">'Production Data'!$E$181:$E$183</definedName>
    <definedName name="I.Production.P2Y2C6" hidden="1">'Production Data'!$E$187:$E$189</definedName>
    <definedName name="I.Production.P2Y2C7" hidden="1">'Production Data'!$E$193:$E$195</definedName>
    <definedName name="I.Production.P2Y2C8" hidden="1">'Production Data'!$E$199:$E$201</definedName>
    <definedName name="I.Production.P2Y2C9" hidden="1">'Production Data'!$E$205:$E$207</definedName>
    <definedName name="I.Production.P2Y2Quantity" hidden="1">'Production Data'!$E$114</definedName>
    <definedName name="I.Production.P2Y3C1" hidden="1">'Production Data'!$F$118:$F$120</definedName>
    <definedName name="I.Production.P2Y3C2" hidden="1">'Production Data'!$F$124:$F$147</definedName>
    <definedName name="I.Production.P2Y3C3" hidden="1">'Production Data'!$F$151:$F$171</definedName>
    <definedName name="I.Production.P2Y3C4" hidden="1">'Production Data'!$F$175:$F$177</definedName>
    <definedName name="I.Production.P2Y3C5" hidden="1">'Production Data'!$F$181:$F$183</definedName>
    <definedName name="I.Production.P2Y3C6" hidden="1">'Production Data'!$F$187:$F$189</definedName>
    <definedName name="I.Production.P2Y3C7" hidden="1">'Production Data'!$F$193:$F$195</definedName>
    <definedName name="I.Production.P2Y3C8" hidden="1">'Production Data'!$F$199:$F$201</definedName>
    <definedName name="I.Production.P2Y3C9" hidden="1">'Production Data'!$F$205:$F$207</definedName>
    <definedName name="I.Production.P2Y3Quantity" hidden="1">'Production Data'!$F$114</definedName>
    <definedName name="I.Production.P3Units" hidden="1">'Production Data'!$G$216</definedName>
    <definedName name="I.Production.P3Y1C1" hidden="1">'Production Data'!$D$220:$D$222</definedName>
    <definedName name="I.Production.P3Y1C2" hidden="1">'Production Data'!$D$226:$D$249</definedName>
    <definedName name="I.Production.P3Y1C3" hidden="1">'Production Data'!$D$253:$D$273</definedName>
    <definedName name="I.Production.P3Y1C4" hidden="1">'Production Data'!$D$277:$D$279</definedName>
    <definedName name="I.Production.P3Y1C5" hidden="1">'Production Data'!$D$283:$D$285</definedName>
    <definedName name="I.Production.P3Y1C6" hidden="1">'Production Data'!$D$289:$D$291</definedName>
    <definedName name="I.Production.P3Y1C7" hidden="1">'Production Data'!$D$295:$D$297</definedName>
    <definedName name="I.Production.P3Y1C8" hidden="1">'Production Data'!$D$301:$D$303</definedName>
    <definedName name="I.Production.P3Y1C9" hidden="1">'Production Data'!$D$307:$D$309</definedName>
    <definedName name="I.Production.P3Y1Quantity" hidden="1">'Production Data'!$D$216</definedName>
    <definedName name="I.Production.P3Y2C1" hidden="1">'Production Data'!$E$220:$E$222</definedName>
    <definedName name="I.Production.P3Y2C2" hidden="1">'Production Data'!$E$226:$E$249</definedName>
    <definedName name="I.Production.P3Y2C3" hidden="1">'Production Data'!$E$253:$E$273</definedName>
    <definedName name="I.Production.P3Y2C4" hidden="1">'Production Data'!$E$277:$E$279</definedName>
    <definedName name="I.Production.P3Y2C5" hidden="1">'Production Data'!$E$283:$E$285</definedName>
    <definedName name="I.Production.P3Y2C6" hidden="1">'Production Data'!$E$289:$E$291</definedName>
    <definedName name="I.Production.P3Y2C7" hidden="1">'Production Data'!$E$295:$E$297</definedName>
    <definedName name="I.Production.P3Y2C8" hidden="1">'Production Data'!$E$301:$E$303</definedName>
    <definedName name="I.Production.P3Y2C9" hidden="1">'Production Data'!$E$307:$E$309</definedName>
    <definedName name="I.Production.P3Y2Quantity" hidden="1">'Production Data'!$E$216</definedName>
    <definedName name="I.Production.P3Y3C1" hidden="1">'Production Data'!$F$220:$F$222</definedName>
    <definedName name="I.Production.P3Y3C2" hidden="1">'Production Data'!$F$226:$F$249</definedName>
    <definedName name="I.Production.P3Y3C3" hidden="1">'Production Data'!$F$253:$F$273</definedName>
    <definedName name="I.Production.P3Y3C4" hidden="1">'Production Data'!$F$277:$F$279</definedName>
    <definedName name="I.Production.P3Y3C5" hidden="1">'Production Data'!$F$283:$F$285</definedName>
    <definedName name="I.Production.P3Y3C6" hidden="1">'Production Data'!$F$289:$F$291</definedName>
    <definedName name="I.Production.P3Y3C7" hidden="1">'Production Data'!$F$295:$F$297</definedName>
    <definedName name="I.Production.P3Y3C8" hidden="1">'Production Data'!$F$301:$F$303</definedName>
    <definedName name="I.Production.P3Y3C9" hidden="1">'Production Data'!$F$307:$F$309</definedName>
    <definedName name="I.Production.P3Y3Quantity" hidden="1">'Production Data'!$F$216</definedName>
    <definedName name="I.Production.P4Units" hidden="1">'Production Data'!$G$318</definedName>
    <definedName name="I.Production.P4Y1C1" hidden="1">'Production Data'!$D$322:$D$324</definedName>
    <definedName name="I.Production.P4Y1C2" hidden="1">'Production Data'!$D$328:$D$351</definedName>
    <definedName name="I.Production.P4Y1C3" hidden="1">'Production Data'!$D$355:$D$375</definedName>
    <definedName name="I.Production.P4Y1C4" hidden="1">'Production Data'!$D$379:$D$381</definedName>
    <definedName name="I.Production.P4Y1C5" hidden="1">'Production Data'!$D$385:$D$387</definedName>
    <definedName name="I.Production.P4Y1C6" hidden="1">'Production Data'!$D$391:$D$393</definedName>
    <definedName name="I.Production.P4Y1C7" hidden="1">'Production Data'!$D$397:$D$399</definedName>
    <definedName name="I.Production.P4Y1C8" hidden="1">'Production Data'!$D$403:$D$405</definedName>
    <definedName name="I.Production.P4Y1C9" hidden="1">'Production Data'!$D$409:$D$411</definedName>
    <definedName name="I.Production.P4Y1Quantity" hidden="1">'Production Data'!$D$318</definedName>
    <definedName name="I.Production.P4Y2C1" hidden="1">'Production Data'!$E$322:$E$324</definedName>
    <definedName name="I.Production.P4Y2C2" hidden="1">'Production Data'!$E$328:$E$351</definedName>
    <definedName name="I.Production.P4Y2C3" hidden="1">'Production Data'!$E$355:$E$375</definedName>
    <definedName name="I.Production.P4Y2C4" hidden="1">'Production Data'!$E$379:$E$381</definedName>
    <definedName name="I.Production.P4Y2C5" hidden="1">'Production Data'!$E$385:$E$387</definedName>
    <definedName name="I.Production.P4Y2C6" hidden="1">'Production Data'!$E$391:$E$393</definedName>
    <definedName name="I.Production.P4Y2C7" hidden="1">'Production Data'!$E$397:$E$399</definedName>
    <definedName name="I.Production.P4Y2C8" hidden="1">'Production Data'!$E$403:$E$405</definedName>
    <definedName name="I.Production.P4Y2C9" hidden="1">'Production Data'!$E$409:$E$411</definedName>
    <definedName name="I.Production.P4Y2Quantity" hidden="1">'Production Data'!$E$318</definedName>
    <definedName name="I.Production.P4Y3C1" hidden="1">'Production Data'!$F$322:$F$324</definedName>
    <definedName name="I.Production.P4Y3C2" hidden="1">'Production Data'!$F$328:$F$351</definedName>
    <definedName name="I.Production.P4Y3C3" hidden="1">'Production Data'!$F$355:$F$375</definedName>
    <definedName name="I.Production.P4Y3C4" hidden="1">'Production Data'!$F$379:$F$381</definedName>
    <definedName name="I.Production.P4Y3C5" hidden="1">'Production Data'!$F$385:$F$387</definedName>
    <definedName name="I.Production.P4Y3C6" hidden="1">'Production Data'!$F$391:$F$393</definedName>
    <definedName name="I.Production.P4Y3C7" hidden="1">'Production Data'!$F$397:$F$399</definedName>
    <definedName name="I.Production.P4Y3C8" hidden="1">'Production Data'!$F$403:$F$405</definedName>
    <definedName name="I.Production.P4Y3C9" hidden="1">'Production Data'!$F$409:$F$411</definedName>
    <definedName name="I.Production.P4Y3Quantity" hidden="1">'Production Data'!$F$318</definedName>
    <definedName name="I.Production.P5Units" hidden="1">'Production Data'!$G$420</definedName>
    <definedName name="I.Production.P5Y1C1" hidden="1">'Production Data'!$D$424:$D$426</definedName>
    <definedName name="I.Production.P5Y1C2" hidden="1">'Production Data'!$D$430:$D$453</definedName>
    <definedName name="I.Production.P5Y1C3" hidden="1">'Production Data'!$D$457:$D$477</definedName>
    <definedName name="I.Production.P5Y1C4" hidden="1">'Production Data'!$D$481:$D$483</definedName>
    <definedName name="I.Production.P5Y1C5" hidden="1">'Production Data'!$D$487:$D$489</definedName>
    <definedName name="I.Production.P5Y1C6" hidden="1">'Production Data'!$D$493:$D$495</definedName>
    <definedName name="I.Production.P5Y1C7" hidden="1">'Production Data'!$D$499:$D$501</definedName>
    <definedName name="I.Production.P5Y1C8" hidden="1">'Production Data'!$D$505:$D$507</definedName>
    <definedName name="I.Production.P5Y1C9" hidden="1">'Production Data'!$D$511:$D$513</definedName>
    <definedName name="I.Production.P5Y1Quantity" hidden="1">'Production Data'!$D$420</definedName>
    <definedName name="I.Production.P5Y2C1" hidden="1">'Production Data'!$E$424:$E$426</definedName>
    <definedName name="I.Production.P5Y2C2" hidden="1">'Production Data'!$E$430:$E$453</definedName>
    <definedName name="I.Production.P5Y2C3" hidden="1">'Production Data'!$E$457:$E$477</definedName>
    <definedName name="I.Production.P5Y2C4" hidden="1">'Production Data'!$E$481:$E$483</definedName>
    <definedName name="I.Production.P5Y2C5" hidden="1">'Production Data'!$E$487:$E$489</definedName>
    <definedName name="I.Production.P5Y2C6" hidden="1">'Production Data'!$E$493:$E$495</definedName>
    <definedName name="I.Production.P5Y2C7" hidden="1">'Production Data'!$E$499:$E$501</definedName>
    <definedName name="I.Production.P5Y2C8" hidden="1">'Production Data'!$E$505:$E$507</definedName>
    <definedName name="I.Production.P5Y2C9" hidden="1">'Production Data'!$E$511:$E$513</definedName>
    <definedName name="I.Production.P5Y2Quantity" hidden="1">'Production Data'!$E$420</definedName>
    <definedName name="I.Production.P5Y3C1" hidden="1">'Production Data'!$F$424:$F$426</definedName>
    <definedName name="I.Production.P5Y3C2" hidden="1">'Production Data'!$F$430:$F$453</definedName>
    <definedName name="I.Production.P5Y3C3" hidden="1">'Production Data'!$F$457:$F$477</definedName>
    <definedName name="I.Production.P5Y3C4" hidden="1">'Production Data'!$F$481:$F$483</definedName>
    <definedName name="I.Production.P5Y3C5" hidden="1">'Production Data'!$F$487:$F$489</definedName>
    <definedName name="I.Production.P5Y3C6" hidden="1">'Production Data'!$F$493:$F$495</definedName>
    <definedName name="I.Production.P5Y3C7" hidden="1">'Production Data'!$F$499:$F$501</definedName>
    <definedName name="I.Production.P5Y3C8" hidden="1">'Production Data'!$F$505:$F$507</definedName>
    <definedName name="I.Production.P5Y3C9" hidden="1">'Production Data'!$F$511:$F$513</definedName>
    <definedName name="I.Production.P5Y3Quantity" hidden="1">'Production Data'!$F$420</definedName>
    <definedName name="R.Appendix.PrintArea" hidden="1">Appendix!$B$1:$F$25</definedName>
    <definedName name="R.Declaration.PrintArea" hidden="1">Declaration!$B$1:$G$35</definedName>
    <definedName name="R.Declaration.Timestamp" hidden="1">Declaration!$C$29</definedName>
    <definedName name="R.Electricity.PrintArea" hidden="1">'Electricity Data'!$B$1:$H$504</definedName>
    <definedName name="R.Electricity.Timestamp" hidden="1">'Electricity Data'!$C$498</definedName>
    <definedName name="R.Facility.PrintArea" hidden="1">'Facility Information'!$B$1:$G$530</definedName>
    <definedName name="R.Facility.Timestamp" hidden="1">'Facility Information'!$C$524</definedName>
    <definedName name="R.Gas.PrintArea" hidden="1">'Gas-to-Power Data'!$B$1:$J$136</definedName>
    <definedName name="R.Gas.Timestamp" hidden="1">'Gas-to-Power Data'!$C$130</definedName>
    <definedName name="R.Instructions.PrintArea" hidden="1">Instructions!$B$1:$F$66</definedName>
    <definedName name="R.Instructions.VersionDate" hidden="1">Instructions!$E$66</definedName>
    <definedName name="R.Instructions.VersionNumber" hidden="1">Instructions!$C$66</definedName>
    <definedName name="R.Product.Dropdown" hidden="1">Developer!$P$27:$P$41</definedName>
    <definedName name="R.Product.PrintArea" hidden="1">'Product Information'!$B$1:$F$159</definedName>
    <definedName name="R.Product.Timestamp" hidden="1">'Product Information'!$C$153</definedName>
    <definedName name="R.Production.PrintArea" hidden="1">'Production Data'!$B$1:$H$521</definedName>
    <definedName name="R.Production.Timestamp" hidden="1">'Production Data'!$C$515</definedName>
    <definedName name="R.Summary.P1Units" hidden="1">Summary!$E$54</definedName>
    <definedName name="R.Summary.P2Units" hidden="1">Summary!$E$89</definedName>
    <definedName name="R.Summary.P3Units" hidden="1">Summary!$E$124</definedName>
    <definedName name="R.Summary.P4Units" hidden="1">Summary!$E$159</definedName>
    <definedName name="R.Summary.P5Units" hidden="1">Summary!$E$194</definedName>
    <definedName name="R.Summary.PrintArea" hidden="1">Summary!$B$1:$F$218</definedName>
    <definedName name="S.Developer.Inputs" hidden="1">Developer!$B$4:$I$3201</definedName>
    <definedName name="S.Developer.LastEntry" hidden="1">Developer!$E$4:$E$3201</definedName>
    <definedName name="S.Developer.Ranges" hidden="1">Developer!$N$4:$Q$41</definedName>
    <definedName name="S.Developer.Sections" hidden="1">Developer!$K$4:$L$123</definedName>
    <definedName name="S.Electricity.P1" hidden="1">'Electricity Data'!$B$8:$H$105</definedName>
    <definedName name="S.Electricity.P1C1" hidden="1">'Electricity Data'!$B$13:$H$18</definedName>
    <definedName name="S.Electricity.P1C2" hidden="1">'Electricity Data'!$B$19:$H$45</definedName>
    <definedName name="S.Electricity.P1C3" hidden="1">'Electricity Data'!$B$46:$H$69</definedName>
    <definedName name="S.Electricity.P1C4" hidden="1">'Electricity Data'!$B$70:$H$75</definedName>
    <definedName name="S.Electricity.P1C5" hidden="1">'Electricity Data'!$B$76:$H$81</definedName>
    <definedName name="S.Electricity.P1C6" hidden="1">'Electricity Data'!$B$82:$H$87</definedName>
    <definedName name="S.Electricity.P1C7" hidden="1">'Electricity Data'!$B$88:$H$93</definedName>
    <definedName name="S.Electricity.P1C8" hidden="1">'Electricity Data'!$B$94:$H$99</definedName>
    <definedName name="S.Electricity.P1C9" hidden="1">'Electricity Data'!$B$100:$H$105</definedName>
    <definedName name="S.Electricity.P2" hidden="1">'Electricity Data'!$B$106:$H$203</definedName>
    <definedName name="S.Electricity.P2C1" hidden="1">'Electricity Data'!$B$111:$H$116</definedName>
    <definedName name="S.Electricity.P2C2" hidden="1">'Electricity Data'!$B$117:$H$143</definedName>
    <definedName name="S.Electricity.P2C3" hidden="1">'Electricity Data'!$B$144:$H$167</definedName>
    <definedName name="S.Electricity.P2C4" hidden="1">'Electricity Data'!$B$168:$H$173</definedName>
    <definedName name="S.Electricity.P2C5" hidden="1">'Electricity Data'!$B$174:$H$179</definedName>
    <definedName name="S.Electricity.P2C6" hidden="1">'Electricity Data'!$B$180:$H$185</definedName>
    <definedName name="S.Electricity.P2C7" hidden="1">'Electricity Data'!$B$186:$H$191</definedName>
    <definedName name="S.Electricity.P2C8" hidden="1">'Electricity Data'!$B$192:$H$197</definedName>
    <definedName name="S.Electricity.P2C9" hidden="1">'Electricity Data'!$B$198:$H$203</definedName>
    <definedName name="S.Electricity.P3" hidden="1">'Electricity Data'!$B$204:$H$301</definedName>
    <definedName name="S.Electricity.P3C1" hidden="1">'Electricity Data'!$B$209:$H$214</definedName>
    <definedName name="S.Electricity.P3C2" hidden="1">'Electricity Data'!$B$215:$H$241</definedName>
    <definedName name="S.Electricity.P3C3" hidden="1">'Electricity Data'!$B$242:$H$265</definedName>
    <definedName name="S.Electricity.P3C4" hidden="1">'Electricity Data'!$B$266:$H$271</definedName>
    <definedName name="S.Electricity.P3C5" hidden="1">'Electricity Data'!$B$272:$H$277</definedName>
    <definedName name="S.Electricity.P3C6" hidden="1">'Electricity Data'!$B$278:$H$283</definedName>
    <definedName name="S.Electricity.P3C7" hidden="1">'Electricity Data'!$B$284:$H$289</definedName>
    <definedName name="S.Electricity.P3C8" hidden="1">'Electricity Data'!$B$290:$H$295</definedName>
    <definedName name="S.Electricity.P3C9" hidden="1">'Electricity Data'!$B$296:$H$301</definedName>
    <definedName name="S.Electricity.P4" hidden="1">'Electricity Data'!$B$302:$H$399</definedName>
    <definedName name="S.Electricity.P4C1" hidden="1">'Electricity Data'!$B$307:$H$312</definedName>
    <definedName name="S.Electricity.P4C2" hidden="1">'Electricity Data'!$B$313:$H$339</definedName>
    <definedName name="S.Electricity.P4C3" hidden="1">'Electricity Data'!$B$340:$H$363</definedName>
    <definedName name="S.Electricity.P4C4" hidden="1">'Electricity Data'!$B$364:$H$369</definedName>
    <definedName name="S.Electricity.P4C5" hidden="1">'Electricity Data'!$B$370:$H$375</definedName>
    <definedName name="S.Electricity.P4C6" hidden="1">'Electricity Data'!$B$376:$H$381</definedName>
    <definedName name="S.Electricity.P4C7" hidden="1">'Electricity Data'!$B$382:$H$387</definedName>
    <definedName name="S.Electricity.P4C8" hidden="1">'Electricity Data'!$B$388:$H$393</definedName>
    <definedName name="S.Electricity.P4C9" hidden="1">'Electricity Data'!$B$394:$H$399</definedName>
    <definedName name="S.Electricity.P5" hidden="1">'Electricity Data'!$B$400:$H$497</definedName>
    <definedName name="S.Electricity.P5C1" hidden="1">'Electricity Data'!$B$405:$H$410</definedName>
    <definedName name="S.Electricity.P5C2" hidden="1">'Electricity Data'!$B$411:$H$437</definedName>
    <definedName name="S.Electricity.P5C3" hidden="1">'Electricity Data'!$B$438:$H$461</definedName>
    <definedName name="S.Electricity.P5C4" hidden="1">'Electricity Data'!$B$462:$H$467</definedName>
    <definedName name="S.Electricity.P5C5" hidden="1">'Electricity Data'!$B$468:$H$473</definedName>
    <definedName name="S.Electricity.P5C6" hidden="1">'Electricity Data'!$B$474:$H$479</definedName>
    <definedName name="S.Electricity.P5C7" hidden="1">'Electricity Data'!$B$480:$H$485</definedName>
    <definedName name="S.Electricity.P5C8" hidden="1">'Electricity Data'!$B$486:$H$491</definedName>
    <definedName name="S.Electricity.P5C9" hidden="1">'Electricity Data'!$B$492:$H$497</definedName>
    <definedName name="S.Facility.OilGas" hidden="1">'Facility Information'!$B$17:$G$522</definedName>
    <definedName name="S.Gas.P" hidden="1">'Gas-to-Power Data'!$B$8:$J$129</definedName>
    <definedName name="S.Gas.Table1" hidden="1">'Gas-to-Power Data'!$D$18:$I$67</definedName>
    <definedName name="S.Gas.Table2" hidden="1">'Gas-to-Power Data'!$D$79:$I$128</definedName>
    <definedName name="S.Product.GasToPower" hidden="1">'Product Information'!$B$145:$F$152</definedName>
    <definedName name="S.Product.P1" hidden="1">'Product Information'!$B$5:$F$32</definedName>
    <definedName name="S.Product.P2" hidden="1">'Product Information'!$B$33:$F$60</definedName>
    <definedName name="S.Product.P3" hidden="1">'Product Information'!$B$61:$F$88</definedName>
    <definedName name="S.Product.P4" hidden="1">'Product Information'!$B$89:$F$116</definedName>
    <definedName name="S.Product.P5" hidden="1">'Product Information'!$B$117:$F$144</definedName>
    <definedName name="S.Production.P1" hidden="1">'Production Data'!$B$5:$H$106</definedName>
    <definedName name="S.Production.P1C1" hidden="1">'Production Data'!$B$14:$H$19</definedName>
    <definedName name="S.Production.P1C2" hidden="1">'Production Data'!$B$20:$H$46</definedName>
    <definedName name="S.Production.P1C3" hidden="1">'Production Data'!$B$47:$H$70</definedName>
    <definedName name="S.Production.P1C4" hidden="1">'Production Data'!$B$71:$H$76</definedName>
    <definedName name="S.Production.P1C5" hidden="1">'Production Data'!$B$77:$H$82</definedName>
    <definedName name="S.Production.P1C6" hidden="1">'Production Data'!$B$83:$H$88</definedName>
    <definedName name="S.Production.P1C7" hidden="1">'Production Data'!$B$89:$H$94</definedName>
    <definedName name="S.Production.P1C8" hidden="1">'Production Data'!$B$95:$H$100</definedName>
    <definedName name="S.Production.P1C9" hidden="1">'Production Data'!$B$101:$H$106</definedName>
    <definedName name="S.Production.P2" hidden="1">'Production Data'!$B$107:$H$208</definedName>
    <definedName name="S.Production.P2C1" hidden="1">'Production Data'!$B$116:$H$121</definedName>
    <definedName name="S.Production.P2C2" hidden="1">'Production Data'!$B$122:$H$148</definedName>
    <definedName name="S.Production.P2C3" hidden="1">'Production Data'!$B$149:$H$172</definedName>
    <definedName name="S.Production.P2C4" hidden="1">'Production Data'!$B$173:$H$178</definedName>
    <definedName name="S.Production.P2C5" hidden="1">'Production Data'!$B$179:$H$184</definedName>
    <definedName name="S.Production.P2C6" hidden="1">'Production Data'!$B$185:$H$190</definedName>
    <definedName name="S.Production.P2C7" hidden="1">'Production Data'!$B$191:$H$196</definedName>
    <definedName name="S.Production.P2C8" hidden="1">'Production Data'!$B$197:$H$202</definedName>
    <definedName name="S.Production.P2C9" hidden="1">'Production Data'!$B$203:$H$208</definedName>
    <definedName name="S.Production.P3" hidden="1">'Production Data'!$B$209:$H$310</definedName>
    <definedName name="S.Production.P3C1" hidden="1">'Production Data'!$B$218:$H$223</definedName>
    <definedName name="S.Production.P3C2" hidden="1">'Production Data'!$B$224:$H$250</definedName>
    <definedName name="S.Production.P3C3" hidden="1">'Production Data'!$B$251:$H$274</definedName>
    <definedName name="S.Production.P3C4" hidden="1">'Production Data'!$B$275:$H$280</definedName>
    <definedName name="S.Production.P3C5" hidden="1">'Production Data'!$B$281:$H$286</definedName>
    <definedName name="S.Production.P3C6" hidden="1">'Production Data'!$B$287:$H$292</definedName>
    <definedName name="S.Production.P3C7" hidden="1">'Production Data'!$B$293:$H$298</definedName>
    <definedName name="S.Production.P3C8" hidden="1">'Production Data'!$B$299:$H$304</definedName>
    <definedName name="S.Production.P3C9" hidden="1">'Production Data'!$B$305:$H$310</definedName>
    <definedName name="S.Production.P4" hidden="1">'Production Data'!$B$311:$H$412</definedName>
    <definedName name="S.Production.P4C1" hidden="1">'Production Data'!$B$320:$H$325</definedName>
    <definedName name="S.Production.P4C2" hidden="1">'Production Data'!$B$326:$H$352</definedName>
    <definedName name="S.Production.P4C3" hidden="1">'Production Data'!$B$353:$H$376</definedName>
    <definedName name="S.Production.P4C4" hidden="1">'Production Data'!$B$377:$H$382</definedName>
    <definedName name="S.Production.P4C5" hidden="1">'Production Data'!$B$383:$H$388</definedName>
    <definedName name="S.Production.P4C6" hidden="1">'Production Data'!$B$389:$H$394</definedName>
    <definedName name="S.Production.P4C7" hidden="1">'Production Data'!$B$395:$H$400</definedName>
    <definedName name="S.Production.P4C8" hidden="1">'Production Data'!$B$401:$H$406</definedName>
    <definedName name="S.Production.P4C9" hidden="1">'Production Data'!$B$407:$H$412</definedName>
    <definedName name="S.Production.P5" hidden="1">'Production Data'!$B$413:$H$514</definedName>
    <definedName name="S.Production.P5C1" hidden="1">'Production Data'!$B$422:$H$427</definedName>
    <definedName name="S.Production.P5C2" hidden="1">'Production Data'!$B$428:$H$454</definedName>
    <definedName name="S.Production.P5C3" hidden="1">'Production Data'!$B$455:$H$478</definedName>
    <definedName name="S.Production.P5C4" hidden="1">'Production Data'!$B$479:$H$484</definedName>
    <definedName name="S.Production.P5C5" hidden="1">'Production Data'!$B$485:$H$490</definedName>
    <definedName name="S.Production.P5C6" hidden="1">'Production Data'!$B$491:$H$496</definedName>
    <definedName name="S.Production.P5C7" hidden="1">'Production Data'!$B$497:$H$502</definedName>
    <definedName name="S.Production.P5C8" hidden="1">'Production Data'!$B$503:$H$508</definedName>
    <definedName name="S.Production.P5C9" hidden="1">'Production Data'!$B$509:$H$514</definedName>
    <definedName name="S.Summary.GasToPower" hidden="1">Summary!$B$196:$F$217</definedName>
    <definedName name="S.Summary.P1" hidden="1">Summary!$B$21:$F$55</definedName>
    <definedName name="S.Summary.P2" hidden="1">Summary!$B$56:$F$90</definedName>
    <definedName name="S.Summary.P3" hidden="1">Summary!$B$91:$F$125</definedName>
    <definedName name="S.Summary.P4" hidden="1">Summary!$B$126:$F$160</definedName>
    <definedName name="S.Summary.P5" hidden="1">Summary!$B$161:$F$195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08" i="5" l="1"/>
  <c r="D209" i="5" s="1"/>
  <c r="D210" i="5" s="1"/>
  <c r="D207" i="5" a="1"/>
  <c r="D207" i="5" s="1"/>
  <c r="D201" i="5"/>
  <c r="D202" i="5" s="1"/>
  <c r="D203" i="5" s="1"/>
  <c r="D200" i="5" a="1"/>
  <c r="D200" i="5" s="1"/>
  <c r="E193" i="5"/>
  <c r="D193" i="5"/>
  <c r="D192" i="5"/>
  <c r="D194" i="5" s="1"/>
  <c r="E184" i="5"/>
  <c r="D186" i="5"/>
  <c r="D185" i="5"/>
  <c r="D184" i="5"/>
  <c r="E176" i="5"/>
  <c r="D178" i="5"/>
  <c r="D179" i="5" s="1"/>
  <c r="D180" i="5" s="1"/>
  <c r="D177" i="5"/>
  <c r="D176" i="5"/>
  <c r="E168" i="5"/>
  <c r="D170" i="5"/>
  <c r="D169" i="5"/>
  <c r="D168" i="5"/>
  <c r="E158" i="5"/>
  <c r="D158" i="5"/>
  <c r="D157" i="5"/>
  <c r="D159" i="5" s="1"/>
  <c r="E149" i="5"/>
  <c r="D151" i="5"/>
  <c r="D152" i="5" s="1"/>
  <c r="D153" i="5" s="1"/>
  <c r="D150" i="5"/>
  <c r="D149" i="5"/>
  <c r="E141" i="5"/>
  <c r="D143" i="5"/>
  <c r="D142" i="5"/>
  <c r="D144" i="5" s="1"/>
  <c r="D145" i="5" s="1"/>
  <c r="D141" i="5"/>
  <c r="E133" i="5"/>
  <c r="D135" i="5"/>
  <c r="D134" i="5"/>
  <c r="D133" i="5"/>
  <c r="E123" i="5"/>
  <c r="D123" i="5"/>
  <c r="D122" i="5"/>
  <c r="D124" i="5" s="1"/>
  <c r="E114" i="5"/>
  <c r="D116" i="5"/>
  <c r="D115" i="5"/>
  <c r="D114" i="5"/>
  <c r="E106" i="5"/>
  <c r="D108" i="5"/>
  <c r="D107" i="5"/>
  <c r="D106" i="5"/>
  <c r="E98" i="5"/>
  <c r="D100" i="5"/>
  <c r="D99" i="5"/>
  <c r="D98" i="5"/>
  <c r="E88" i="5"/>
  <c r="D88" i="5"/>
  <c r="D87" i="5"/>
  <c r="E79" i="5"/>
  <c r="D81" i="5"/>
  <c r="D80" i="5"/>
  <c r="D79" i="5"/>
  <c r="E71" i="5"/>
  <c r="D73" i="5"/>
  <c r="D72" i="5"/>
  <c r="D71" i="5"/>
  <c r="E63" i="5"/>
  <c r="D65" i="5"/>
  <c r="D64" i="5"/>
  <c r="D63" i="5"/>
  <c r="E53" i="5"/>
  <c r="D53" i="5"/>
  <c r="D52" i="5"/>
  <c r="D54" i="5" s="1"/>
  <c r="E44" i="5"/>
  <c r="D46" i="5"/>
  <c r="D45" i="5"/>
  <c r="D44" i="5"/>
  <c r="E36" i="5"/>
  <c r="D38" i="5"/>
  <c r="D37" i="5"/>
  <c r="D36" i="5"/>
  <c r="E28" i="5"/>
  <c r="D30" i="5"/>
  <c r="D29" i="5"/>
  <c r="D28" i="5"/>
  <c r="P5" i="23"/>
  <c r="P6" i="23"/>
  <c r="P8" i="23"/>
  <c r="P10" i="23"/>
  <c r="P12" i="23"/>
  <c r="P14" i="23"/>
  <c r="P16" i="23"/>
  <c r="P24" i="23"/>
  <c r="F4" i="23"/>
  <c r="H4" i="23"/>
  <c r="F5" i="23"/>
  <c r="H5" i="23"/>
  <c r="F6" i="23"/>
  <c r="H6" i="23"/>
  <c r="F7" i="23"/>
  <c r="H7" i="23"/>
  <c r="F8" i="23"/>
  <c r="H8" i="23"/>
  <c r="F9" i="23"/>
  <c r="H9" i="23"/>
  <c r="F10" i="23"/>
  <c r="H10" i="23" s="1"/>
  <c r="F11" i="23"/>
  <c r="H11" i="23" s="1"/>
  <c r="F12" i="23"/>
  <c r="H12" i="23" s="1"/>
  <c r="F13" i="23"/>
  <c r="H13" i="23" s="1"/>
  <c r="F14" i="23"/>
  <c r="H14" i="23" s="1"/>
  <c r="F15" i="23"/>
  <c r="H15" i="23" s="1"/>
  <c r="F16" i="23"/>
  <c r="H16" i="23" s="1"/>
  <c r="F17" i="23"/>
  <c r="H17" i="23" s="1"/>
  <c r="F18" i="23"/>
  <c r="H18" i="23" s="1"/>
  <c r="F19" i="23"/>
  <c r="H19" i="23" s="1"/>
  <c r="F20" i="23"/>
  <c r="H20" i="23" s="1"/>
  <c r="F21" i="23"/>
  <c r="H21" i="23" s="1"/>
  <c r="F22" i="23"/>
  <c r="H22" i="23" s="1"/>
  <c r="F23" i="23"/>
  <c r="H23" i="23" s="1"/>
  <c r="F24" i="23"/>
  <c r="H24" i="23" s="1"/>
  <c r="F25" i="23"/>
  <c r="H25" i="23" s="1"/>
  <c r="F26" i="23"/>
  <c r="H26" i="23" s="1"/>
  <c r="F27" i="23"/>
  <c r="H27" i="23" s="1"/>
  <c r="F28" i="23"/>
  <c r="H28" i="23" s="1"/>
  <c r="F29" i="23"/>
  <c r="H29" i="23" s="1"/>
  <c r="F30" i="23"/>
  <c r="H30" i="23" s="1"/>
  <c r="F31" i="23"/>
  <c r="H31" i="23" s="1"/>
  <c r="F32" i="23"/>
  <c r="H32" i="23" s="1"/>
  <c r="F33" i="23"/>
  <c r="H33" i="23" s="1"/>
  <c r="F34" i="23"/>
  <c r="H34" i="23" s="1"/>
  <c r="F35" i="23"/>
  <c r="H35" i="23" s="1"/>
  <c r="F36" i="23"/>
  <c r="H36" i="23" s="1"/>
  <c r="F37" i="23"/>
  <c r="H37" i="23" s="1"/>
  <c r="F38" i="23"/>
  <c r="H38" i="23" s="1"/>
  <c r="F39" i="23"/>
  <c r="H39" i="23" s="1"/>
  <c r="F40" i="23"/>
  <c r="H40" i="23" s="1"/>
  <c r="F41" i="23"/>
  <c r="H41" i="23" s="1"/>
  <c r="F42" i="23"/>
  <c r="H42" i="23" s="1"/>
  <c r="F43" i="23"/>
  <c r="H43" i="23" s="1"/>
  <c r="F44" i="23"/>
  <c r="H44" i="23" s="1"/>
  <c r="F45" i="23"/>
  <c r="H45" i="23" s="1"/>
  <c r="F46" i="23"/>
  <c r="H46" i="23" s="1"/>
  <c r="F47" i="23"/>
  <c r="H47" i="23" s="1"/>
  <c r="F48" i="23"/>
  <c r="H48" i="23" s="1"/>
  <c r="F49" i="23"/>
  <c r="H49" i="23" s="1"/>
  <c r="F50" i="23"/>
  <c r="H50" i="23" s="1"/>
  <c r="F51" i="23"/>
  <c r="H51" i="23" s="1"/>
  <c r="F52" i="23"/>
  <c r="H52" i="23" s="1"/>
  <c r="F53" i="23"/>
  <c r="H53" i="23" s="1"/>
  <c r="F54" i="23"/>
  <c r="H54" i="23" s="1"/>
  <c r="F55" i="23"/>
  <c r="H55" i="23" s="1"/>
  <c r="F56" i="23"/>
  <c r="H56" i="23" s="1"/>
  <c r="F57" i="23"/>
  <c r="H57" i="23" s="1"/>
  <c r="F58" i="23"/>
  <c r="H58" i="23" s="1"/>
  <c r="F59" i="23"/>
  <c r="H59" i="23" s="1"/>
  <c r="F60" i="23"/>
  <c r="H60" i="23" s="1"/>
  <c r="F61" i="23"/>
  <c r="H61" i="23" s="1"/>
  <c r="F62" i="23"/>
  <c r="H62" i="23" s="1"/>
  <c r="F63" i="23"/>
  <c r="H63" i="23" s="1"/>
  <c r="F64" i="23"/>
  <c r="H64" i="23" s="1"/>
  <c r="F65" i="23"/>
  <c r="H65" i="23" s="1"/>
  <c r="F66" i="23"/>
  <c r="H66" i="23" s="1"/>
  <c r="F67" i="23"/>
  <c r="H67" i="23" s="1"/>
  <c r="F68" i="23"/>
  <c r="H68" i="23" s="1"/>
  <c r="F69" i="23"/>
  <c r="H69" i="23" s="1"/>
  <c r="F70" i="23"/>
  <c r="H70" i="23" s="1"/>
  <c r="F71" i="23"/>
  <c r="H71" i="23" s="1"/>
  <c r="F72" i="23"/>
  <c r="H72" i="23" s="1"/>
  <c r="F73" i="23"/>
  <c r="H73" i="23" s="1"/>
  <c r="F74" i="23"/>
  <c r="H74" i="23" s="1"/>
  <c r="F75" i="23"/>
  <c r="H75" i="23" s="1"/>
  <c r="F76" i="23"/>
  <c r="H76" i="23" s="1"/>
  <c r="F77" i="23"/>
  <c r="H77" i="23" s="1"/>
  <c r="F78" i="23"/>
  <c r="H78" i="23" s="1"/>
  <c r="F79" i="23"/>
  <c r="H79" i="23" s="1"/>
  <c r="F80" i="23"/>
  <c r="H80" i="23" s="1"/>
  <c r="F81" i="23"/>
  <c r="H81" i="23" s="1"/>
  <c r="F82" i="23"/>
  <c r="H82" i="23" s="1"/>
  <c r="F83" i="23"/>
  <c r="H83" i="23" s="1"/>
  <c r="F84" i="23"/>
  <c r="H84" i="23" s="1"/>
  <c r="F85" i="23"/>
  <c r="H85" i="23" s="1"/>
  <c r="F86" i="23"/>
  <c r="H86" i="23" s="1"/>
  <c r="F87" i="23"/>
  <c r="H87" i="23" s="1"/>
  <c r="F88" i="23"/>
  <c r="H88" i="23" s="1"/>
  <c r="F89" i="23"/>
  <c r="H89" i="23" s="1"/>
  <c r="F90" i="23"/>
  <c r="H90" i="23" s="1"/>
  <c r="F91" i="23"/>
  <c r="H91" i="23" s="1"/>
  <c r="F92" i="23"/>
  <c r="H92" i="23" s="1"/>
  <c r="F93" i="23"/>
  <c r="H93" i="23" s="1"/>
  <c r="F94" i="23"/>
  <c r="H94" i="23" s="1"/>
  <c r="F95" i="23"/>
  <c r="H95" i="23" s="1"/>
  <c r="F96" i="23"/>
  <c r="H96" i="23" s="1"/>
  <c r="F97" i="23"/>
  <c r="H97" i="23" s="1"/>
  <c r="F98" i="23"/>
  <c r="H98" i="23" s="1"/>
  <c r="F99" i="23"/>
  <c r="H99" i="23" s="1"/>
  <c r="F100" i="23"/>
  <c r="H100" i="23" s="1"/>
  <c r="F101" i="23"/>
  <c r="H101" i="23" s="1"/>
  <c r="F102" i="23"/>
  <c r="H102" i="23" s="1"/>
  <c r="F103" i="23"/>
  <c r="H103" i="23" s="1"/>
  <c r="F104" i="23"/>
  <c r="H104" i="23" s="1"/>
  <c r="F105" i="23"/>
  <c r="H105" i="23" s="1"/>
  <c r="F106" i="23"/>
  <c r="H106" i="23" s="1"/>
  <c r="F107" i="23"/>
  <c r="H107" i="23" s="1"/>
  <c r="F108" i="23"/>
  <c r="H108" i="23" s="1"/>
  <c r="F109" i="23"/>
  <c r="H109" i="23" s="1"/>
  <c r="F110" i="23"/>
  <c r="H110" i="23" s="1"/>
  <c r="F111" i="23"/>
  <c r="H111" i="23" s="1"/>
  <c r="F112" i="23"/>
  <c r="H112" i="23" s="1"/>
  <c r="F113" i="23"/>
  <c r="H113" i="23" s="1"/>
  <c r="F114" i="23"/>
  <c r="H114" i="23" s="1"/>
  <c r="F115" i="23"/>
  <c r="H115" i="23" s="1"/>
  <c r="F116" i="23"/>
  <c r="H116" i="23" s="1"/>
  <c r="F117" i="23"/>
  <c r="H117" i="23" s="1"/>
  <c r="F118" i="23"/>
  <c r="H118" i="23" s="1"/>
  <c r="F119" i="23"/>
  <c r="H119" i="23" s="1"/>
  <c r="F120" i="23"/>
  <c r="H120" i="23" s="1"/>
  <c r="F121" i="23"/>
  <c r="H121" i="23" s="1"/>
  <c r="F122" i="23"/>
  <c r="H122" i="23" s="1"/>
  <c r="F123" i="23"/>
  <c r="H123" i="23" s="1"/>
  <c r="F124" i="23"/>
  <c r="H124" i="23" s="1"/>
  <c r="F125" i="23"/>
  <c r="H125" i="23" s="1"/>
  <c r="F126" i="23"/>
  <c r="H126" i="23" s="1"/>
  <c r="F127" i="23"/>
  <c r="H127" i="23" s="1"/>
  <c r="F128" i="23"/>
  <c r="H128" i="23" s="1"/>
  <c r="F129" i="23"/>
  <c r="H129" i="23" s="1"/>
  <c r="F130" i="23"/>
  <c r="H130" i="23" s="1"/>
  <c r="F131" i="23"/>
  <c r="H131" i="23" s="1"/>
  <c r="F132" i="23"/>
  <c r="H132" i="23" s="1"/>
  <c r="F133" i="23"/>
  <c r="H133" i="23" s="1"/>
  <c r="F134" i="23"/>
  <c r="H134" i="23" s="1"/>
  <c r="F135" i="23"/>
  <c r="H135" i="23" s="1"/>
  <c r="F136" i="23"/>
  <c r="H136" i="23" s="1"/>
  <c r="F137" i="23"/>
  <c r="H137" i="23" s="1"/>
  <c r="F138" i="23"/>
  <c r="H138" i="23" s="1"/>
  <c r="F139" i="23"/>
  <c r="H139" i="23" s="1"/>
  <c r="F140" i="23"/>
  <c r="H140" i="23" s="1"/>
  <c r="F141" i="23"/>
  <c r="H141" i="23" s="1"/>
  <c r="F142" i="23"/>
  <c r="H142" i="23" s="1"/>
  <c r="F143" i="23"/>
  <c r="H143" i="23" s="1"/>
  <c r="F144" i="23"/>
  <c r="H144" i="23" s="1"/>
  <c r="F145" i="23"/>
  <c r="H145" i="23" s="1"/>
  <c r="F146" i="23"/>
  <c r="H146" i="23" s="1"/>
  <c r="F147" i="23"/>
  <c r="H147" i="23" s="1"/>
  <c r="F148" i="23"/>
  <c r="H148" i="23" s="1"/>
  <c r="F149" i="23"/>
  <c r="H149" i="23" s="1"/>
  <c r="F150" i="23"/>
  <c r="H150" i="23" s="1"/>
  <c r="F151" i="23"/>
  <c r="H151" i="23" s="1"/>
  <c r="F152" i="23"/>
  <c r="H152" i="23" s="1"/>
  <c r="F153" i="23"/>
  <c r="H153" i="23" s="1"/>
  <c r="F154" i="23"/>
  <c r="H154" i="23" s="1"/>
  <c r="F155" i="23"/>
  <c r="H155" i="23" s="1"/>
  <c r="F156" i="23"/>
  <c r="H156" i="23" s="1"/>
  <c r="F157" i="23"/>
  <c r="H157" i="23" s="1"/>
  <c r="F158" i="23"/>
  <c r="H158" i="23" s="1"/>
  <c r="F159" i="23"/>
  <c r="H159" i="23" s="1"/>
  <c r="F160" i="23"/>
  <c r="H160" i="23" s="1"/>
  <c r="F161" i="23"/>
  <c r="H161" i="23" s="1"/>
  <c r="F162" i="23"/>
  <c r="H162" i="23" s="1"/>
  <c r="F163" i="23"/>
  <c r="H163" i="23" s="1"/>
  <c r="F164" i="23"/>
  <c r="H164" i="23" s="1"/>
  <c r="F165" i="23"/>
  <c r="H165" i="23" s="1"/>
  <c r="F166" i="23"/>
  <c r="H166" i="23" s="1"/>
  <c r="F167" i="23"/>
  <c r="H167" i="23" s="1"/>
  <c r="F168" i="23"/>
  <c r="H168" i="23" s="1"/>
  <c r="F169" i="23"/>
  <c r="H169" i="23" s="1"/>
  <c r="F170" i="23"/>
  <c r="H170" i="23" s="1"/>
  <c r="F171" i="23"/>
  <c r="H171" i="23" s="1"/>
  <c r="F172" i="23"/>
  <c r="H172" i="23" s="1"/>
  <c r="F173" i="23"/>
  <c r="H173" i="23" s="1"/>
  <c r="F174" i="23"/>
  <c r="H174" i="23" s="1"/>
  <c r="F175" i="23"/>
  <c r="H175" i="23" s="1"/>
  <c r="F176" i="23"/>
  <c r="H176" i="23" s="1"/>
  <c r="F177" i="23"/>
  <c r="H177" i="23" s="1"/>
  <c r="F178" i="23"/>
  <c r="H178" i="23" s="1"/>
  <c r="F179" i="23"/>
  <c r="H179" i="23" s="1"/>
  <c r="F180" i="23"/>
  <c r="H180" i="23" s="1"/>
  <c r="F181" i="23"/>
  <c r="H181" i="23" s="1"/>
  <c r="F182" i="23"/>
  <c r="H182" i="23" s="1"/>
  <c r="F183" i="23"/>
  <c r="H183" i="23" s="1"/>
  <c r="F184" i="23"/>
  <c r="H184" i="23" s="1"/>
  <c r="F185" i="23"/>
  <c r="H185" i="23" s="1"/>
  <c r="F186" i="23"/>
  <c r="H186" i="23" s="1"/>
  <c r="F187" i="23"/>
  <c r="H187" i="23" s="1"/>
  <c r="F188" i="23"/>
  <c r="H188" i="23" s="1"/>
  <c r="F189" i="23"/>
  <c r="H189" i="23" s="1"/>
  <c r="F190" i="23"/>
  <c r="H190" i="23" s="1"/>
  <c r="F191" i="23"/>
  <c r="H191" i="23" s="1"/>
  <c r="F192" i="23"/>
  <c r="H192" i="23" s="1"/>
  <c r="F193" i="23"/>
  <c r="H193" i="23" s="1"/>
  <c r="F194" i="23"/>
  <c r="H194" i="23" s="1"/>
  <c r="F195" i="23"/>
  <c r="H195" i="23" s="1"/>
  <c r="F196" i="23"/>
  <c r="H196" i="23" s="1"/>
  <c r="F197" i="23"/>
  <c r="H197" i="23" s="1"/>
  <c r="F198" i="23"/>
  <c r="H198" i="23" s="1"/>
  <c r="F199" i="23"/>
  <c r="H199" i="23" s="1"/>
  <c r="F200" i="23"/>
  <c r="H200" i="23" s="1"/>
  <c r="F201" i="23"/>
  <c r="H201" i="23" s="1"/>
  <c r="F202" i="23"/>
  <c r="H202" i="23" s="1"/>
  <c r="F203" i="23"/>
  <c r="H203" i="23" s="1"/>
  <c r="F204" i="23"/>
  <c r="H204" i="23" s="1"/>
  <c r="F205" i="23"/>
  <c r="H205" i="23" s="1"/>
  <c r="F206" i="23"/>
  <c r="H206" i="23" s="1"/>
  <c r="F207" i="23"/>
  <c r="H207" i="23" s="1"/>
  <c r="F208" i="23"/>
  <c r="H208" i="23" s="1"/>
  <c r="F209" i="23"/>
  <c r="H209" i="23" s="1"/>
  <c r="F210" i="23"/>
  <c r="H210" i="23" s="1"/>
  <c r="F211" i="23"/>
  <c r="H211" i="23" s="1"/>
  <c r="F212" i="23"/>
  <c r="H212" i="23" s="1"/>
  <c r="F213" i="23"/>
  <c r="H213" i="23" s="1"/>
  <c r="F214" i="23"/>
  <c r="H214" i="23" s="1"/>
  <c r="F215" i="23"/>
  <c r="H215" i="23" s="1"/>
  <c r="F216" i="23"/>
  <c r="H216" i="23" s="1"/>
  <c r="F217" i="23"/>
  <c r="H217" i="23" s="1"/>
  <c r="F218" i="23"/>
  <c r="H218" i="23" s="1"/>
  <c r="F219" i="23"/>
  <c r="H219" i="23" s="1"/>
  <c r="F220" i="23"/>
  <c r="H220" i="23" s="1"/>
  <c r="F221" i="23"/>
  <c r="H221" i="23" s="1"/>
  <c r="F222" i="23"/>
  <c r="H222" i="23" s="1"/>
  <c r="F223" i="23"/>
  <c r="H223" i="23" s="1"/>
  <c r="F224" i="23"/>
  <c r="H224" i="23" s="1"/>
  <c r="F225" i="23"/>
  <c r="H225" i="23" s="1"/>
  <c r="F226" i="23"/>
  <c r="H226" i="23" s="1"/>
  <c r="F227" i="23"/>
  <c r="H227" i="23" s="1"/>
  <c r="F228" i="23"/>
  <c r="H228" i="23" s="1"/>
  <c r="F229" i="23"/>
  <c r="H229" i="23" s="1"/>
  <c r="F230" i="23"/>
  <c r="H230" i="23" s="1"/>
  <c r="F231" i="23"/>
  <c r="H231" i="23" s="1"/>
  <c r="F232" i="23"/>
  <c r="H232" i="23" s="1"/>
  <c r="F233" i="23"/>
  <c r="H233" i="23" s="1"/>
  <c r="F234" i="23"/>
  <c r="H234" i="23" s="1"/>
  <c r="F235" i="23"/>
  <c r="H235" i="23" s="1"/>
  <c r="F236" i="23"/>
  <c r="H236" i="23" s="1"/>
  <c r="F237" i="23"/>
  <c r="H237" i="23" s="1"/>
  <c r="F238" i="23"/>
  <c r="H238" i="23" s="1"/>
  <c r="F239" i="23"/>
  <c r="H239" i="23" s="1"/>
  <c r="F240" i="23"/>
  <c r="H240" i="23" s="1"/>
  <c r="F241" i="23"/>
  <c r="H241" i="23" s="1"/>
  <c r="F242" i="23"/>
  <c r="H242" i="23" s="1"/>
  <c r="F243" i="23"/>
  <c r="H243" i="23" s="1"/>
  <c r="F244" i="23"/>
  <c r="H244" i="23" s="1"/>
  <c r="F245" i="23"/>
  <c r="H245" i="23" s="1"/>
  <c r="F246" i="23"/>
  <c r="H246" i="23" s="1"/>
  <c r="F247" i="23"/>
  <c r="H247" i="23" s="1"/>
  <c r="F248" i="23"/>
  <c r="H248" i="23" s="1"/>
  <c r="F249" i="23"/>
  <c r="H249" i="23" s="1"/>
  <c r="F250" i="23"/>
  <c r="H250" i="23" s="1"/>
  <c r="F251" i="23"/>
  <c r="H251" i="23" s="1"/>
  <c r="F252" i="23"/>
  <c r="H252" i="23" s="1"/>
  <c r="F253" i="23"/>
  <c r="H253" i="23" s="1"/>
  <c r="F254" i="23"/>
  <c r="H254" i="23" s="1"/>
  <c r="F255" i="23"/>
  <c r="H255" i="23" s="1"/>
  <c r="F256" i="23"/>
  <c r="H256" i="23" s="1"/>
  <c r="F257" i="23"/>
  <c r="H257" i="23" s="1"/>
  <c r="F258" i="23"/>
  <c r="H258" i="23" s="1"/>
  <c r="F259" i="23"/>
  <c r="H259" i="23" s="1"/>
  <c r="F260" i="23"/>
  <c r="H260" i="23" s="1"/>
  <c r="F261" i="23"/>
  <c r="H261" i="23" s="1"/>
  <c r="F262" i="23"/>
  <c r="H262" i="23" s="1"/>
  <c r="F263" i="23"/>
  <c r="H263" i="23" s="1"/>
  <c r="F264" i="23"/>
  <c r="H264" i="23" s="1"/>
  <c r="F265" i="23"/>
  <c r="H265" i="23" s="1"/>
  <c r="F266" i="23"/>
  <c r="H266" i="23" s="1"/>
  <c r="F267" i="23"/>
  <c r="H267" i="23" s="1"/>
  <c r="F268" i="23"/>
  <c r="H268" i="23" s="1"/>
  <c r="F269" i="23"/>
  <c r="H269" i="23" s="1"/>
  <c r="F270" i="23"/>
  <c r="H270" i="23" s="1"/>
  <c r="F271" i="23"/>
  <c r="H271" i="23" s="1"/>
  <c r="F272" i="23"/>
  <c r="H272" i="23" s="1"/>
  <c r="F273" i="23"/>
  <c r="H273" i="23" s="1"/>
  <c r="F274" i="23"/>
  <c r="H274" i="23" s="1"/>
  <c r="F275" i="23"/>
  <c r="H275" i="23" s="1"/>
  <c r="F276" i="23"/>
  <c r="H276" i="23" s="1"/>
  <c r="F277" i="23"/>
  <c r="H277" i="23" s="1"/>
  <c r="F278" i="23"/>
  <c r="H278" i="23" s="1"/>
  <c r="F279" i="23"/>
  <c r="H279" i="23" s="1"/>
  <c r="F280" i="23"/>
  <c r="H280" i="23" s="1"/>
  <c r="F281" i="23"/>
  <c r="H281" i="23" s="1"/>
  <c r="F282" i="23"/>
  <c r="H282" i="23" s="1"/>
  <c r="F283" i="23"/>
  <c r="H283" i="23" s="1"/>
  <c r="F284" i="23"/>
  <c r="H284" i="23" s="1"/>
  <c r="F285" i="23"/>
  <c r="H285" i="23" s="1"/>
  <c r="F286" i="23"/>
  <c r="H286" i="23" s="1"/>
  <c r="F287" i="23"/>
  <c r="H287" i="23" s="1"/>
  <c r="F288" i="23"/>
  <c r="H288" i="23" s="1"/>
  <c r="F289" i="23"/>
  <c r="H289" i="23" s="1"/>
  <c r="F290" i="23"/>
  <c r="H290" i="23" s="1"/>
  <c r="F291" i="23"/>
  <c r="H291" i="23" s="1"/>
  <c r="F292" i="23"/>
  <c r="H292" i="23" s="1"/>
  <c r="F293" i="23"/>
  <c r="H293" i="23" s="1"/>
  <c r="F294" i="23"/>
  <c r="H294" i="23" s="1"/>
  <c r="F295" i="23"/>
  <c r="H295" i="23" s="1"/>
  <c r="F296" i="23"/>
  <c r="H296" i="23" s="1"/>
  <c r="F297" i="23"/>
  <c r="H297" i="23" s="1"/>
  <c r="F298" i="23"/>
  <c r="H298" i="23" s="1"/>
  <c r="F299" i="23"/>
  <c r="H299" i="23" s="1"/>
  <c r="F300" i="23"/>
  <c r="H300" i="23" s="1"/>
  <c r="F301" i="23"/>
  <c r="H301" i="23" s="1"/>
  <c r="F302" i="23"/>
  <c r="H302" i="23" s="1"/>
  <c r="F303" i="23"/>
  <c r="H303" i="23" s="1"/>
  <c r="F304" i="23"/>
  <c r="H304" i="23" s="1"/>
  <c r="F305" i="23"/>
  <c r="H305" i="23" s="1"/>
  <c r="F306" i="23"/>
  <c r="H306" i="23" s="1"/>
  <c r="F307" i="23"/>
  <c r="H307" i="23" s="1"/>
  <c r="F308" i="23"/>
  <c r="H308" i="23" s="1"/>
  <c r="F309" i="23"/>
  <c r="H309" i="23" s="1"/>
  <c r="F310" i="23"/>
  <c r="H310" i="23" s="1"/>
  <c r="F311" i="23"/>
  <c r="H311" i="23" s="1"/>
  <c r="F312" i="23"/>
  <c r="H312" i="23" s="1"/>
  <c r="F313" i="23"/>
  <c r="H313" i="23" s="1"/>
  <c r="F314" i="23"/>
  <c r="H314" i="23" s="1"/>
  <c r="F315" i="23"/>
  <c r="H315" i="23" s="1"/>
  <c r="F316" i="23"/>
  <c r="H316" i="23" s="1"/>
  <c r="F317" i="23"/>
  <c r="H317" i="23" s="1"/>
  <c r="F318" i="23"/>
  <c r="H318" i="23" s="1"/>
  <c r="F319" i="23"/>
  <c r="H319" i="23" s="1"/>
  <c r="F320" i="23"/>
  <c r="H320" i="23" s="1"/>
  <c r="F321" i="23"/>
  <c r="H321" i="23" s="1"/>
  <c r="F322" i="23"/>
  <c r="H322" i="23" s="1"/>
  <c r="F323" i="23"/>
  <c r="H323" i="23" s="1"/>
  <c r="F324" i="23"/>
  <c r="H324" i="23" s="1"/>
  <c r="F325" i="23"/>
  <c r="H325" i="23" s="1"/>
  <c r="F326" i="23"/>
  <c r="H326" i="23" s="1"/>
  <c r="F327" i="23"/>
  <c r="H327" i="23" s="1"/>
  <c r="F328" i="23"/>
  <c r="H328" i="23" s="1"/>
  <c r="F329" i="23"/>
  <c r="H329" i="23" s="1"/>
  <c r="F330" i="23"/>
  <c r="H330" i="23" s="1"/>
  <c r="F331" i="23"/>
  <c r="H331" i="23" s="1"/>
  <c r="F332" i="23"/>
  <c r="H332" i="23" s="1"/>
  <c r="F333" i="23"/>
  <c r="H333" i="23" s="1"/>
  <c r="F334" i="23"/>
  <c r="H334" i="23" s="1"/>
  <c r="F335" i="23"/>
  <c r="H335" i="23" s="1"/>
  <c r="F336" i="23"/>
  <c r="H336" i="23" s="1"/>
  <c r="F337" i="23"/>
  <c r="H337" i="23" s="1"/>
  <c r="F338" i="23"/>
  <c r="H338" i="23" s="1"/>
  <c r="F339" i="23"/>
  <c r="H339" i="23" s="1"/>
  <c r="F340" i="23"/>
  <c r="H340" i="23" s="1"/>
  <c r="F341" i="23"/>
  <c r="H341" i="23" s="1"/>
  <c r="F342" i="23"/>
  <c r="H342" i="23" s="1"/>
  <c r="F343" i="23"/>
  <c r="H343" i="23" s="1"/>
  <c r="F344" i="23"/>
  <c r="H344" i="23" s="1"/>
  <c r="F345" i="23"/>
  <c r="H345" i="23" s="1"/>
  <c r="F346" i="23"/>
  <c r="H346" i="23" s="1"/>
  <c r="F347" i="23"/>
  <c r="H347" i="23" s="1"/>
  <c r="F348" i="23"/>
  <c r="H348" i="23" s="1"/>
  <c r="F349" i="23"/>
  <c r="H349" i="23" s="1"/>
  <c r="F350" i="23"/>
  <c r="H350" i="23" s="1"/>
  <c r="F351" i="23"/>
  <c r="H351" i="23" s="1"/>
  <c r="F352" i="23"/>
  <c r="H352" i="23" s="1"/>
  <c r="F353" i="23"/>
  <c r="H353" i="23" s="1"/>
  <c r="F354" i="23"/>
  <c r="H354" i="23" s="1"/>
  <c r="F355" i="23"/>
  <c r="H355" i="23" s="1"/>
  <c r="F356" i="23"/>
  <c r="H356" i="23" s="1"/>
  <c r="F357" i="23"/>
  <c r="H357" i="23" s="1"/>
  <c r="F358" i="23"/>
  <c r="H358" i="23" s="1"/>
  <c r="F359" i="23"/>
  <c r="H359" i="23" s="1"/>
  <c r="F360" i="23"/>
  <c r="H360" i="23" s="1"/>
  <c r="F361" i="23"/>
  <c r="H361" i="23" s="1"/>
  <c r="F362" i="23"/>
  <c r="H362" i="23" s="1"/>
  <c r="F363" i="23"/>
  <c r="H363" i="23" s="1"/>
  <c r="F364" i="23"/>
  <c r="H364" i="23" s="1"/>
  <c r="F365" i="23"/>
  <c r="H365" i="23" s="1"/>
  <c r="F366" i="23"/>
  <c r="H366" i="23" s="1"/>
  <c r="F367" i="23"/>
  <c r="H367" i="23" s="1"/>
  <c r="F368" i="23"/>
  <c r="H368" i="23" s="1"/>
  <c r="F369" i="23"/>
  <c r="H369" i="23" s="1"/>
  <c r="F370" i="23"/>
  <c r="H370" i="23" s="1"/>
  <c r="F371" i="23"/>
  <c r="H371" i="23" s="1"/>
  <c r="F372" i="23"/>
  <c r="H372" i="23" s="1"/>
  <c r="F373" i="23"/>
  <c r="H373" i="23" s="1"/>
  <c r="F374" i="23"/>
  <c r="H374" i="23" s="1"/>
  <c r="F375" i="23"/>
  <c r="H375" i="23" s="1"/>
  <c r="F376" i="23"/>
  <c r="H376" i="23" s="1"/>
  <c r="F377" i="23"/>
  <c r="H377" i="23" s="1"/>
  <c r="F378" i="23"/>
  <c r="H378" i="23" s="1"/>
  <c r="F379" i="23"/>
  <c r="H379" i="23" s="1"/>
  <c r="F380" i="23"/>
  <c r="H380" i="23" s="1"/>
  <c r="F381" i="23"/>
  <c r="H381" i="23" s="1"/>
  <c r="F382" i="23"/>
  <c r="H382" i="23" s="1"/>
  <c r="F383" i="23"/>
  <c r="H383" i="23" s="1"/>
  <c r="F384" i="23"/>
  <c r="H384" i="23" s="1"/>
  <c r="F385" i="23"/>
  <c r="H385" i="23" s="1"/>
  <c r="F386" i="23"/>
  <c r="H386" i="23" s="1"/>
  <c r="F387" i="23"/>
  <c r="H387" i="23" s="1"/>
  <c r="F388" i="23"/>
  <c r="H388" i="23" s="1"/>
  <c r="F389" i="23"/>
  <c r="H389" i="23" s="1"/>
  <c r="F390" i="23"/>
  <c r="H390" i="23" s="1"/>
  <c r="F391" i="23"/>
  <c r="H391" i="23" s="1"/>
  <c r="F392" i="23"/>
  <c r="H392" i="23" s="1"/>
  <c r="F393" i="23"/>
  <c r="H393" i="23" s="1"/>
  <c r="F394" i="23"/>
  <c r="H394" i="23" s="1"/>
  <c r="F395" i="23"/>
  <c r="H395" i="23" s="1"/>
  <c r="F396" i="23"/>
  <c r="H396" i="23" s="1"/>
  <c r="F397" i="23"/>
  <c r="H397" i="23" s="1"/>
  <c r="F398" i="23"/>
  <c r="H398" i="23" s="1"/>
  <c r="F399" i="23"/>
  <c r="H399" i="23" s="1"/>
  <c r="F400" i="23"/>
  <c r="H400" i="23" s="1"/>
  <c r="F401" i="23"/>
  <c r="H401" i="23" s="1"/>
  <c r="F402" i="23"/>
  <c r="H402" i="23" s="1"/>
  <c r="F403" i="23"/>
  <c r="H403" i="23" s="1"/>
  <c r="F404" i="23"/>
  <c r="H404" i="23" s="1"/>
  <c r="F405" i="23"/>
  <c r="H405" i="23" s="1"/>
  <c r="F406" i="23"/>
  <c r="H406" i="23" s="1"/>
  <c r="F407" i="23"/>
  <c r="H407" i="23" s="1"/>
  <c r="F408" i="23"/>
  <c r="H408" i="23" s="1"/>
  <c r="F409" i="23"/>
  <c r="H409" i="23" s="1"/>
  <c r="F410" i="23"/>
  <c r="H410" i="23" s="1"/>
  <c r="F411" i="23"/>
  <c r="H411" i="23" s="1"/>
  <c r="F412" i="23"/>
  <c r="H412" i="23" s="1"/>
  <c r="F413" i="23"/>
  <c r="H413" i="23" s="1"/>
  <c r="F414" i="23"/>
  <c r="H414" i="23" s="1"/>
  <c r="F415" i="23"/>
  <c r="H415" i="23" s="1"/>
  <c r="F416" i="23"/>
  <c r="H416" i="23" s="1"/>
  <c r="F417" i="23"/>
  <c r="H417" i="23" s="1"/>
  <c r="F418" i="23"/>
  <c r="H418" i="23" s="1"/>
  <c r="F419" i="23"/>
  <c r="H419" i="23" s="1"/>
  <c r="F420" i="23"/>
  <c r="H420" i="23" s="1"/>
  <c r="F421" i="23"/>
  <c r="H421" i="23" s="1"/>
  <c r="F422" i="23"/>
  <c r="H422" i="23" s="1"/>
  <c r="F423" i="23"/>
  <c r="H423" i="23" s="1"/>
  <c r="F424" i="23"/>
  <c r="H424" i="23" s="1"/>
  <c r="F425" i="23"/>
  <c r="H425" i="23" s="1"/>
  <c r="F426" i="23"/>
  <c r="H426" i="23" s="1"/>
  <c r="F427" i="23"/>
  <c r="H427" i="23" s="1"/>
  <c r="F428" i="23"/>
  <c r="H428" i="23" s="1"/>
  <c r="F429" i="23"/>
  <c r="H429" i="23" s="1"/>
  <c r="F430" i="23"/>
  <c r="H430" i="23" s="1"/>
  <c r="F431" i="23"/>
  <c r="H431" i="23" s="1"/>
  <c r="F432" i="23"/>
  <c r="H432" i="23" s="1"/>
  <c r="F433" i="23"/>
  <c r="H433" i="23" s="1"/>
  <c r="F434" i="23"/>
  <c r="H434" i="23" s="1"/>
  <c r="F435" i="23"/>
  <c r="H435" i="23" s="1"/>
  <c r="F436" i="23"/>
  <c r="H436" i="23" s="1"/>
  <c r="F437" i="23"/>
  <c r="H437" i="23" s="1"/>
  <c r="F438" i="23"/>
  <c r="H438" i="23" s="1"/>
  <c r="F439" i="23"/>
  <c r="H439" i="23" s="1"/>
  <c r="F440" i="23"/>
  <c r="H440" i="23" s="1"/>
  <c r="F441" i="23"/>
  <c r="H441" i="23" s="1"/>
  <c r="F442" i="23"/>
  <c r="H442" i="23" s="1"/>
  <c r="F443" i="23"/>
  <c r="H443" i="23" s="1"/>
  <c r="F444" i="23"/>
  <c r="H444" i="23" s="1"/>
  <c r="F445" i="23"/>
  <c r="H445" i="23" s="1"/>
  <c r="F446" i="23"/>
  <c r="H446" i="23" s="1"/>
  <c r="F447" i="23"/>
  <c r="H447" i="23" s="1"/>
  <c r="F448" i="23"/>
  <c r="H448" i="23" s="1"/>
  <c r="F449" i="23"/>
  <c r="H449" i="23" s="1"/>
  <c r="F450" i="23"/>
  <c r="H450" i="23" s="1"/>
  <c r="F451" i="23"/>
  <c r="H451" i="23" s="1"/>
  <c r="F452" i="23"/>
  <c r="H452" i="23" s="1"/>
  <c r="F453" i="23"/>
  <c r="H453" i="23" s="1"/>
  <c r="F454" i="23"/>
  <c r="H454" i="23" s="1"/>
  <c r="F455" i="23"/>
  <c r="H455" i="23" s="1"/>
  <c r="F456" i="23"/>
  <c r="H456" i="23" s="1"/>
  <c r="F457" i="23"/>
  <c r="H457" i="23" s="1"/>
  <c r="F458" i="23"/>
  <c r="H458" i="23" s="1"/>
  <c r="F459" i="23"/>
  <c r="H459" i="23" s="1"/>
  <c r="F460" i="23"/>
  <c r="H460" i="23" s="1"/>
  <c r="F461" i="23"/>
  <c r="H461" i="23" s="1"/>
  <c r="F462" i="23"/>
  <c r="H462" i="23" s="1"/>
  <c r="F463" i="23"/>
  <c r="H463" i="23" s="1"/>
  <c r="F464" i="23"/>
  <c r="H464" i="23" s="1"/>
  <c r="F465" i="23"/>
  <c r="H465" i="23" s="1"/>
  <c r="F466" i="23"/>
  <c r="H466" i="23" s="1"/>
  <c r="F467" i="23"/>
  <c r="H467" i="23" s="1"/>
  <c r="F468" i="23"/>
  <c r="H468" i="23" s="1"/>
  <c r="F469" i="23"/>
  <c r="H469" i="23" s="1"/>
  <c r="F470" i="23"/>
  <c r="H470" i="23" s="1"/>
  <c r="F471" i="23"/>
  <c r="H471" i="23" s="1"/>
  <c r="F472" i="23"/>
  <c r="H472" i="23" s="1"/>
  <c r="F473" i="23"/>
  <c r="H473" i="23" s="1"/>
  <c r="F474" i="23"/>
  <c r="H474" i="23" s="1"/>
  <c r="F475" i="23"/>
  <c r="H475" i="23" s="1"/>
  <c r="F476" i="23"/>
  <c r="H476" i="23" s="1"/>
  <c r="F477" i="23"/>
  <c r="H477" i="23" s="1"/>
  <c r="F478" i="23"/>
  <c r="H478" i="23" s="1"/>
  <c r="F479" i="23"/>
  <c r="H479" i="23" s="1"/>
  <c r="F480" i="23"/>
  <c r="H480" i="23" s="1"/>
  <c r="F481" i="23"/>
  <c r="H481" i="23" s="1"/>
  <c r="F482" i="23"/>
  <c r="H482" i="23" s="1"/>
  <c r="F483" i="23"/>
  <c r="H483" i="23" s="1"/>
  <c r="F484" i="23"/>
  <c r="H484" i="23" s="1"/>
  <c r="F485" i="23"/>
  <c r="H485" i="23" s="1"/>
  <c r="F486" i="23"/>
  <c r="H486" i="23" s="1"/>
  <c r="F487" i="23"/>
  <c r="H487" i="23" s="1"/>
  <c r="F488" i="23"/>
  <c r="H488" i="23" s="1"/>
  <c r="F489" i="23"/>
  <c r="H489" i="23" s="1"/>
  <c r="F490" i="23"/>
  <c r="H490" i="23" s="1"/>
  <c r="F491" i="23"/>
  <c r="H491" i="23" s="1"/>
  <c r="F492" i="23"/>
  <c r="H492" i="23" s="1"/>
  <c r="F493" i="23"/>
  <c r="H493" i="23" s="1"/>
  <c r="F494" i="23"/>
  <c r="H494" i="23" s="1"/>
  <c r="F495" i="23"/>
  <c r="H495" i="23" s="1"/>
  <c r="F496" i="23"/>
  <c r="H496" i="23" s="1"/>
  <c r="F497" i="23"/>
  <c r="H497" i="23" s="1"/>
  <c r="F498" i="23"/>
  <c r="H498" i="23" s="1"/>
  <c r="F499" i="23"/>
  <c r="H499" i="23" s="1"/>
  <c r="F500" i="23"/>
  <c r="H500" i="23" s="1"/>
  <c r="F501" i="23"/>
  <c r="H501" i="23" s="1"/>
  <c r="F502" i="23"/>
  <c r="H502" i="23" s="1"/>
  <c r="F503" i="23"/>
  <c r="H503" i="23" s="1"/>
  <c r="F504" i="23"/>
  <c r="H504" i="23" s="1"/>
  <c r="F505" i="23"/>
  <c r="H505" i="23" s="1"/>
  <c r="F506" i="23"/>
  <c r="H506" i="23" s="1"/>
  <c r="F507" i="23"/>
  <c r="H507" i="23" s="1"/>
  <c r="F508" i="23"/>
  <c r="H508" i="23" s="1"/>
  <c r="F509" i="23"/>
  <c r="H509" i="23" s="1"/>
  <c r="F510" i="23"/>
  <c r="H510" i="23"/>
  <c r="F511" i="23"/>
  <c r="H511" i="23"/>
  <c r="H512" i="23"/>
  <c r="F513" i="23"/>
  <c r="H513" i="23"/>
  <c r="H514" i="23"/>
  <c r="F515" i="23"/>
  <c r="H515" i="23"/>
  <c r="F516" i="23"/>
  <c r="H516" i="23"/>
  <c r="F517" i="23"/>
  <c r="H517" i="23"/>
  <c r="F518" i="23"/>
  <c r="H518" i="23"/>
  <c r="F519" i="23"/>
  <c r="H519" i="23"/>
  <c r="H520" i="23"/>
  <c r="F521" i="23"/>
  <c r="H521" i="23"/>
  <c r="H522" i="23"/>
  <c r="F523" i="23"/>
  <c r="H523" i="23"/>
  <c r="F524" i="23"/>
  <c r="H524" i="23"/>
  <c r="F525" i="23"/>
  <c r="H525" i="23"/>
  <c r="F526" i="23"/>
  <c r="H526" i="23"/>
  <c r="F527" i="23"/>
  <c r="H527" i="23"/>
  <c r="H528" i="23"/>
  <c r="F529" i="23"/>
  <c r="H529" i="23"/>
  <c r="H530" i="23"/>
  <c r="F531" i="23"/>
  <c r="H531" i="23"/>
  <c r="F532" i="23"/>
  <c r="H532" i="23"/>
  <c r="F533" i="23"/>
  <c r="H533" i="23"/>
  <c r="F534" i="23"/>
  <c r="H534" i="23"/>
  <c r="F535" i="23"/>
  <c r="H535" i="23"/>
  <c r="H536" i="23"/>
  <c r="F537" i="23"/>
  <c r="H537" i="23"/>
  <c r="H538" i="23"/>
  <c r="F539" i="23"/>
  <c r="H539" i="23"/>
  <c r="F540" i="23"/>
  <c r="H540" i="23"/>
  <c r="F541" i="23"/>
  <c r="H541" i="23"/>
  <c r="F542" i="23"/>
  <c r="H542" i="23"/>
  <c r="F543" i="23"/>
  <c r="H543" i="23"/>
  <c r="H544" i="23"/>
  <c r="F545" i="23"/>
  <c r="H545" i="23"/>
  <c r="H546" i="23"/>
  <c r="F547" i="23"/>
  <c r="H547" i="23"/>
  <c r="F548" i="23"/>
  <c r="H548" i="23"/>
  <c r="F549" i="23"/>
  <c r="H549" i="23"/>
  <c r="H550" i="23"/>
  <c r="F551" i="23"/>
  <c r="H551" i="23"/>
  <c r="F552" i="23"/>
  <c r="H552" i="23"/>
  <c r="F553" i="23"/>
  <c r="H553" i="23"/>
  <c r="F554" i="23"/>
  <c r="H554" i="23"/>
  <c r="F555" i="23"/>
  <c r="H555" i="23"/>
  <c r="F556" i="23"/>
  <c r="H556" i="23"/>
  <c r="F557" i="23"/>
  <c r="H557" i="23" s="1"/>
  <c r="F558" i="23"/>
  <c r="H558" i="23" s="1"/>
  <c r="F559" i="23"/>
  <c r="H559" i="23" s="1"/>
  <c r="F560" i="23"/>
  <c r="H560" i="23" s="1"/>
  <c r="F561" i="23"/>
  <c r="H561" i="23" s="1"/>
  <c r="F562" i="23"/>
  <c r="H562" i="23" s="1"/>
  <c r="F563" i="23"/>
  <c r="H563" i="23" s="1"/>
  <c r="F564" i="23"/>
  <c r="H564" i="23" s="1"/>
  <c r="F565" i="23"/>
  <c r="H565" i="23" s="1"/>
  <c r="F566" i="23"/>
  <c r="H566" i="23" s="1"/>
  <c r="F567" i="23"/>
  <c r="H567" i="23" s="1"/>
  <c r="F568" i="23"/>
  <c r="H568" i="23" s="1"/>
  <c r="F569" i="23"/>
  <c r="H569" i="23" s="1"/>
  <c r="F570" i="23"/>
  <c r="H570" i="23" s="1"/>
  <c r="F571" i="23"/>
  <c r="H571" i="23" s="1"/>
  <c r="F572" i="23"/>
  <c r="H572" i="23" s="1"/>
  <c r="F573" i="23"/>
  <c r="H573" i="23" s="1"/>
  <c r="F574" i="23"/>
  <c r="H574" i="23" s="1"/>
  <c r="F575" i="23"/>
  <c r="H575" i="23" s="1"/>
  <c r="F576" i="23"/>
  <c r="H576" i="23" s="1"/>
  <c r="F577" i="23"/>
  <c r="H577" i="23" s="1"/>
  <c r="F578" i="23"/>
  <c r="H578" i="23" s="1"/>
  <c r="F579" i="23"/>
  <c r="H579" i="23" s="1"/>
  <c r="F580" i="23"/>
  <c r="H580" i="23" s="1"/>
  <c r="F581" i="23"/>
  <c r="H581" i="23" s="1"/>
  <c r="F582" i="23"/>
  <c r="H582" i="23" s="1"/>
  <c r="F583" i="23"/>
  <c r="H583" i="23" s="1"/>
  <c r="F584" i="23"/>
  <c r="H584" i="23" s="1"/>
  <c r="F585" i="23"/>
  <c r="H585" i="23" s="1"/>
  <c r="F586" i="23"/>
  <c r="H586" i="23" s="1"/>
  <c r="F587" i="23"/>
  <c r="H587" i="23" s="1"/>
  <c r="F588" i="23"/>
  <c r="H588" i="23" s="1"/>
  <c r="F589" i="23"/>
  <c r="H589" i="23" s="1"/>
  <c r="F590" i="23"/>
  <c r="H590" i="23" s="1"/>
  <c r="F591" i="23"/>
  <c r="H591" i="23" s="1"/>
  <c r="F592" i="23"/>
  <c r="H592" i="23" s="1"/>
  <c r="F593" i="23"/>
  <c r="H593" i="23" s="1"/>
  <c r="F594" i="23"/>
  <c r="H594" i="23" s="1"/>
  <c r="F595" i="23"/>
  <c r="H595" i="23" s="1"/>
  <c r="F596" i="23"/>
  <c r="H596" i="23" s="1"/>
  <c r="F597" i="23"/>
  <c r="H597" i="23" s="1"/>
  <c r="F598" i="23"/>
  <c r="H598" i="23" s="1"/>
  <c r="F599" i="23"/>
  <c r="H599" i="23" s="1"/>
  <c r="F600" i="23"/>
  <c r="H600" i="23" s="1"/>
  <c r="F601" i="23"/>
  <c r="H601" i="23" s="1"/>
  <c r="F602" i="23"/>
  <c r="H602" i="23" s="1"/>
  <c r="F603" i="23"/>
  <c r="H603" i="23" s="1"/>
  <c r="F604" i="23"/>
  <c r="H604" i="23" s="1"/>
  <c r="F605" i="23"/>
  <c r="H605" i="23" s="1"/>
  <c r="F606" i="23"/>
  <c r="H606" i="23" s="1"/>
  <c r="F607" i="23"/>
  <c r="H607" i="23" s="1"/>
  <c r="F608" i="23"/>
  <c r="H608" i="23" s="1"/>
  <c r="F609" i="23"/>
  <c r="H609" i="23" s="1"/>
  <c r="F610" i="23"/>
  <c r="H610" i="23" s="1"/>
  <c r="F611" i="23"/>
  <c r="H611" i="23" s="1"/>
  <c r="F612" i="23"/>
  <c r="H612" i="23" s="1"/>
  <c r="F613" i="23"/>
  <c r="H613" i="23" s="1"/>
  <c r="F614" i="23"/>
  <c r="H614" i="23" s="1"/>
  <c r="F615" i="23"/>
  <c r="H615" i="23" s="1"/>
  <c r="F616" i="23"/>
  <c r="H616" i="23" s="1"/>
  <c r="F617" i="23"/>
  <c r="H617" i="23" s="1"/>
  <c r="F618" i="23"/>
  <c r="H618" i="23" s="1"/>
  <c r="F619" i="23"/>
  <c r="H619" i="23" s="1"/>
  <c r="F620" i="23"/>
  <c r="H620" i="23" s="1"/>
  <c r="F621" i="23"/>
  <c r="H621" i="23" s="1"/>
  <c r="F622" i="23"/>
  <c r="H622" i="23" s="1"/>
  <c r="F623" i="23"/>
  <c r="H623" i="23" s="1"/>
  <c r="F624" i="23"/>
  <c r="H624" i="23" s="1"/>
  <c r="F625" i="23"/>
  <c r="H625" i="23" s="1"/>
  <c r="F626" i="23"/>
  <c r="H626" i="23" s="1"/>
  <c r="F627" i="23"/>
  <c r="H627" i="23" s="1"/>
  <c r="F628" i="23"/>
  <c r="H628" i="23" s="1"/>
  <c r="F629" i="23"/>
  <c r="H629" i="23" s="1"/>
  <c r="F630" i="23"/>
  <c r="H630" i="23" s="1"/>
  <c r="F631" i="23"/>
  <c r="H631" i="23" s="1"/>
  <c r="F632" i="23"/>
  <c r="H632" i="23" s="1"/>
  <c r="F633" i="23"/>
  <c r="H633" i="23" s="1"/>
  <c r="F634" i="23"/>
  <c r="H634" i="23" s="1"/>
  <c r="F635" i="23"/>
  <c r="H635" i="23" s="1"/>
  <c r="F636" i="23"/>
  <c r="H636" i="23" s="1"/>
  <c r="F637" i="23"/>
  <c r="H637" i="23" s="1"/>
  <c r="F638" i="23"/>
  <c r="H638" i="23" s="1"/>
  <c r="F639" i="23"/>
  <c r="H639" i="23" s="1"/>
  <c r="F640" i="23"/>
  <c r="H640" i="23" s="1"/>
  <c r="F641" i="23"/>
  <c r="H641" i="23" s="1"/>
  <c r="F642" i="23"/>
  <c r="H642" i="23" s="1"/>
  <c r="F643" i="23"/>
  <c r="H643" i="23" s="1"/>
  <c r="F644" i="23"/>
  <c r="H644" i="23" s="1"/>
  <c r="F645" i="23"/>
  <c r="H645" i="23" s="1"/>
  <c r="F646" i="23"/>
  <c r="H646" i="23" s="1"/>
  <c r="F647" i="23"/>
  <c r="H647" i="23" s="1"/>
  <c r="F648" i="23"/>
  <c r="H648" i="23" s="1"/>
  <c r="F649" i="23"/>
  <c r="H649" i="23" s="1"/>
  <c r="F650" i="23"/>
  <c r="H650" i="23" s="1"/>
  <c r="F651" i="23"/>
  <c r="H651" i="23" s="1"/>
  <c r="F652" i="23"/>
  <c r="H652" i="23" s="1"/>
  <c r="F653" i="23"/>
  <c r="H653" i="23" s="1"/>
  <c r="F654" i="23"/>
  <c r="H654" i="23" s="1"/>
  <c r="F655" i="23"/>
  <c r="H655" i="23" s="1"/>
  <c r="F656" i="23"/>
  <c r="H656" i="23" s="1"/>
  <c r="F657" i="23"/>
  <c r="H657" i="23" s="1"/>
  <c r="F658" i="23"/>
  <c r="H658" i="23" s="1"/>
  <c r="F659" i="23"/>
  <c r="H659" i="23" s="1"/>
  <c r="F660" i="23"/>
  <c r="H660" i="23" s="1"/>
  <c r="F661" i="23"/>
  <c r="H661" i="23" s="1"/>
  <c r="F662" i="23"/>
  <c r="H662" i="23" s="1"/>
  <c r="F663" i="23"/>
  <c r="H663" i="23" s="1"/>
  <c r="F664" i="23"/>
  <c r="H664" i="23" s="1"/>
  <c r="F665" i="23"/>
  <c r="H665" i="23" s="1"/>
  <c r="F666" i="23"/>
  <c r="H666" i="23" s="1"/>
  <c r="F667" i="23"/>
  <c r="H667" i="23" s="1"/>
  <c r="F668" i="23"/>
  <c r="H668" i="23" s="1"/>
  <c r="F669" i="23"/>
  <c r="H669" i="23" s="1"/>
  <c r="F670" i="23"/>
  <c r="H670" i="23" s="1"/>
  <c r="F671" i="23"/>
  <c r="H671" i="23" s="1"/>
  <c r="F672" i="23"/>
  <c r="H672" i="23" s="1"/>
  <c r="F673" i="23"/>
  <c r="H673" i="23" s="1"/>
  <c r="F674" i="23"/>
  <c r="H674" i="23" s="1"/>
  <c r="F675" i="23"/>
  <c r="H675" i="23" s="1"/>
  <c r="F676" i="23"/>
  <c r="H676" i="23" s="1"/>
  <c r="F677" i="23"/>
  <c r="H677" i="23" s="1"/>
  <c r="F678" i="23"/>
  <c r="H678" i="23" s="1"/>
  <c r="F679" i="23"/>
  <c r="H679" i="23" s="1"/>
  <c r="F680" i="23"/>
  <c r="H680" i="23" s="1"/>
  <c r="F681" i="23"/>
  <c r="H681" i="23" s="1"/>
  <c r="F682" i="23"/>
  <c r="H682" i="23" s="1"/>
  <c r="F683" i="23"/>
  <c r="H683" i="23" s="1"/>
  <c r="F684" i="23"/>
  <c r="H684" i="23" s="1"/>
  <c r="F685" i="23"/>
  <c r="H685" i="23" s="1"/>
  <c r="F686" i="23"/>
  <c r="H686" i="23" s="1"/>
  <c r="F687" i="23"/>
  <c r="H687" i="23" s="1"/>
  <c r="F688" i="23"/>
  <c r="H688" i="23" s="1"/>
  <c r="F689" i="23"/>
  <c r="H689" i="23" s="1"/>
  <c r="F690" i="23"/>
  <c r="H690" i="23" s="1"/>
  <c r="F691" i="23"/>
  <c r="H691" i="23" s="1"/>
  <c r="F692" i="23"/>
  <c r="H692" i="23" s="1"/>
  <c r="F693" i="23"/>
  <c r="H693" i="23" s="1"/>
  <c r="F694" i="23"/>
  <c r="H694" i="23" s="1"/>
  <c r="F695" i="23"/>
  <c r="H695" i="23" s="1"/>
  <c r="F696" i="23"/>
  <c r="H696" i="23" s="1"/>
  <c r="F697" i="23"/>
  <c r="H697" i="23" s="1"/>
  <c r="F698" i="23"/>
  <c r="H698" i="23" s="1"/>
  <c r="F699" i="23"/>
  <c r="H699" i="23" s="1"/>
  <c r="F700" i="23"/>
  <c r="H700" i="23" s="1"/>
  <c r="F701" i="23"/>
  <c r="H701" i="23" s="1"/>
  <c r="F702" i="23"/>
  <c r="H702" i="23" s="1"/>
  <c r="F703" i="23"/>
  <c r="H703" i="23" s="1"/>
  <c r="F704" i="23"/>
  <c r="H704" i="23" s="1"/>
  <c r="F705" i="23"/>
  <c r="H705" i="23" s="1"/>
  <c r="F706" i="23"/>
  <c r="H706" i="23" s="1"/>
  <c r="F707" i="23"/>
  <c r="H707" i="23" s="1"/>
  <c r="F708" i="23"/>
  <c r="H708" i="23" s="1"/>
  <c r="F709" i="23"/>
  <c r="H709" i="23" s="1"/>
  <c r="F710" i="23"/>
  <c r="H710" i="23" s="1"/>
  <c r="F711" i="23"/>
  <c r="H711" i="23" s="1"/>
  <c r="F712" i="23"/>
  <c r="H712" i="23" s="1"/>
  <c r="F713" i="23"/>
  <c r="H713" i="23" s="1"/>
  <c r="F714" i="23"/>
  <c r="H714" i="23" s="1"/>
  <c r="F715" i="23"/>
  <c r="H715" i="23" s="1"/>
  <c r="F716" i="23"/>
  <c r="H716" i="23" s="1"/>
  <c r="F717" i="23"/>
  <c r="H717" i="23" s="1"/>
  <c r="F718" i="23"/>
  <c r="H718" i="23" s="1"/>
  <c r="F719" i="23"/>
  <c r="H719" i="23" s="1"/>
  <c r="F720" i="23"/>
  <c r="H720" i="23" s="1"/>
  <c r="F721" i="23"/>
  <c r="H721" i="23" s="1"/>
  <c r="F722" i="23"/>
  <c r="H722" i="23" s="1"/>
  <c r="F723" i="23"/>
  <c r="H723" i="23" s="1"/>
  <c r="F724" i="23"/>
  <c r="H724" i="23" s="1"/>
  <c r="F725" i="23"/>
  <c r="H725" i="23" s="1"/>
  <c r="F726" i="23"/>
  <c r="H726" i="23" s="1"/>
  <c r="F727" i="23"/>
  <c r="H727" i="23" s="1"/>
  <c r="F728" i="23"/>
  <c r="H728" i="23" s="1"/>
  <c r="F729" i="23"/>
  <c r="H729" i="23" s="1"/>
  <c r="F730" i="23"/>
  <c r="H730" i="23" s="1"/>
  <c r="F731" i="23"/>
  <c r="H731" i="23" s="1"/>
  <c r="F732" i="23"/>
  <c r="H732" i="23" s="1"/>
  <c r="F733" i="23"/>
  <c r="H733" i="23" s="1"/>
  <c r="F734" i="23"/>
  <c r="H734" i="23" s="1"/>
  <c r="F735" i="23"/>
  <c r="H735" i="23" s="1"/>
  <c r="F736" i="23"/>
  <c r="H736" i="23" s="1"/>
  <c r="F737" i="23"/>
  <c r="H737" i="23" s="1"/>
  <c r="F738" i="23"/>
  <c r="H738" i="23" s="1"/>
  <c r="F739" i="23"/>
  <c r="H739" i="23" s="1"/>
  <c r="F740" i="23"/>
  <c r="H740" i="23" s="1"/>
  <c r="F741" i="23"/>
  <c r="H741" i="23" s="1"/>
  <c r="F742" i="23"/>
  <c r="H742" i="23" s="1"/>
  <c r="F743" i="23"/>
  <c r="H743" i="23" s="1"/>
  <c r="F744" i="23"/>
  <c r="H744" i="23" s="1"/>
  <c r="F745" i="23"/>
  <c r="H745" i="23" s="1"/>
  <c r="F746" i="23"/>
  <c r="H746" i="23" s="1"/>
  <c r="F747" i="23"/>
  <c r="H747" i="23" s="1"/>
  <c r="F748" i="23"/>
  <c r="H748" i="23" s="1"/>
  <c r="F749" i="23"/>
  <c r="H749" i="23" s="1"/>
  <c r="F750" i="23"/>
  <c r="H750" i="23" s="1"/>
  <c r="F751" i="23"/>
  <c r="H751" i="23" s="1"/>
  <c r="F752" i="23"/>
  <c r="H752" i="23" s="1"/>
  <c r="F753" i="23"/>
  <c r="H753" i="23" s="1"/>
  <c r="F754" i="23"/>
  <c r="H754" i="23" s="1"/>
  <c r="F755" i="23"/>
  <c r="H755" i="23"/>
  <c r="F756" i="23"/>
  <c r="H756" i="23"/>
  <c r="F757" i="23"/>
  <c r="H757" i="23"/>
  <c r="F758" i="23"/>
  <c r="H758" i="23"/>
  <c r="F759" i="23"/>
  <c r="H759" i="23" s="1"/>
  <c r="F760" i="23"/>
  <c r="H760" i="23" s="1"/>
  <c r="F761" i="23"/>
  <c r="H761" i="23" s="1"/>
  <c r="F762" i="23"/>
  <c r="H762" i="23" s="1"/>
  <c r="F763" i="23"/>
  <c r="H763" i="23" s="1"/>
  <c r="F764" i="23"/>
  <c r="H764" i="23" s="1"/>
  <c r="F765" i="23"/>
  <c r="H765" i="23" s="1"/>
  <c r="F766" i="23"/>
  <c r="H766" i="23" s="1"/>
  <c r="F767" i="23"/>
  <c r="H767" i="23" s="1"/>
  <c r="F768" i="23"/>
  <c r="H768" i="23" s="1"/>
  <c r="F769" i="23"/>
  <c r="H769" i="23" s="1"/>
  <c r="F770" i="23"/>
  <c r="H770" i="23" s="1"/>
  <c r="F771" i="23"/>
  <c r="H771" i="23" s="1"/>
  <c r="F772" i="23"/>
  <c r="H772" i="23" s="1"/>
  <c r="F773" i="23"/>
  <c r="H773" i="23" s="1"/>
  <c r="F774" i="23"/>
  <c r="H774" i="23" s="1"/>
  <c r="F775" i="23"/>
  <c r="H775" i="23" s="1"/>
  <c r="F776" i="23"/>
  <c r="H776" i="23" s="1"/>
  <c r="F777" i="23"/>
  <c r="H777" i="23" s="1"/>
  <c r="F778" i="23"/>
  <c r="H778" i="23" s="1"/>
  <c r="F779" i="23"/>
  <c r="H779" i="23" s="1"/>
  <c r="F780" i="23"/>
  <c r="H780" i="23" s="1"/>
  <c r="F781" i="23"/>
  <c r="H781" i="23" s="1"/>
  <c r="F782" i="23"/>
  <c r="H782" i="23" s="1"/>
  <c r="F783" i="23"/>
  <c r="H783" i="23" s="1"/>
  <c r="F784" i="23"/>
  <c r="H784" i="23" s="1"/>
  <c r="F785" i="23"/>
  <c r="H785" i="23" s="1"/>
  <c r="F786" i="23"/>
  <c r="H786" i="23" s="1"/>
  <c r="F787" i="23"/>
  <c r="H787" i="23" s="1"/>
  <c r="F788" i="23"/>
  <c r="H788" i="23" s="1"/>
  <c r="F789" i="23"/>
  <c r="H789" i="23" s="1"/>
  <c r="F790" i="23"/>
  <c r="H790" i="23" s="1"/>
  <c r="F791" i="23"/>
  <c r="H791" i="23" s="1"/>
  <c r="F792" i="23"/>
  <c r="H792" i="23" s="1"/>
  <c r="F793" i="23"/>
  <c r="H793" i="23" s="1"/>
  <c r="F794" i="23"/>
  <c r="H794" i="23" s="1"/>
  <c r="F795" i="23"/>
  <c r="H795" i="23" s="1"/>
  <c r="F796" i="23"/>
  <c r="H796" i="23" s="1"/>
  <c r="F797" i="23"/>
  <c r="H797" i="23" s="1"/>
  <c r="F798" i="23"/>
  <c r="H798" i="23" s="1"/>
  <c r="F799" i="23"/>
  <c r="H799" i="23" s="1"/>
  <c r="F800" i="23"/>
  <c r="H800" i="23" s="1"/>
  <c r="F801" i="23"/>
  <c r="H801" i="23" s="1"/>
  <c r="F802" i="23"/>
  <c r="H802" i="23" s="1"/>
  <c r="F803" i="23"/>
  <c r="H803" i="23" s="1"/>
  <c r="F804" i="23"/>
  <c r="H804" i="23" s="1"/>
  <c r="F805" i="23"/>
  <c r="H805" i="23" s="1"/>
  <c r="F806" i="23"/>
  <c r="H806" i="23" s="1"/>
  <c r="F807" i="23"/>
  <c r="H807" i="23" s="1"/>
  <c r="F808" i="23"/>
  <c r="H808" i="23" s="1"/>
  <c r="F809" i="23"/>
  <c r="H809" i="23" s="1"/>
  <c r="F810" i="23"/>
  <c r="H810" i="23" s="1"/>
  <c r="F811" i="23"/>
  <c r="H811" i="23" s="1"/>
  <c r="F812" i="23"/>
  <c r="H812" i="23" s="1"/>
  <c r="F813" i="23"/>
  <c r="H813" i="23" s="1"/>
  <c r="F814" i="23"/>
  <c r="H814" i="23" s="1"/>
  <c r="F815" i="23"/>
  <c r="H815" i="23" s="1"/>
  <c r="F816" i="23"/>
  <c r="H816" i="23" s="1"/>
  <c r="F817" i="23"/>
  <c r="H817" i="23" s="1"/>
  <c r="F818" i="23"/>
  <c r="H818" i="23" s="1"/>
  <c r="F819" i="23"/>
  <c r="H819" i="23" s="1"/>
  <c r="F820" i="23"/>
  <c r="H820" i="23" s="1"/>
  <c r="F821" i="23"/>
  <c r="H821" i="23" s="1"/>
  <c r="F822" i="23"/>
  <c r="H822" i="23" s="1"/>
  <c r="F823" i="23"/>
  <c r="H823" i="23" s="1"/>
  <c r="F824" i="23"/>
  <c r="H824" i="23" s="1"/>
  <c r="F825" i="23"/>
  <c r="H825" i="23" s="1"/>
  <c r="F826" i="23"/>
  <c r="H826" i="23" s="1"/>
  <c r="F827" i="23"/>
  <c r="H827" i="23" s="1"/>
  <c r="F828" i="23"/>
  <c r="H828" i="23" s="1"/>
  <c r="F829" i="23"/>
  <c r="H829" i="23" s="1"/>
  <c r="F830" i="23"/>
  <c r="H830" i="23" s="1"/>
  <c r="F831" i="23"/>
  <c r="H831" i="23" s="1"/>
  <c r="F832" i="23"/>
  <c r="H832" i="23" s="1"/>
  <c r="F833" i="23"/>
  <c r="H833" i="23" s="1"/>
  <c r="F834" i="23"/>
  <c r="H834" i="23" s="1"/>
  <c r="F835" i="23"/>
  <c r="H835" i="23" s="1"/>
  <c r="F836" i="23"/>
  <c r="H836" i="23" s="1"/>
  <c r="F837" i="23"/>
  <c r="H837" i="23" s="1"/>
  <c r="F838" i="23"/>
  <c r="H838" i="23" s="1"/>
  <c r="F839" i="23"/>
  <c r="H839" i="23" s="1"/>
  <c r="F840" i="23"/>
  <c r="H840" i="23" s="1"/>
  <c r="F841" i="23"/>
  <c r="H841" i="23" s="1"/>
  <c r="F842" i="23"/>
  <c r="H842" i="23" s="1"/>
  <c r="F843" i="23"/>
  <c r="H843" i="23" s="1"/>
  <c r="F844" i="23"/>
  <c r="H844" i="23" s="1"/>
  <c r="F845" i="23"/>
  <c r="H845" i="23" s="1"/>
  <c r="F846" i="23"/>
  <c r="H846" i="23" s="1"/>
  <c r="F847" i="23"/>
  <c r="H847" i="23" s="1"/>
  <c r="F848" i="23"/>
  <c r="H848" i="23" s="1"/>
  <c r="F849" i="23"/>
  <c r="H849" i="23" s="1"/>
  <c r="F850" i="23"/>
  <c r="H850" i="23" s="1"/>
  <c r="F851" i="23"/>
  <c r="H851" i="23" s="1"/>
  <c r="F852" i="23"/>
  <c r="H852" i="23" s="1"/>
  <c r="F853" i="23"/>
  <c r="H853" i="23" s="1"/>
  <c r="F854" i="23"/>
  <c r="H854" i="23" s="1"/>
  <c r="F855" i="23"/>
  <c r="H855" i="23" s="1"/>
  <c r="F856" i="23"/>
  <c r="H856" i="23" s="1"/>
  <c r="F857" i="23"/>
  <c r="H857" i="23" s="1"/>
  <c r="F858" i="23"/>
  <c r="H858" i="23" s="1"/>
  <c r="F859" i="23"/>
  <c r="H859" i="23" s="1"/>
  <c r="F860" i="23"/>
  <c r="H860" i="23" s="1"/>
  <c r="F861" i="23"/>
  <c r="H861" i="23" s="1"/>
  <c r="F862" i="23"/>
  <c r="H862" i="23" s="1"/>
  <c r="F863" i="23"/>
  <c r="H863" i="23" s="1"/>
  <c r="F864" i="23"/>
  <c r="H864" i="23" s="1"/>
  <c r="F865" i="23"/>
  <c r="H865" i="23" s="1"/>
  <c r="F866" i="23"/>
  <c r="H866" i="23" s="1"/>
  <c r="F867" i="23"/>
  <c r="H867" i="23" s="1"/>
  <c r="F868" i="23"/>
  <c r="H868" i="23" s="1"/>
  <c r="F869" i="23"/>
  <c r="H869" i="23" s="1"/>
  <c r="F870" i="23"/>
  <c r="H870" i="23" s="1"/>
  <c r="F871" i="23"/>
  <c r="H871" i="23" s="1"/>
  <c r="F872" i="23"/>
  <c r="H872" i="23" s="1"/>
  <c r="F873" i="23"/>
  <c r="H873" i="23" s="1"/>
  <c r="F874" i="23"/>
  <c r="H874" i="23" s="1"/>
  <c r="F875" i="23"/>
  <c r="H875" i="23" s="1"/>
  <c r="F876" i="23"/>
  <c r="H876" i="23" s="1"/>
  <c r="F877" i="23"/>
  <c r="H877" i="23" s="1"/>
  <c r="F878" i="23"/>
  <c r="H878" i="23" s="1"/>
  <c r="F879" i="23"/>
  <c r="H879" i="23" s="1"/>
  <c r="F880" i="23"/>
  <c r="H880" i="23" s="1"/>
  <c r="F881" i="23"/>
  <c r="H881" i="23" s="1"/>
  <c r="F882" i="23"/>
  <c r="H882" i="23" s="1"/>
  <c r="F883" i="23"/>
  <c r="H883" i="23" s="1"/>
  <c r="F884" i="23"/>
  <c r="H884" i="23" s="1"/>
  <c r="F885" i="23"/>
  <c r="H885" i="23" s="1"/>
  <c r="F886" i="23"/>
  <c r="H886" i="23" s="1"/>
  <c r="F887" i="23"/>
  <c r="H887" i="23" s="1"/>
  <c r="F888" i="23"/>
  <c r="H888" i="23" s="1"/>
  <c r="F889" i="23"/>
  <c r="H889" i="23" s="1"/>
  <c r="F890" i="23"/>
  <c r="H890" i="23" s="1"/>
  <c r="F891" i="23"/>
  <c r="H891" i="23" s="1"/>
  <c r="F892" i="23"/>
  <c r="H892" i="23" s="1"/>
  <c r="F893" i="23"/>
  <c r="H893" i="23" s="1"/>
  <c r="F894" i="23"/>
  <c r="H894" i="23" s="1"/>
  <c r="F895" i="23"/>
  <c r="H895" i="23" s="1"/>
  <c r="F896" i="23"/>
  <c r="H896" i="23" s="1"/>
  <c r="F897" i="23"/>
  <c r="H897" i="23" s="1"/>
  <c r="F898" i="23"/>
  <c r="H898" i="23" s="1"/>
  <c r="F899" i="23"/>
  <c r="H899" i="23" s="1"/>
  <c r="F900" i="23"/>
  <c r="H900" i="23" s="1"/>
  <c r="F901" i="23"/>
  <c r="H901" i="23" s="1"/>
  <c r="F902" i="23"/>
  <c r="H902" i="23" s="1"/>
  <c r="F903" i="23"/>
  <c r="H903" i="23" s="1"/>
  <c r="F904" i="23"/>
  <c r="H904" i="23" s="1"/>
  <c r="F905" i="23"/>
  <c r="H905" i="23" s="1"/>
  <c r="F906" i="23"/>
  <c r="H906" i="23" s="1"/>
  <c r="F907" i="23"/>
  <c r="H907" i="23" s="1"/>
  <c r="F908" i="23"/>
  <c r="H908" i="23" s="1"/>
  <c r="F909" i="23"/>
  <c r="H909" i="23" s="1"/>
  <c r="F910" i="23"/>
  <c r="H910" i="23" s="1"/>
  <c r="F911" i="23"/>
  <c r="H911" i="23" s="1"/>
  <c r="F912" i="23"/>
  <c r="H912" i="23" s="1"/>
  <c r="F913" i="23"/>
  <c r="H913" i="23" s="1"/>
  <c r="F914" i="23"/>
  <c r="H914" i="23" s="1"/>
  <c r="F915" i="23"/>
  <c r="H915" i="23" s="1"/>
  <c r="F916" i="23"/>
  <c r="H916" i="23" s="1"/>
  <c r="F917" i="23"/>
  <c r="H917" i="23" s="1"/>
  <c r="F918" i="23"/>
  <c r="H918" i="23" s="1"/>
  <c r="F919" i="23"/>
  <c r="H919" i="23" s="1"/>
  <c r="F920" i="23"/>
  <c r="H920" i="23" s="1"/>
  <c r="F921" i="23"/>
  <c r="H921" i="23" s="1"/>
  <c r="F922" i="23"/>
  <c r="H922" i="23"/>
  <c r="F923" i="23"/>
  <c r="H923" i="23"/>
  <c r="F924" i="23"/>
  <c r="H924" i="23" s="1"/>
  <c r="F925" i="23"/>
  <c r="H925" i="23" s="1"/>
  <c r="F926" i="23"/>
  <c r="H926" i="23" s="1"/>
  <c r="F927" i="23"/>
  <c r="H927" i="23" s="1"/>
  <c r="F928" i="23"/>
  <c r="H928" i="23" s="1"/>
  <c r="F929" i="23"/>
  <c r="H929" i="23" s="1"/>
  <c r="F930" i="23"/>
  <c r="H930" i="23" s="1"/>
  <c r="F931" i="23"/>
  <c r="H931" i="23" s="1"/>
  <c r="F932" i="23"/>
  <c r="H932" i="23" s="1"/>
  <c r="F933" i="23"/>
  <c r="H933" i="23" s="1"/>
  <c r="F934" i="23"/>
  <c r="H934" i="23" s="1"/>
  <c r="F935" i="23"/>
  <c r="H935" i="23" s="1"/>
  <c r="F936" i="23"/>
  <c r="H936" i="23"/>
  <c r="F937" i="23"/>
  <c r="H937" i="23"/>
  <c r="F938" i="23"/>
  <c r="H938" i="23" s="1"/>
  <c r="F939" i="23"/>
  <c r="H939" i="23" s="1"/>
  <c r="F940" i="23"/>
  <c r="H940" i="23" s="1"/>
  <c r="F941" i="23"/>
  <c r="H941" i="23" s="1"/>
  <c r="F942" i="23"/>
  <c r="H942" i="23"/>
  <c r="F943" i="23"/>
  <c r="H943" i="23"/>
  <c r="F944" i="23"/>
  <c r="H944" i="23" s="1"/>
  <c r="F945" i="23"/>
  <c r="H945" i="23" s="1"/>
  <c r="F946" i="23"/>
  <c r="H946" i="23"/>
  <c r="F947" i="23"/>
  <c r="H947" i="23" s="1"/>
  <c r="F948" i="23"/>
  <c r="H948" i="23" s="1"/>
  <c r="F949" i="23"/>
  <c r="H949" i="23"/>
  <c r="F950" i="23"/>
  <c r="H950" i="23" s="1"/>
  <c r="F951" i="23"/>
  <c r="H951" i="23" s="1"/>
  <c r="F952" i="23"/>
  <c r="H952" i="23" s="1"/>
  <c r="F953" i="23"/>
  <c r="H953" i="23" s="1"/>
  <c r="F954" i="23"/>
  <c r="H954" i="23" s="1"/>
  <c r="F955" i="23"/>
  <c r="H955" i="23" s="1"/>
  <c r="F956" i="23"/>
  <c r="H956" i="23" s="1"/>
  <c r="F957" i="23"/>
  <c r="H957" i="23"/>
  <c r="F958" i="23"/>
  <c r="H958" i="23"/>
  <c r="F959" i="23"/>
  <c r="H959" i="23"/>
  <c r="F960" i="23"/>
  <c r="H960" i="23"/>
  <c r="F961" i="23"/>
  <c r="H961" i="23"/>
  <c r="F962" i="23"/>
  <c r="H962" i="23" s="1"/>
  <c r="F963" i="23"/>
  <c r="H963" i="23" s="1"/>
  <c r="F964" i="23"/>
  <c r="H964" i="23" s="1"/>
  <c r="F965" i="23"/>
  <c r="H965" i="23" s="1"/>
  <c r="F966" i="23"/>
  <c r="H966" i="23" s="1"/>
  <c r="F967" i="23"/>
  <c r="H967" i="23" s="1"/>
  <c r="F968" i="23"/>
  <c r="H968" i="23" s="1"/>
  <c r="F969" i="23"/>
  <c r="H969" i="23" s="1"/>
  <c r="F970" i="23"/>
  <c r="H970" i="23" s="1"/>
  <c r="F971" i="23"/>
  <c r="H971" i="23" s="1"/>
  <c r="F972" i="23"/>
  <c r="H972" i="23" s="1"/>
  <c r="F973" i="23"/>
  <c r="H973" i="23" s="1"/>
  <c r="F974" i="23"/>
  <c r="H974" i="23" s="1"/>
  <c r="F975" i="23"/>
  <c r="H975" i="23" s="1"/>
  <c r="F976" i="23"/>
  <c r="H976" i="23" s="1"/>
  <c r="F977" i="23"/>
  <c r="H977" i="23" s="1"/>
  <c r="F978" i="23"/>
  <c r="H978" i="23" s="1"/>
  <c r="F979" i="23"/>
  <c r="H979" i="23" s="1"/>
  <c r="F980" i="23"/>
  <c r="H980" i="23" s="1"/>
  <c r="F981" i="23"/>
  <c r="H981" i="23" s="1"/>
  <c r="F982" i="23"/>
  <c r="H982" i="23" s="1"/>
  <c r="F983" i="23"/>
  <c r="H983" i="23" s="1"/>
  <c r="F984" i="23"/>
  <c r="H984" i="23" s="1"/>
  <c r="F985" i="23"/>
  <c r="H985" i="23" s="1"/>
  <c r="F986" i="23"/>
  <c r="H986" i="23" s="1"/>
  <c r="F987" i="23"/>
  <c r="H987" i="23" s="1"/>
  <c r="F988" i="23"/>
  <c r="H988" i="23" s="1"/>
  <c r="F989" i="23"/>
  <c r="H989" i="23" s="1"/>
  <c r="F990" i="23"/>
  <c r="H990" i="23" s="1"/>
  <c r="F991" i="23"/>
  <c r="H991" i="23" s="1"/>
  <c r="F992" i="23"/>
  <c r="H992" i="23" s="1"/>
  <c r="F993" i="23"/>
  <c r="H993" i="23" s="1"/>
  <c r="F994" i="23"/>
  <c r="H994" i="23" s="1"/>
  <c r="F995" i="23"/>
  <c r="H995" i="23" s="1"/>
  <c r="F996" i="23"/>
  <c r="H996" i="23" s="1"/>
  <c r="F997" i="23"/>
  <c r="H997" i="23" s="1"/>
  <c r="F998" i="23"/>
  <c r="H998" i="23" s="1"/>
  <c r="F999" i="23"/>
  <c r="H999" i="23" s="1"/>
  <c r="F1000" i="23"/>
  <c r="H1000" i="23" s="1"/>
  <c r="F1001" i="23"/>
  <c r="H1001" i="23" s="1"/>
  <c r="F1002" i="23"/>
  <c r="H1002" i="23" s="1"/>
  <c r="F1003" i="23"/>
  <c r="H1003" i="23" s="1"/>
  <c r="F1004" i="23"/>
  <c r="H1004" i="23" s="1"/>
  <c r="F1005" i="23"/>
  <c r="H1005" i="23" s="1"/>
  <c r="F1006" i="23"/>
  <c r="H1006" i="23" s="1"/>
  <c r="F1007" i="23"/>
  <c r="H1007" i="23" s="1"/>
  <c r="F1008" i="23"/>
  <c r="H1008" i="23" s="1"/>
  <c r="F1009" i="23"/>
  <c r="H1009" i="23" s="1"/>
  <c r="F1010" i="23"/>
  <c r="H1010" i="23" s="1"/>
  <c r="F1011" i="23"/>
  <c r="H1011" i="23" s="1"/>
  <c r="F1012" i="23"/>
  <c r="H1012" i="23" s="1"/>
  <c r="F1013" i="23"/>
  <c r="H1013" i="23" s="1"/>
  <c r="F1014" i="23"/>
  <c r="H1014" i="23" s="1"/>
  <c r="F1015" i="23"/>
  <c r="H1015" i="23" s="1"/>
  <c r="F1016" i="23"/>
  <c r="H1016" i="23" s="1"/>
  <c r="F1017" i="23"/>
  <c r="H1017" i="23" s="1"/>
  <c r="F1018" i="23"/>
  <c r="H1018" i="23" s="1"/>
  <c r="F1019" i="23"/>
  <c r="H1019" i="23" s="1"/>
  <c r="F1020" i="23"/>
  <c r="H1020" i="23" s="1"/>
  <c r="F1021" i="23"/>
  <c r="H1021" i="23" s="1"/>
  <c r="F1022" i="23"/>
  <c r="H1022" i="23" s="1"/>
  <c r="F1023" i="23"/>
  <c r="H1023" i="23" s="1"/>
  <c r="F1024" i="23"/>
  <c r="H1024" i="23" s="1"/>
  <c r="F1025" i="23"/>
  <c r="H1025" i="23" s="1"/>
  <c r="F1026" i="23"/>
  <c r="H1026" i="23" s="1"/>
  <c r="F1027" i="23"/>
  <c r="H1027" i="23" s="1"/>
  <c r="F1028" i="23"/>
  <c r="H1028" i="23" s="1"/>
  <c r="F1029" i="23"/>
  <c r="H1029" i="23" s="1"/>
  <c r="F1030" i="23"/>
  <c r="H1030" i="23" s="1"/>
  <c r="F1031" i="23"/>
  <c r="H1031" i="23" s="1"/>
  <c r="F1032" i="23"/>
  <c r="H1032" i="23" s="1"/>
  <c r="F1033" i="23"/>
  <c r="H1033" i="23" s="1"/>
  <c r="F1034" i="23"/>
  <c r="H1034" i="23" s="1"/>
  <c r="F1035" i="23"/>
  <c r="H1035" i="23" s="1"/>
  <c r="F1036" i="23"/>
  <c r="H1036" i="23" s="1"/>
  <c r="F1037" i="23"/>
  <c r="H1037" i="23" s="1"/>
  <c r="F1038" i="23"/>
  <c r="H1038" i="23" s="1"/>
  <c r="F1039" i="23"/>
  <c r="H1039" i="23" s="1"/>
  <c r="F1040" i="23"/>
  <c r="H1040" i="23" s="1"/>
  <c r="F1041" i="23"/>
  <c r="H1041" i="23" s="1"/>
  <c r="F1042" i="23"/>
  <c r="H1042" i="23" s="1"/>
  <c r="F1043" i="23"/>
  <c r="H1043" i="23" s="1"/>
  <c r="F1044" i="23"/>
  <c r="H1044" i="23" s="1"/>
  <c r="F1045" i="23"/>
  <c r="H1045" i="23" s="1"/>
  <c r="F1046" i="23"/>
  <c r="H1046" i="23" s="1"/>
  <c r="F1047" i="23"/>
  <c r="H1047" i="23" s="1"/>
  <c r="F1048" i="23"/>
  <c r="H1048" i="23" s="1"/>
  <c r="F1049" i="23"/>
  <c r="H1049" i="23" s="1"/>
  <c r="F1050" i="23"/>
  <c r="H1050" i="23" s="1"/>
  <c r="F1051" i="23"/>
  <c r="H1051" i="23" s="1"/>
  <c r="F1052" i="23"/>
  <c r="H1052" i="23" s="1"/>
  <c r="F1053" i="23"/>
  <c r="H1053" i="23" s="1"/>
  <c r="F1054" i="23"/>
  <c r="H1054" i="23" s="1"/>
  <c r="F1055" i="23"/>
  <c r="H1055" i="23" s="1"/>
  <c r="F1056" i="23"/>
  <c r="H1056" i="23" s="1"/>
  <c r="F1057" i="23"/>
  <c r="H1057" i="23" s="1"/>
  <c r="F1058" i="23"/>
  <c r="H1058" i="23" s="1"/>
  <c r="F1059" i="23"/>
  <c r="H1059" i="23" s="1"/>
  <c r="F1060" i="23"/>
  <c r="H1060" i="23" s="1"/>
  <c r="F1061" i="23"/>
  <c r="H1061" i="23" s="1"/>
  <c r="F1062" i="23"/>
  <c r="H1062" i="23" s="1"/>
  <c r="F1063" i="23"/>
  <c r="H1063" i="23" s="1"/>
  <c r="F1064" i="23"/>
  <c r="H1064" i="23" s="1"/>
  <c r="F1065" i="23"/>
  <c r="H1065" i="23" s="1"/>
  <c r="F1066" i="23"/>
  <c r="H1066" i="23" s="1"/>
  <c r="F1067" i="23"/>
  <c r="H1067" i="23" s="1"/>
  <c r="F1068" i="23"/>
  <c r="H1068" i="23" s="1"/>
  <c r="F1069" i="23"/>
  <c r="H1069" i="23" s="1"/>
  <c r="F1070" i="23"/>
  <c r="H1070" i="23" s="1"/>
  <c r="F1071" i="23"/>
  <c r="H1071" i="23" s="1"/>
  <c r="F1072" i="23"/>
  <c r="H1072" i="23" s="1"/>
  <c r="F1073" i="23"/>
  <c r="H1073" i="23" s="1"/>
  <c r="F1074" i="23"/>
  <c r="H1074" i="23" s="1"/>
  <c r="F1075" i="23"/>
  <c r="H1075" i="23" s="1"/>
  <c r="F1076" i="23"/>
  <c r="H1076" i="23" s="1"/>
  <c r="F1077" i="23"/>
  <c r="H1077" i="23" s="1"/>
  <c r="F1078" i="23"/>
  <c r="H1078" i="23" s="1"/>
  <c r="F1079" i="23"/>
  <c r="H1079" i="23" s="1"/>
  <c r="F1080" i="23"/>
  <c r="H1080" i="23" s="1"/>
  <c r="F1081" i="23"/>
  <c r="H1081" i="23" s="1"/>
  <c r="F1082" i="23"/>
  <c r="H1082" i="23" s="1"/>
  <c r="F1083" i="23"/>
  <c r="H1083" i="23" s="1"/>
  <c r="F1084" i="23"/>
  <c r="H1084" i="23" s="1"/>
  <c r="F1085" i="23"/>
  <c r="H1085" i="23" s="1"/>
  <c r="F1086" i="23"/>
  <c r="H1086" i="23" s="1"/>
  <c r="F1087" i="23"/>
  <c r="H1087" i="23" s="1"/>
  <c r="F1088" i="23"/>
  <c r="H1088" i="23" s="1"/>
  <c r="F1089" i="23"/>
  <c r="H1089" i="23" s="1"/>
  <c r="F1090" i="23"/>
  <c r="H1090" i="23" s="1"/>
  <c r="F1091" i="23"/>
  <c r="H1091" i="23" s="1"/>
  <c r="F1092" i="23"/>
  <c r="H1092" i="23" s="1"/>
  <c r="F1093" i="23"/>
  <c r="H1093" i="23" s="1"/>
  <c r="F1094" i="23"/>
  <c r="H1094" i="23" s="1"/>
  <c r="F1095" i="23"/>
  <c r="H1095" i="23" s="1"/>
  <c r="F1096" i="23"/>
  <c r="H1096" i="23" s="1"/>
  <c r="F1097" i="23"/>
  <c r="H1097" i="23" s="1"/>
  <c r="F1098" i="23"/>
  <c r="H1098" i="23" s="1"/>
  <c r="F1099" i="23"/>
  <c r="H1099" i="23" s="1"/>
  <c r="F1100" i="23"/>
  <c r="H1100" i="23" s="1"/>
  <c r="F1101" i="23"/>
  <c r="H1101" i="23" s="1"/>
  <c r="F1102" i="23"/>
  <c r="H1102" i="23" s="1"/>
  <c r="F1103" i="23"/>
  <c r="H1103" i="23" s="1"/>
  <c r="F1104" i="23"/>
  <c r="H1104" i="23" s="1"/>
  <c r="F1105" i="23"/>
  <c r="H1105" i="23" s="1"/>
  <c r="F1106" i="23"/>
  <c r="H1106" i="23" s="1"/>
  <c r="F1107" i="23"/>
  <c r="H1107" i="23" s="1"/>
  <c r="F1108" i="23"/>
  <c r="H1108" i="23" s="1"/>
  <c r="F1109" i="23"/>
  <c r="H1109" i="23" s="1"/>
  <c r="F1110" i="23"/>
  <c r="H1110" i="23" s="1"/>
  <c r="F1111" i="23"/>
  <c r="H1111" i="23" s="1"/>
  <c r="F1112" i="23"/>
  <c r="H1112" i="23" s="1"/>
  <c r="F1113" i="23"/>
  <c r="H1113" i="23" s="1"/>
  <c r="F1114" i="23"/>
  <c r="H1114" i="23" s="1"/>
  <c r="F1115" i="23"/>
  <c r="H1115" i="23" s="1"/>
  <c r="F1116" i="23"/>
  <c r="H1116" i="23" s="1"/>
  <c r="F1117" i="23"/>
  <c r="H1117" i="23" s="1"/>
  <c r="F1118" i="23"/>
  <c r="H1118" i="23" s="1"/>
  <c r="F1119" i="23"/>
  <c r="H1119" i="23" s="1"/>
  <c r="F1120" i="23"/>
  <c r="H1120" i="23" s="1"/>
  <c r="F1121" i="23"/>
  <c r="H1121" i="23" s="1"/>
  <c r="F1122" i="23"/>
  <c r="H1122" i="23" s="1"/>
  <c r="F1123" i="23"/>
  <c r="H1123" i="23" s="1"/>
  <c r="F1124" i="23"/>
  <c r="H1124" i="23" s="1"/>
  <c r="F1125" i="23"/>
  <c r="H1125" i="23" s="1"/>
  <c r="F1126" i="23"/>
  <c r="H1126" i="23" s="1"/>
  <c r="F1127" i="23"/>
  <c r="H1127" i="23"/>
  <c r="F1128" i="23"/>
  <c r="H1128" i="23" s="1"/>
  <c r="F1129" i="23"/>
  <c r="H1129" i="23" s="1"/>
  <c r="F1130" i="23"/>
  <c r="H1130" i="23" s="1"/>
  <c r="F1131" i="23"/>
  <c r="H1131" i="23" s="1"/>
  <c r="F1132" i="23"/>
  <c r="H1132" i="23" s="1"/>
  <c r="F1133" i="23"/>
  <c r="H1133" i="23" s="1"/>
  <c r="F1134" i="23"/>
  <c r="H1134" i="23" s="1"/>
  <c r="F1135" i="23"/>
  <c r="H1135" i="23" s="1"/>
  <c r="F1136" i="23"/>
  <c r="H1136" i="23" s="1"/>
  <c r="F1137" i="23"/>
  <c r="H1137" i="23" s="1"/>
  <c r="F1138" i="23"/>
  <c r="H1138" i="23" s="1"/>
  <c r="F1139" i="23"/>
  <c r="H1139" i="23" s="1"/>
  <c r="F1140" i="23"/>
  <c r="H1140" i="23" s="1"/>
  <c r="F1141" i="23"/>
  <c r="H1141" i="23" s="1"/>
  <c r="F1142" i="23"/>
  <c r="H1142" i="23" s="1"/>
  <c r="F1143" i="23"/>
  <c r="H1143" i="23" s="1"/>
  <c r="F1144" i="23"/>
  <c r="H1144" i="23" s="1"/>
  <c r="F1145" i="23"/>
  <c r="H1145" i="23" s="1"/>
  <c r="F1146" i="23"/>
  <c r="H1146" i="23" s="1"/>
  <c r="F1147" i="23"/>
  <c r="H1147" i="23" s="1"/>
  <c r="F1148" i="23"/>
  <c r="H1148" i="23" s="1"/>
  <c r="F1149" i="23"/>
  <c r="H1149" i="23" s="1"/>
  <c r="F1150" i="23"/>
  <c r="H1150" i="23" s="1"/>
  <c r="F1151" i="23"/>
  <c r="H1151" i="23" s="1"/>
  <c r="F1152" i="23"/>
  <c r="H1152" i="23"/>
  <c r="F1153" i="23"/>
  <c r="H1153" i="23" s="1"/>
  <c r="F1154" i="23"/>
  <c r="H1154" i="23" s="1"/>
  <c r="F1155" i="23"/>
  <c r="H1155" i="23" s="1"/>
  <c r="F1156" i="23"/>
  <c r="H1156" i="23" s="1"/>
  <c r="F1157" i="23"/>
  <c r="H1157" i="23" s="1"/>
  <c r="F1158" i="23"/>
  <c r="H1158" i="23" s="1"/>
  <c r="F1159" i="23"/>
  <c r="H1159" i="23"/>
  <c r="F1160" i="23"/>
  <c r="H1160" i="23"/>
  <c r="F1161" i="23"/>
  <c r="H1161" i="23"/>
  <c r="F1162" i="23"/>
  <c r="H1162" i="23"/>
  <c r="F1163" i="23"/>
  <c r="H1163" i="23" s="1"/>
  <c r="F1164" i="23"/>
  <c r="H1164" i="23" s="1"/>
  <c r="F1165" i="23"/>
  <c r="H1165" i="23" s="1"/>
  <c r="F1166" i="23"/>
  <c r="H1166" i="23" s="1"/>
  <c r="F1167" i="23"/>
  <c r="H1167" i="23" s="1"/>
  <c r="F1168" i="23"/>
  <c r="H1168" i="23" s="1"/>
  <c r="F1169" i="23"/>
  <c r="H1169" i="23" s="1"/>
  <c r="F1170" i="23"/>
  <c r="H1170" i="23" s="1"/>
  <c r="F1171" i="23"/>
  <c r="H1171" i="23" s="1"/>
  <c r="F1172" i="23"/>
  <c r="H1172" i="23" s="1"/>
  <c r="F1173" i="23"/>
  <c r="H1173" i="23" s="1"/>
  <c r="F1174" i="23"/>
  <c r="H1174" i="23" s="1"/>
  <c r="F1175" i="23"/>
  <c r="H1175" i="23" s="1"/>
  <c r="F1176" i="23"/>
  <c r="H1176" i="23" s="1"/>
  <c r="F1177" i="23"/>
  <c r="H1177" i="23" s="1"/>
  <c r="F1178" i="23"/>
  <c r="H1178" i="23" s="1"/>
  <c r="F1179" i="23"/>
  <c r="H1179" i="23" s="1"/>
  <c r="F1180" i="23"/>
  <c r="H1180" i="23" s="1"/>
  <c r="F1181" i="23"/>
  <c r="H1181" i="23" s="1"/>
  <c r="F1182" i="23"/>
  <c r="H1182" i="23" s="1"/>
  <c r="F1183" i="23"/>
  <c r="H1183" i="23" s="1"/>
  <c r="F1184" i="23"/>
  <c r="H1184" i="23" s="1"/>
  <c r="F1185" i="23"/>
  <c r="H1185" i="23" s="1"/>
  <c r="F1186" i="23"/>
  <c r="H1186" i="23" s="1"/>
  <c r="F1187" i="23"/>
  <c r="H1187" i="23" s="1"/>
  <c r="F1188" i="23"/>
  <c r="H1188" i="23" s="1"/>
  <c r="F1189" i="23"/>
  <c r="H1189" i="23" s="1"/>
  <c r="F1190" i="23"/>
  <c r="H1190" i="23" s="1"/>
  <c r="F1191" i="23"/>
  <c r="H1191" i="23" s="1"/>
  <c r="F1192" i="23"/>
  <c r="H1192" i="23" s="1"/>
  <c r="F1193" i="23"/>
  <c r="H1193" i="23" s="1"/>
  <c r="F1194" i="23"/>
  <c r="H1194" i="23" s="1"/>
  <c r="F1195" i="23"/>
  <c r="H1195" i="23" s="1"/>
  <c r="F1196" i="23"/>
  <c r="H1196" i="23" s="1"/>
  <c r="F1197" i="23"/>
  <c r="H1197" i="23" s="1"/>
  <c r="F1198" i="23"/>
  <c r="H1198" i="23" s="1"/>
  <c r="F1199" i="23"/>
  <c r="H1199" i="23" s="1"/>
  <c r="F1200" i="23"/>
  <c r="H1200" i="23" s="1"/>
  <c r="F1201" i="23"/>
  <c r="H1201" i="23" s="1"/>
  <c r="F1202" i="23"/>
  <c r="H1202" i="23" s="1"/>
  <c r="F1203" i="23"/>
  <c r="H1203" i="23" s="1"/>
  <c r="F1204" i="23"/>
  <c r="H1204" i="23" s="1"/>
  <c r="F1205" i="23"/>
  <c r="H1205" i="23" s="1"/>
  <c r="F1206" i="23"/>
  <c r="H1206" i="23" s="1"/>
  <c r="F1207" i="23"/>
  <c r="H1207" i="23" s="1"/>
  <c r="F1208" i="23"/>
  <c r="H1208" i="23" s="1"/>
  <c r="F1209" i="23"/>
  <c r="H1209" i="23" s="1"/>
  <c r="F1210" i="23"/>
  <c r="H1210" i="23" s="1"/>
  <c r="F1211" i="23"/>
  <c r="H1211" i="23" s="1"/>
  <c r="F1212" i="23"/>
  <c r="H1212" i="23" s="1"/>
  <c r="F1213" i="23"/>
  <c r="H1213" i="23" s="1"/>
  <c r="F1214" i="23"/>
  <c r="H1214" i="23" s="1"/>
  <c r="F1215" i="23"/>
  <c r="H1215" i="23" s="1"/>
  <c r="F1216" i="23"/>
  <c r="H1216" i="23" s="1"/>
  <c r="F1217" i="23"/>
  <c r="H1217" i="23" s="1"/>
  <c r="F1218" i="23"/>
  <c r="H1218" i="23" s="1"/>
  <c r="F1219" i="23"/>
  <c r="H1219" i="23" s="1"/>
  <c r="F1220" i="23"/>
  <c r="H1220" i="23" s="1"/>
  <c r="F1221" i="23"/>
  <c r="H1221" i="23" s="1"/>
  <c r="F1222" i="23"/>
  <c r="H1222" i="23" s="1"/>
  <c r="F1223" i="23"/>
  <c r="H1223" i="23" s="1"/>
  <c r="F1224" i="23"/>
  <c r="H1224" i="23" s="1"/>
  <c r="F1225" i="23"/>
  <c r="H1225" i="23" s="1"/>
  <c r="F1226" i="23"/>
  <c r="H1226" i="23" s="1"/>
  <c r="F1227" i="23"/>
  <c r="H1227" i="23" s="1"/>
  <c r="F1228" i="23"/>
  <c r="H1228" i="23" s="1"/>
  <c r="F1229" i="23"/>
  <c r="H1229" i="23" s="1"/>
  <c r="F1230" i="23"/>
  <c r="H1230" i="23" s="1"/>
  <c r="F1231" i="23"/>
  <c r="H1231" i="23" s="1"/>
  <c r="F1232" i="23"/>
  <c r="H1232" i="23" s="1"/>
  <c r="F1233" i="23"/>
  <c r="H1233" i="23" s="1"/>
  <c r="F1234" i="23"/>
  <c r="H1234" i="23" s="1"/>
  <c r="F1235" i="23"/>
  <c r="H1235" i="23" s="1"/>
  <c r="F1236" i="23"/>
  <c r="H1236" i="23" s="1"/>
  <c r="F1237" i="23"/>
  <c r="H1237" i="23" s="1"/>
  <c r="F1238" i="23"/>
  <c r="H1238" i="23" s="1"/>
  <c r="F1239" i="23"/>
  <c r="H1239" i="23" s="1"/>
  <c r="F1240" i="23"/>
  <c r="H1240" i="23" s="1"/>
  <c r="F1241" i="23"/>
  <c r="H1241" i="23" s="1"/>
  <c r="F1242" i="23"/>
  <c r="H1242" i="23" s="1"/>
  <c r="F1243" i="23"/>
  <c r="H1243" i="23" s="1"/>
  <c r="F1244" i="23"/>
  <c r="H1244" i="23" s="1"/>
  <c r="F1245" i="23"/>
  <c r="H1245" i="23" s="1"/>
  <c r="F1246" i="23"/>
  <c r="H1246" i="23" s="1"/>
  <c r="F1247" i="23"/>
  <c r="H1247" i="23" s="1"/>
  <c r="F1248" i="23"/>
  <c r="H1248" i="23" s="1"/>
  <c r="F1249" i="23"/>
  <c r="H1249" i="23" s="1"/>
  <c r="F1250" i="23"/>
  <c r="H1250" i="23" s="1"/>
  <c r="F1251" i="23"/>
  <c r="H1251" i="23" s="1"/>
  <c r="F1252" i="23"/>
  <c r="H1252" i="23" s="1"/>
  <c r="F1253" i="23"/>
  <c r="H1253" i="23" s="1"/>
  <c r="F1254" i="23"/>
  <c r="H1254" i="23" s="1"/>
  <c r="F1255" i="23"/>
  <c r="H1255" i="23" s="1"/>
  <c r="F1256" i="23"/>
  <c r="H1256" i="23" s="1"/>
  <c r="F1257" i="23"/>
  <c r="H1257" i="23" s="1"/>
  <c r="F1258" i="23"/>
  <c r="H1258" i="23" s="1"/>
  <c r="F1259" i="23"/>
  <c r="H1259" i="23" s="1"/>
  <c r="F1260" i="23"/>
  <c r="H1260" i="23" s="1"/>
  <c r="F1261" i="23"/>
  <c r="H1261" i="23" s="1"/>
  <c r="F1262" i="23"/>
  <c r="H1262" i="23" s="1"/>
  <c r="F1263" i="23"/>
  <c r="H1263" i="23" s="1"/>
  <c r="F1264" i="23"/>
  <c r="H1264" i="23" s="1"/>
  <c r="F1265" i="23"/>
  <c r="H1265" i="23" s="1"/>
  <c r="F1266" i="23"/>
  <c r="H1266" i="23" s="1"/>
  <c r="F1267" i="23"/>
  <c r="H1267" i="23" s="1"/>
  <c r="F1268" i="23"/>
  <c r="H1268" i="23" s="1"/>
  <c r="F1269" i="23"/>
  <c r="H1269" i="23" s="1"/>
  <c r="F1270" i="23"/>
  <c r="H1270" i="23" s="1"/>
  <c r="F1271" i="23"/>
  <c r="H1271" i="23" s="1"/>
  <c r="F1272" i="23"/>
  <c r="H1272" i="23" s="1"/>
  <c r="F1273" i="23"/>
  <c r="H1273" i="23" s="1"/>
  <c r="F1274" i="23"/>
  <c r="H1274" i="23" s="1"/>
  <c r="F1275" i="23"/>
  <c r="H1275" i="23" s="1"/>
  <c r="F1276" i="23"/>
  <c r="H1276" i="23" s="1"/>
  <c r="F1277" i="23"/>
  <c r="H1277" i="23" s="1"/>
  <c r="F1278" i="23"/>
  <c r="H1278" i="23" s="1"/>
  <c r="F1279" i="23"/>
  <c r="H1279" i="23" s="1"/>
  <c r="F1280" i="23"/>
  <c r="H1280" i="23" s="1"/>
  <c r="F1281" i="23"/>
  <c r="H1281" i="23" s="1"/>
  <c r="F1282" i="23"/>
  <c r="H1282" i="23" s="1"/>
  <c r="F1283" i="23"/>
  <c r="H1283" i="23" s="1"/>
  <c r="F1284" i="23"/>
  <c r="H1284" i="23" s="1"/>
  <c r="F1285" i="23"/>
  <c r="H1285" i="23" s="1"/>
  <c r="F1286" i="23"/>
  <c r="H1286" i="23" s="1"/>
  <c r="F1287" i="23"/>
  <c r="H1287" i="23" s="1"/>
  <c r="F1288" i="23"/>
  <c r="H1288" i="23" s="1"/>
  <c r="F1289" i="23"/>
  <c r="H1289" i="23" s="1"/>
  <c r="F1290" i="23"/>
  <c r="H1290" i="23" s="1"/>
  <c r="F1291" i="23"/>
  <c r="H1291" i="23" s="1"/>
  <c r="F1292" i="23"/>
  <c r="H1292" i="23" s="1"/>
  <c r="F1293" i="23"/>
  <c r="H1293" i="23" s="1"/>
  <c r="F1294" i="23"/>
  <c r="H1294" i="23" s="1"/>
  <c r="F1295" i="23"/>
  <c r="H1295" i="23" s="1"/>
  <c r="F1296" i="23"/>
  <c r="H1296" i="23" s="1"/>
  <c r="F1297" i="23"/>
  <c r="H1297" i="23" s="1"/>
  <c r="F1298" i="23"/>
  <c r="H1298" i="23" s="1"/>
  <c r="F1299" i="23"/>
  <c r="H1299" i="23" s="1"/>
  <c r="F1300" i="23"/>
  <c r="H1300" i="23" s="1"/>
  <c r="F1301" i="23"/>
  <c r="H1301" i="23" s="1"/>
  <c r="F1302" i="23"/>
  <c r="H1302" i="23" s="1"/>
  <c r="F1303" i="23"/>
  <c r="H1303" i="23" s="1"/>
  <c r="F1304" i="23"/>
  <c r="H1304" i="23" s="1"/>
  <c r="F1305" i="23"/>
  <c r="H1305" i="23" s="1"/>
  <c r="F1306" i="23"/>
  <c r="H1306" i="23" s="1"/>
  <c r="F1307" i="23"/>
  <c r="H1307" i="23" s="1"/>
  <c r="F1308" i="23"/>
  <c r="H1308" i="23" s="1"/>
  <c r="F1309" i="23"/>
  <c r="H1309" i="23" s="1"/>
  <c r="F1310" i="23"/>
  <c r="H1310" i="23" s="1"/>
  <c r="F1311" i="23"/>
  <c r="H1311" i="23" s="1"/>
  <c r="F1312" i="23"/>
  <c r="H1312" i="23" s="1"/>
  <c r="F1313" i="23"/>
  <c r="H1313" i="23" s="1"/>
  <c r="F1314" i="23"/>
  <c r="H1314" i="23" s="1"/>
  <c r="F1315" i="23"/>
  <c r="H1315" i="23" s="1"/>
  <c r="F1316" i="23"/>
  <c r="H1316" i="23" s="1"/>
  <c r="F1317" i="23"/>
  <c r="H1317" i="23" s="1"/>
  <c r="F1318" i="23"/>
  <c r="H1318" i="23" s="1"/>
  <c r="F1319" i="23"/>
  <c r="H1319" i="23" s="1"/>
  <c r="F1320" i="23"/>
  <c r="H1320" i="23"/>
  <c r="F1321" i="23"/>
  <c r="H1321" i="23" s="1"/>
  <c r="F1322" i="23"/>
  <c r="H1322" i="23" s="1"/>
  <c r="F1323" i="23"/>
  <c r="H1323" i="23" s="1"/>
  <c r="F1324" i="23"/>
  <c r="H1324" i="23" s="1"/>
  <c r="F1325" i="23"/>
  <c r="H1325" i="23" s="1"/>
  <c r="F1326" i="23"/>
  <c r="H1326" i="23" s="1"/>
  <c r="F1327" i="23"/>
  <c r="H1327" i="23" s="1"/>
  <c r="F1328" i="23"/>
  <c r="H1328" i="23" s="1"/>
  <c r="F1329" i="23"/>
  <c r="H1329" i="23" s="1"/>
  <c r="F1330" i="23"/>
  <c r="H1330" i="23" s="1"/>
  <c r="F1331" i="23"/>
  <c r="H1331" i="23" s="1"/>
  <c r="F1332" i="23"/>
  <c r="H1332" i="23" s="1"/>
  <c r="F1333" i="23"/>
  <c r="H1333" i="23" s="1"/>
  <c r="F1334" i="23"/>
  <c r="H1334" i="23" s="1"/>
  <c r="F1335" i="23"/>
  <c r="H1335" i="23" s="1"/>
  <c r="F1336" i="23"/>
  <c r="H1336" i="23" s="1"/>
  <c r="F1337" i="23"/>
  <c r="H1337" i="23" s="1"/>
  <c r="F1338" i="23"/>
  <c r="H1338" i="23" s="1"/>
  <c r="F1339" i="23"/>
  <c r="H1339" i="23" s="1"/>
  <c r="F1340" i="23"/>
  <c r="H1340" i="23" s="1"/>
  <c r="F1341" i="23"/>
  <c r="H1341" i="23" s="1"/>
  <c r="F1342" i="23"/>
  <c r="H1342" i="23" s="1"/>
  <c r="F1343" i="23"/>
  <c r="H1343" i="23" s="1"/>
  <c r="F1344" i="23"/>
  <c r="H1344" i="23" s="1"/>
  <c r="F1345" i="23"/>
  <c r="H1345" i="23" s="1"/>
  <c r="F1346" i="23"/>
  <c r="H1346" i="23" s="1"/>
  <c r="F1347" i="23"/>
  <c r="H1347" i="23" s="1"/>
  <c r="F1348" i="23"/>
  <c r="H1348" i="23" s="1"/>
  <c r="F1349" i="23"/>
  <c r="H1349" i="23" s="1"/>
  <c r="F1350" i="23"/>
  <c r="H1350" i="23" s="1"/>
  <c r="F1351" i="23"/>
  <c r="H1351" i="23" s="1"/>
  <c r="F1352" i="23"/>
  <c r="H1352" i="23" s="1"/>
  <c r="F1353" i="23"/>
  <c r="H1353" i="23" s="1"/>
  <c r="F1354" i="23"/>
  <c r="H1354" i="23" s="1"/>
  <c r="F1355" i="23"/>
  <c r="H1355" i="23" s="1"/>
  <c r="F1356" i="23"/>
  <c r="H1356" i="23" s="1"/>
  <c r="F1357" i="23"/>
  <c r="H1357" i="23" s="1"/>
  <c r="F1358" i="23"/>
  <c r="H1358" i="23" s="1"/>
  <c r="F1359" i="23"/>
  <c r="H1359" i="23"/>
  <c r="F1360" i="23"/>
  <c r="H1360" i="23" s="1"/>
  <c r="F1361" i="23"/>
  <c r="H1361" i="23"/>
  <c r="F1362" i="23"/>
  <c r="H1362" i="23"/>
  <c r="F1363" i="23"/>
  <c r="H1363" i="23"/>
  <c r="F1364" i="23"/>
  <c r="H1364" i="23"/>
  <c r="F1365" i="23"/>
  <c r="H1365" i="23" s="1"/>
  <c r="F1366" i="23"/>
  <c r="H1366" i="23" s="1"/>
  <c r="F1367" i="23"/>
  <c r="H1367" i="23" s="1"/>
  <c r="F1368" i="23"/>
  <c r="H1368" i="23" s="1"/>
  <c r="F1369" i="23"/>
  <c r="H1369" i="23" s="1"/>
  <c r="F1370" i="23"/>
  <c r="H1370" i="23" s="1"/>
  <c r="F1371" i="23"/>
  <c r="H1371" i="23" s="1"/>
  <c r="F1372" i="23"/>
  <c r="H1372" i="23" s="1"/>
  <c r="F1373" i="23"/>
  <c r="H1373" i="23" s="1"/>
  <c r="F1374" i="23"/>
  <c r="H1374" i="23" s="1"/>
  <c r="F1375" i="23"/>
  <c r="H1375" i="23" s="1"/>
  <c r="F1376" i="23"/>
  <c r="H1376" i="23" s="1"/>
  <c r="F1377" i="23"/>
  <c r="H1377" i="23" s="1"/>
  <c r="F1378" i="23"/>
  <c r="H1378" i="23" s="1"/>
  <c r="F1379" i="23"/>
  <c r="H1379" i="23" s="1"/>
  <c r="F1380" i="23"/>
  <c r="H1380" i="23" s="1"/>
  <c r="F1381" i="23"/>
  <c r="H1381" i="23" s="1"/>
  <c r="F1382" i="23"/>
  <c r="H1382" i="23" s="1"/>
  <c r="F1383" i="23"/>
  <c r="H1383" i="23" s="1"/>
  <c r="F1384" i="23"/>
  <c r="H1384" i="23" s="1"/>
  <c r="F1385" i="23"/>
  <c r="H1385" i="23" s="1"/>
  <c r="F1386" i="23"/>
  <c r="H1386" i="23" s="1"/>
  <c r="F1387" i="23"/>
  <c r="H1387" i="23" s="1"/>
  <c r="F1388" i="23"/>
  <c r="H1388" i="23" s="1"/>
  <c r="F1389" i="23"/>
  <c r="H1389" i="23" s="1"/>
  <c r="F1390" i="23"/>
  <c r="H1390" i="23" s="1"/>
  <c r="F1391" i="23"/>
  <c r="H1391" i="23" s="1"/>
  <c r="F1392" i="23"/>
  <c r="H1392" i="23" s="1"/>
  <c r="F1393" i="23"/>
  <c r="H1393" i="23" s="1"/>
  <c r="F1394" i="23"/>
  <c r="H1394" i="23" s="1"/>
  <c r="F1395" i="23"/>
  <c r="H1395" i="23" s="1"/>
  <c r="F1396" i="23"/>
  <c r="H1396" i="23" s="1"/>
  <c r="F1397" i="23"/>
  <c r="H1397" i="23" s="1"/>
  <c r="F1398" i="23"/>
  <c r="H1398" i="23" s="1"/>
  <c r="F1399" i="23"/>
  <c r="H1399" i="23" s="1"/>
  <c r="F1400" i="23"/>
  <c r="H1400" i="23" s="1"/>
  <c r="F1401" i="23"/>
  <c r="H1401" i="23" s="1"/>
  <c r="F1402" i="23"/>
  <c r="H1402" i="23" s="1"/>
  <c r="F1403" i="23"/>
  <c r="H1403" i="23" s="1"/>
  <c r="F1404" i="23"/>
  <c r="H1404" i="23" s="1"/>
  <c r="F1405" i="23"/>
  <c r="H1405" i="23" s="1"/>
  <c r="F1406" i="23"/>
  <c r="H1406" i="23" s="1"/>
  <c r="F1407" i="23"/>
  <c r="H1407" i="23" s="1"/>
  <c r="F1408" i="23"/>
  <c r="H1408" i="23" s="1"/>
  <c r="F1409" i="23"/>
  <c r="H1409" i="23" s="1"/>
  <c r="F1410" i="23"/>
  <c r="H1410" i="23" s="1"/>
  <c r="F1411" i="23"/>
  <c r="H1411" i="23" s="1"/>
  <c r="F1412" i="23"/>
  <c r="H1412" i="23" s="1"/>
  <c r="F1413" i="23"/>
  <c r="H1413" i="23" s="1"/>
  <c r="F1414" i="23"/>
  <c r="H1414" i="23" s="1"/>
  <c r="F1415" i="23"/>
  <c r="H1415" i="23" s="1"/>
  <c r="F1416" i="23"/>
  <c r="H1416" i="23" s="1"/>
  <c r="F1417" i="23"/>
  <c r="H1417" i="23" s="1"/>
  <c r="F1418" i="23"/>
  <c r="H1418" i="23" s="1"/>
  <c r="F1419" i="23"/>
  <c r="H1419" i="23" s="1"/>
  <c r="F1420" i="23"/>
  <c r="H1420" i="23" s="1"/>
  <c r="F1421" i="23"/>
  <c r="H1421" i="23" s="1"/>
  <c r="F1422" i="23"/>
  <c r="H1422" i="23" s="1"/>
  <c r="F1423" i="23"/>
  <c r="H1423" i="23" s="1"/>
  <c r="F1424" i="23"/>
  <c r="H1424" i="23" s="1"/>
  <c r="F1425" i="23"/>
  <c r="H1425" i="23" s="1"/>
  <c r="F1426" i="23"/>
  <c r="H1426" i="23" s="1"/>
  <c r="F1427" i="23"/>
  <c r="H1427" i="23" s="1"/>
  <c r="F1428" i="23"/>
  <c r="H1428" i="23" s="1"/>
  <c r="F1429" i="23"/>
  <c r="H1429" i="23" s="1"/>
  <c r="F1430" i="23"/>
  <c r="H1430" i="23" s="1"/>
  <c r="F1431" i="23"/>
  <c r="H1431" i="23" s="1"/>
  <c r="F1432" i="23"/>
  <c r="H1432" i="23" s="1"/>
  <c r="F1433" i="23"/>
  <c r="H1433" i="23" s="1"/>
  <c r="F1434" i="23"/>
  <c r="H1434" i="23" s="1"/>
  <c r="F1435" i="23"/>
  <c r="H1435" i="23" s="1"/>
  <c r="F1436" i="23"/>
  <c r="H1436" i="23" s="1"/>
  <c r="F1437" i="23"/>
  <c r="H1437" i="23" s="1"/>
  <c r="F1438" i="23"/>
  <c r="H1438" i="23" s="1"/>
  <c r="F1439" i="23"/>
  <c r="H1439" i="23" s="1"/>
  <c r="F1440" i="23"/>
  <c r="H1440" i="23" s="1"/>
  <c r="F1441" i="23"/>
  <c r="H1441" i="23" s="1"/>
  <c r="F1442" i="23"/>
  <c r="H1442" i="23" s="1"/>
  <c r="F1443" i="23"/>
  <c r="H1443" i="23" s="1"/>
  <c r="F1444" i="23"/>
  <c r="H1444" i="23" s="1"/>
  <c r="F1445" i="23"/>
  <c r="H1445" i="23" s="1"/>
  <c r="F1446" i="23"/>
  <c r="H1446" i="23" s="1"/>
  <c r="F1447" i="23"/>
  <c r="H1447" i="23" s="1"/>
  <c r="F1448" i="23"/>
  <c r="H1448" i="23" s="1"/>
  <c r="F1449" i="23"/>
  <c r="H1449" i="23" s="1"/>
  <c r="F1450" i="23"/>
  <c r="H1450" i="23" s="1"/>
  <c r="F1451" i="23"/>
  <c r="H1451" i="23" s="1"/>
  <c r="F1452" i="23"/>
  <c r="H1452" i="23" s="1"/>
  <c r="F1453" i="23"/>
  <c r="H1453" i="23" s="1"/>
  <c r="F1454" i="23"/>
  <c r="H1454" i="23" s="1"/>
  <c r="F1455" i="23"/>
  <c r="H1455" i="23" s="1"/>
  <c r="F1456" i="23"/>
  <c r="H1456" i="23" s="1"/>
  <c r="F1457" i="23"/>
  <c r="H1457" i="23" s="1"/>
  <c r="F1458" i="23"/>
  <c r="H1458" i="23" s="1"/>
  <c r="F1459" i="23"/>
  <c r="H1459" i="23" s="1"/>
  <c r="F1460" i="23"/>
  <c r="H1460" i="23" s="1"/>
  <c r="F1461" i="23"/>
  <c r="H1461" i="23" s="1"/>
  <c r="F1462" i="23"/>
  <c r="H1462" i="23" s="1"/>
  <c r="F1463" i="23"/>
  <c r="H1463" i="23" s="1"/>
  <c r="F1464" i="23"/>
  <c r="H1464" i="23" s="1"/>
  <c r="F1465" i="23"/>
  <c r="H1465" i="23" s="1"/>
  <c r="F1466" i="23"/>
  <c r="H1466" i="23" s="1"/>
  <c r="F1467" i="23"/>
  <c r="H1467" i="23" s="1"/>
  <c r="F1468" i="23"/>
  <c r="H1468" i="23" s="1"/>
  <c r="F1469" i="23"/>
  <c r="H1469" i="23" s="1"/>
  <c r="F1470" i="23"/>
  <c r="H1470" i="23" s="1"/>
  <c r="F1471" i="23"/>
  <c r="H1471" i="23" s="1"/>
  <c r="F1472" i="23"/>
  <c r="H1472" i="23" s="1"/>
  <c r="F1473" i="23"/>
  <c r="H1473" i="23" s="1"/>
  <c r="F1474" i="23"/>
  <c r="H1474" i="23" s="1"/>
  <c r="F1475" i="23"/>
  <c r="H1475" i="23" s="1"/>
  <c r="F1476" i="23"/>
  <c r="H1476" i="23" s="1"/>
  <c r="F1477" i="23"/>
  <c r="H1477" i="23" s="1"/>
  <c r="F1478" i="23"/>
  <c r="H1478" i="23" s="1"/>
  <c r="F1479" i="23"/>
  <c r="H1479" i="23" s="1"/>
  <c r="F1480" i="23"/>
  <c r="H1480" i="23" s="1"/>
  <c r="F1481" i="23"/>
  <c r="H1481" i="23" s="1"/>
  <c r="F1482" i="23"/>
  <c r="H1482" i="23" s="1"/>
  <c r="F1483" i="23"/>
  <c r="H1483" i="23" s="1"/>
  <c r="F1484" i="23"/>
  <c r="H1484" i="23" s="1"/>
  <c r="F1485" i="23"/>
  <c r="H1485" i="23" s="1"/>
  <c r="F1486" i="23"/>
  <c r="H1486" i="23" s="1"/>
  <c r="F1487" i="23"/>
  <c r="H1487" i="23" s="1"/>
  <c r="F1488" i="23"/>
  <c r="H1488" i="23" s="1"/>
  <c r="F1489" i="23"/>
  <c r="H1489" i="23" s="1"/>
  <c r="F1490" i="23"/>
  <c r="H1490" i="23" s="1"/>
  <c r="F1491" i="23"/>
  <c r="H1491" i="23" s="1"/>
  <c r="F1492" i="23"/>
  <c r="H1492" i="23" s="1"/>
  <c r="F1493" i="23"/>
  <c r="H1493" i="23" s="1"/>
  <c r="F1494" i="23"/>
  <c r="H1494" i="23" s="1"/>
  <c r="F1495" i="23"/>
  <c r="H1495" i="23" s="1"/>
  <c r="F1496" i="23"/>
  <c r="H1496" i="23" s="1"/>
  <c r="F1497" i="23"/>
  <c r="H1497" i="23" s="1"/>
  <c r="F1498" i="23"/>
  <c r="H1498" i="23" s="1"/>
  <c r="F1499" i="23"/>
  <c r="H1499" i="23" s="1"/>
  <c r="F1500" i="23"/>
  <c r="H1500" i="23" s="1"/>
  <c r="F1501" i="23"/>
  <c r="H1501" i="23" s="1"/>
  <c r="F1502" i="23"/>
  <c r="H1502" i="23" s="1"/>
  <c r="F1503" i="23"/>
  <c r="H1503" i="23" s="1"/>
  <c r="F1504" i="23"/>
  <c r="H1504" i="23" s="1"/>
  <c r="F1505" i="23"/>
  <c r="H1505" i="23" s="1"/>
  <c r="F1506" i="23"/>
  <c r="H1506" i="23" s="1"/>
  <c r="F1507" i="23"/>
  <c r="H1507" i="23" s="1"/>
  <c r="F1508" i="23"/>
  <c r="H1508" i="23" s="1"/>
  <c r="F1509" i="23"/>
  <c r="H1509" i="23" s="1"/>
  <c r="F1510" i="23"/>
  <c r="H1510" i="23" s="1"/>
  <c r="F1511" i="23"/>
  <c r="H1511" i="23" s="1"/>
  <c r="F1512" i="23"/>
  <c r="H1512" i="23" s="1"/>
  <c r="F1513" i="23"/>
  <c r="H1513" i="23" s="1"/>
  <c r="F1514" i="23"/>
  <c r="H1514" i="23" s="1"/>
  <c r="F1515" i="23"/>
  <c r="H1515" i="23" s="1"/>
  <c r="F1516" i="23"/>
  <c r="H1516" i="23" s="1"/>
  <c r="F1517" i="23"/>
  <c r="H1517" i="23" s="1"/>
  <c r="F1518" i="23"/>
  <c r="H1518" i="23" s="1"/>
  <c r="F1519" i="23"/>
  <c r="H1519" i="23" s="1"/>
  <c r="F1520" i="23"/>
  <c r="H1520" i="23" s="1"/>
  <c r="F1521" i="23"/>
  <c r="H1521" i="23" s="1"/>
  <c r="F1522" i="23"/>
  <c r="H1522" i="23" s="1"/>
  <c r="F1523" i="23"/>
  <c r="H1523" i="23" s="1"/>
  <c r="F1524" i="23"/>
  <c r="H1524" i="23" s="1"/>
  <c r="F1525" i="23"/>
  <c r="H1525" i="23" s="1"/>
  <c r="F1526" i="23"/>
  <c r="H1526" i="23" s="1"/>
  <c r="F1527" i="23"/>
  <c r="H1527" i="23" s="1"/>
  <c r="F1528" i="23"/>
  <c r="H1528" i="23" s="1"/>
  <c r="F1529" i="23"/>
  <c r="H1529" i="23" s="1"/>
  <c r="F1530" i="23"/>
  <c r="H1530" i="23" s="1"/>
  <c r="F1531" i="23"/>
  <c r="H1531" i="23" s="1"/>
  <c r="F1532" i="23"/>
  <c r="H1532" i="23" s="1"/>
  <c r="F1533" i="23"/>
  <c r="H1533" i="23" s="1"/>
  <c r="F1534" i="23"/>
  <c r="H1534" i="23" s="1"/>
  <c r="F1535" i="23"/>
  <c r="H1535" i="23" s="1"/>
  <c r="F1536" i="23"/>
  <c r="H1536" i="23" s="1"/>
  <c r="F1537" i="23"/>
  <c r="H1537" i="23" s="1"/>
  <c r="F1538" i="23"/>
  <c r="H1538" i="23" s="1"/>
  <c r="F1539" i="23"/>
  <c r="H1539" i="23" s="1"/>
  <c r="F1540" i="23"/>
  <c r="H1540" i="23" s="1"/>
  <c r="F1541" i="23"/>
  <c r="H1541" i="23" s="1"/>
  <c r="F1542" i="23"/>
  <c r="H1542" i="23" s="1"/>
  <c r="F1543" i="23"/>
  <c r="H1543" i="23" s="1"/>
  <c r="F1544" i="23"/>
  <c r="H1544" i="23"/>
  <c r="F1545" i="23"/>
  <c r="H1545" i="23" s="1"/>
  <c r="F1546" i="23"/>
  <c r="H1546" i="23"/>
  <c r="F1547" i="23"/>
  <c r="H1547" i="23" s="1"/>
  <c r="F1548" i="23"/>
  <c r="H1548" i="23" s="1"/>
  <c r="F1549" i="23"/>
  <c r="H1549" i="23" s="1"/>
  <c r="F1550" i="23"/>
  <c r="H1550" i="23" s="1"/>
  <c r="F1551" i="23"/>
  <c r="H1551" i="23" s="1"/>
  <c r="F1552" i="23"/>
  <c r="H1552" i="23" s="1"/>
  <c r="F1553" i="23"/>
  <c r="H1553" i="23" s="1"/>
  <c r="F1554" i="23"/>
  <c r="H1554" i="23" s="1"/>
  <c r="F1555" i="23"/>
  <c r="H1555" i="23" s="1"/>
  <c r="F1556" i="23"/>
  <c r="H1556" i="23" s="1"/>
  <c r="F1557" i="23"/>
  <c r="H1557" i="23" s="1"/>
  <c r="F1558" i="23"/>
  <c r="H1558" i="23" s="1"/>
  <c r="F1559" i="23"/>
  <c r="H1559" i="23" s="1"/>
  <c r="F1560" i="23"/>
  <c r="H1560" i="23" s="1"/>
  <c r="F1561" i="23"/>
  <c r="H1561" i="23" s="1"/>
  <c r="F1562" i="23"/>
  <c r="H1562" i="23" s="1"/>
  <c r="F1563" i="23"/>
  <c r="H1563" i="23" s="1"/>
  <c r="F1564" i="23"/>
  <c r="H1564" i="23" s="1"/>
  <c r="F1565" i="23"/>
  <c r="H1565" i="23" s="1"/>
  <c r="F1566" i="23"/>
  <c r="H1566" i="23" s="1"/>
  <c r="F1567" i="23"/>
  <c r="H1567" i="23" s="1"/>
  <c r="F1568" i="23"/>
  <c r="H1568" i="23" s="1"/>
  <c r="F1569" i="23"/>
  <c r="H1569" i="23" s="1"/>
  <c r="F1570" i="23"/>
  <c r="H1570" i="23" s="1"/>
  <c r="F1571" i="23"/>
  <c r="H1571" i="23" s="1"/>
  <c r="F1572" i="23"/>
  <c r="H1572" i="23" s="1"/>
  <c r="F1573" i="23"/>
  <c r="H1573" i="23" s="1"/>
  <c r="F1574" i="23"/>
  <c r="H1574" i="23" s="1"/>
  <c r="F1575" i="23"/>
  <c r="H1575" i="23" s="1"/>
  <c r="F1576" i="23"/>
  <c r="H1576" i="23" s="1"/>
  <c r="F1577" i="23"/>
  <c r="H1577" i="23" s="1"/>
  <c r="F1578" i="23"/>
  <c r="H1578" i="23" s="1"/>
  <c r="F1579" i="23"/>
  <c r="H1579" i="23" s="1"/>
  <c r="F1580" i="23"/>
  <c r="H1580" i="23" s="1"/>
  <c r="F1581" i="23"/>
  <c r="H1581" i="23" s="1"/>
  <c r="F1582" i="23"/>
  <c r="H1582" i="23" s="1"/>
  <c r="F1583" i="23"/>
  <c r="H1583" i="23" s="1"/>
  <c r="F1584" i="23"/>
  <c r="H1584" i="23" s="1"/>
  <c r="F1585" i="23"/>
  <c r="H1585" i="23" s="1"/>
  <c r="F1586" i="23"/>
  <c r="H1586" i="23" s="1"/>
  <c r="F1587" i="23"/>
  <c r="H1587" i="23" s="1"/>
  <c r="F1588" i="23"/>
  <c r="H1588" i="23" s="1"/>
  <c r="F1589" i="23"/>
  <c r="H1589" i="23" s="1"/>
  <c r="F1590" i="23"/>
  <c r="H1590" i="23" s="1"/>
  <c r="F1591" i="23"/>
  <c r="H1591" i="23" s="1"/>
  <c r="F1592" i="23"/>
  <c r="H1592" i="23" s="1"/>
  <c r="F1593" i="23"/>
  <c r="H1593" i="23" s="1"/>
  <c r="F1594" i="23"/>
  <c r="H1594" i="23" s="1"/>
  <c r="F1595" i="23"/>
  <c r="H1595" i="23" s="1"/>
  <c r="F1596" i="23"/>
  <c r="H1596" i="23" s="1"/>
  <c r="F1597" i="23"/>
  <c r="H1597" i="23" s="1"/>
  <c r="F1598" i="23"/>
  <c r="H1598" i="23" s="1"/>
  <c r="F1599" i="23"/>
  <c r="H1599" i="23" s="1"/>
  <c r="F1600" i="23"/>
  <c r="H1600" i="23" s="1"/>
  <c r="F1601" i="23"/>
  <c r="H1601" i="23" s="1"/>
  <c r="F1602" i="23"/>
  <c r="H1602" i="23" s="1"/>
  <c r="F1603" i="23"/>
  <c r="H1603" i="23" s="1"/>
  <c r="F1604" i="23"/>
  <c r="H1604" i="23" s="1"/>
  <c r="F1605" i="23"/>
  <c r="H1605" i="23" s="1"/>
  <c r="F1606" i="23"/>
  <c r="H1606" i="23" s="1"/>
  <c r="F1607" i="23"/>
  <c r="H1607" i="23" s="1"/>
  <c r="F1608" i="23"/>
  <c r="H1608" i="23" s="1"/>
  <c r="F1609" i="23"/>
  <c r="H1609" i="23" s="1"/>
  <c r="F1610" i="23"/>
  <c r="H1610" i="23" s="1"/>
  <c r="F1611" i="23"/>
  <c r="H1611" i="23" s="1"/>
  <c r="F1612" i="23"/>
  <c r="H1612" i="23" s="1"/>
  <c r="F1613" i="23"/>
  <c r="H1613" i="23" s="1"/>
  <c r="F1614" i="23"/>
  <c r="H1614" i="23" s="1"/>
  <c r="F1615" i="23"/>
  <c r="H1615" i="23" s="1"/>
  <c r="F1616" i="23"/>
  <c r="H1616" i="23" s="1"/>
  <c r="F1617" i="23"/>
  <c r="H1617" i="23" s="1"/>
  <c r="F1618" i="23"/>
  <c r="H1618" i="23" s="1"/>
  <c r="F1619" i="23"/>
  <c r="H1619" i="23" s="1"/>
  <c r="F1620" i="23"/>
  <c r="H1620" i="23" s="1"/>
  <c r="F1621" i="23"/>
  <c r="H1621" i="23" s="1"/>
  <c r="F1622" i="23"/>
  <c r="H1622" i="23" s="1"/>
  <c r="F1623" i="23"/>
  <c r="H1623" i="23" s="1"/>
  <c r="F1624" i="23"/>
  <c r="H1624" i="23" s="1"/>
  <c r="F1625" i="23"/>
  <c r="H1625" i="23" s="1"/>
  <c r="F1626" i="23"/>
  <c r="H1626" i="23" s="1"/>
  <c r="F1627" i="23"/>
  <c r="H1627" i="23" s="1"/>
  <c r="F1628" i="23"/>
  <c r="H1628" i="23" s="1"/>
  <c r="F1629" i="23"/>
  <c r="H1629" i="23" s="1"/>
  <c r="F1630" i="23"/>
  <c r="H1630" i="23" s="1"/>
  <c r="F1631" i="23"/>
  <c r="H1631" i="23" s="1"/>
  <c r="F1632" i="23"/>
  <c r="H1632" i="23" s="1"/>
  <c r="F1633" i="23"/>
  <c r="H1633" i="23" s="1"/>
  <c r="F1634" i="23"/>
  <c r="H1634" i="23" s="1"/>
  <c r="F1635" i="23"/>
  <c r="H1635" i="23" s="1"/>
  <c r="F1636" i="23"/>
  <c r="H1636" i="23" s="1"/>
  <c r="F1637" i="23"/>
  <c r="H1637" i="23" s="1"/>
  <c r="F1638" i="23"/>
  <c r="H1638" i="23" s="1"/>
  <c r="F1639" i="23"/>
  <c r="H1639" i="23" s="1"/>
  <c r="F1640" i="23"/>
  <c r="H1640" i="23" s="1"/>
  <c r="F1641" i="23"/>
  <c r="H1641" i="23" s="1"/>
  <c r="F1642" i="23"/>
  <c r="H1642" i="23" s="1"/>
  <c r="F1643" i="23"/>
  <c r="H1643" i="23" s="1"/>
  <c r="F1644" i="23"/>
  <c r="H1644" i="23" s="1"/>
  <c r="F1645" i="23"/>
  <c r="H1645" i="23" s="1"/>
  <c r="F1646" i="23"/>
  <c r="H1646" i="23" s="1"/>
  <c r="F1647" i="23"/>
  <c r="H1647" i="23" s="1"/>
  <c r="F1648" i="23"/>
  <c r="H1648" i="23" s="1"/>
  <c r="F1649" i="23"/>
  <c r="H1649" i="23" s="1"/>
  <c r="F1650" i="23"/>
  <c r="H1650" i="23" s="1"/>
  <c r="F1651" i="23"/>
  <c r="H1651" i="23" s="1"/>
  <c r="F1652" i="23"/>
  <c r="H1652" i="23" s="1"/>
  <c r="F1653" i="23"/>
  <c r="H1653" i="23" s="1"/>
  <c r="F1654" i="23"/>
  <c r="H1654" i="23" s="1"/>
  <c r="F1655" i="23"/>
  <c r="H1655" i="23" s="1"/>
  <c r="F1656" i="23"/>
  <c r="H1656" i="23" s="1"/>
  <c r="F1657" i="23"/>
  <c r="H1657" i="23" s="1"/>
  <c r="F1658" i="23"/>
  <c r="H1658" i="23" s="1"/>
  <c r="F1659" i="23"/>
  <c r="H1659" i="23" s="1"/>
  <c r="F1660" i="23"/>
  <c r="H1660" i="23" s="1"/>
  <c r="F1661" i="23"/>
  <c r="H1661" i="23" s="1"/>
  <c r="F1662" i="23"/>
  <c r="H1662" i="23" s="1"/>
  <c r="F1663" i="23"/>
  <c r="H1663" i="23" s="1"/>
  <c r="F1664" i="23"/>
  <c r="H1664" i="23" s="1"/>
  <c r="F1665" i="23"/>
  <c r="H1665" i="23" s="1"/>
  <c r="F1666" i="23"/>
  <c r="H1666" i="23" s="1"/>
  <c r="F1667" i="23"/>
  <c r="H1667" i="23" s="1"/>
  <c r="F1668" i="23"/>
  <c r="H1668" i="23" s="1"/>
  <c r="F1669" i="23"/>
  <c r="H1669" i="23" s="1"/>
  <c r="F1670" i="23"/>
  <c r="H1670" i="23" s="1"/>
  <c r="F1671" i="23"/>
  <c r="H1671" i="23" s="1"/>
  <c r="F1672" i="23"/>
  <c r="H1672" i="23" s="1"/>
  <c r="F1673" i="23"/>
  <c r="H1673" i="23" s="1"/>
  <c r="F1674" i="23"/>
  <c r="H1674" i="23" s="1"/>
  <c r="F1675" i="23"/>
  <c r="H1675" i="23" s="1"/>
  <c r="F1676" i="23"/>
  <c r="H1676" i="23" s="1"/>
  <c r="F1677" i="23"/>
  <c r="H1677" i="23" s="1"/>
  <c r="F1678" i="23"/>
  <c r="H1678" i="23" s="1"/>
  <c r="F1679" i="23"/>
  <c r="H1679" i="23" s="1"/>
  <c r="F1680" i="23"/>
  <c r="H1680" i="23" s="1"/>
  <c r="F1681" i="23"/>
  <c r="H1681" i="23" s="1"/>
  <c r="F1682" i="23"/>
  <c r="H1682" i="23" s="1"/>
  <c r="F1683" i="23"/>
  <c r="H1683" i="23" s="1"/>
  <c r="F1684" i="23"/>
  <c r="H1684" i="23" s="1"/>
  <c r="F1685" i="23"/>
  <c r="H1685" i="23" s="1"/>
  <c r="F1686" i="23"/>
  <c r="H1686" i="23" s="1"/>
  <c r="F1687" i="23"/>
  <c r="H1687" i="23" s="1"/>
  <c r="F1688" i="23"/>
  <c r="H1688" i="23" s="1"/>
  <c r="F1689" i="23"/>
  <c r="H1689" i="23" s="1"/>
  <c r="F1690" i="23"/>
  <c r="H1690" i="23" s="1"/>
  <c r="F1691" i="23"/>
  <c r="H1691" i="23" s="1"/>
  <c r="F1692" i="23"/>
  <c r="H1692" i="23" s="1"/>
  <c r="F1693" i="23"/>
  <c r="H1693" i="23" s="1"/>
  <c r="F1694" i="23"/>
  <c r="H1694" i="23" s="1"/>
  <c r="F1695" i="23"/>
  <c r="H1695" i="23" s="1"/>
  <c r="F1696" i="23"/>
  <c r="H1696" i="23" s="1"/>
  <c r="F1697" i="23"/>
  <c r="H1697" i="23" s="1"/>
  <c r="F1698" i="23"/>
  <c r="H1698" i="23" s="1"/>
  <c r="F1699" i="23"/>
  <c r="H1699" i="23" s="1"/>
  <c r="F1700" i="23"/>
  <c r="H1700" i="23" s="1"/>
  <c r="F1701" i="23"/>
  <c r="H1701" i="23" s="1"/>
  <c r="F1702" i="23"/>
  <c r="H1702" i="23" s="1"/>
  <c r="F1703" i="23"/>
  <c r="H1703" i="23" s="1"/>
  <c r="F1704" i="23"/>
  <c r="H1704" i="23" s="1"/>
  <c r="F1705" i="23"/>
  <c r="H1705" i="23" s="1"/>
  <c r="F1706" i="23"/>
  <c r="H1706" i="23" s="1"/>
  <c r="F1707" i="23"/>
  <c r="H1707" i="23" s="1"/>
  <c r="F1708" i="23"/>
  <c r="H1708" i="23" s="1"/>
  <c r="F1709" i="23"/>
  <c r="H1709" i="23" s="1"/>
  <c r="F1710" i="23"/>
  <c r="H1710" i="23" s="1"/>
  <c r="F1711" i="23"/>
  <c r="H1711" i="23" s="1"/>
  <c r="F1712" i="23"/>
  <c r="H1712" i="23" s="1"/>
  <c r="F1713" i="23"/>
  <c r="H1713" i="23"/>
  <c r="F1714" i="23"/>
  <c r="H1714" i="23" s="1"/>
  <c r="F1715" i="23"/>
  <c r="H1715" i="23" s="1"/>
  <c r="F1716" i="23"/>
  <c r="H1716" i="23" s="1"/>
  <c r="F1717" i="23"/>
  <c r="H1717" i="23" s="1"/>
  <c r="F1718" i="23"/>
  <c r="H1718" i="23" s="1"/>
  <c r="F1719" i="23"/>
  <c r="H1719" i="23" s="1"/>
  <c r="F1720" i="23"/>
  <c r="H1720" i="23"/>
  <c r="F1721" i="23"/>
  <c r="H1721" i="23" s="1"/>
  <c r="F1722" i="23"/>
  <c r="H1722" i="23" s="1"/>
  <c r="F1723" i="23"/>
  <c r="H1723" i="23" s="1"/>
  <c r="F1724" i="23"/>
  <c r="H1724" i="23" s="1"/>
  <c r="F1725" i="23"/>
  <c r="H1725" i="23" s="1"/>
  <c r="F1726" i="23"/>
  <c r="H1726" i="23"/>
  <c r="F1727" i="23"/>
  <c r="H1727" i="23" s="1"/>
  <c r="F1728" i="23"/>
  <c r="H1728" i="23" s="1"/>
  <c r="F1729" i="23"/>
  <c r="H1729" i="23" s="1"/>
  <c r="F1730" i="23"/>
  <c r="H1730" i="23" s="1"/>
  <c r="F1731" i="23"/>
  <c r="H1731" i="23" s="1"/>
  <c r="F1732" i="23"/>
  <c r="H1732" i="23" s="1"/>
  <c r="F1733" i="23"/>
  <c r="H1733" i="23" s="1"/>
  <c r="F1734" i="23"/>
  <c r="H1734" i="23" s="1"/>
  <c r="F1735" i="23"/>
  <c r="H1735" i="23" s="1"/>
  <c r="F1736" i="23"/>
  <c r="H1736" i="23" s="1"/>
  <c r="F1737" i="23"/>
  <c r="H1737" i="23" s="1"/>
  <c r="F1738" i="23"/>
  <c r="H1738" i="23" s="1"/>
  <c r="F1739" i="23"/>
  <c r="H1739" i="23" s="1"/>
  <c r="F1740" i="23"/>
  <c r="H1740" i="23" s="1"/>
  <c r="F1741" i="23"/>
  <c r="H1741" i="23" s="1"/>
  <c r="F1742" i="23"/>
  <c r="H1742" i="23" s="1"/>
  <c r="F1743" i="23"/>
  <c r="H1743" i="23" s="1"/>
  <c r="F1744" i="23"/>
  <c r="H1744" i="23" s="1"/>
  <c r="F1745" i="23"/>
  <c r="H1745" i="23" s="1"/>
  <c r="F1746" i="23"/>
  <c r="H1746" i="23" s="1"/>
  <c r="F1747" i="23"/>
  <c r="H1747" i="23" s="1"/>
  <c r="F1748" i="23"/>
  <c r="H1748" i="23" s="1"/>
  <c r="F1749" i="23"/>
  <c r="H1749" i="23" s="1"/>
  <c r="F1750" i="23"/>
  <c r="H1750" i="23" s="1"/>
  <c r="F1751" i="23"/>
  <c r="H1751" i="23" s="1"/>
  <c r="F1752" i="23"/>
  <c r="H1752" i="23" s="1"/>
  <c r="F1753" i="23"/>
  <c r="H1753" i="23" s="1"/>
  <c r="F1754" i="23"/>
  <c r="H1754" i="23" s="1"/>
  <c r="F1755" i="23"/>
  <c r="H1755" i="23" s="1"/>
  <c r="F1756" i="23"/>
  <c r="H1756" i="23" s="1"/>
  <c r="F1757" i="23"/>
  <c r="H1757" i="23" s="1"/>
  <c r="F1758" i="23"/>
  <c r="H1758" i="23" s="1"/>
  <c r="F1759" i="23"/>
  <c r="H1759" i="23"/>
  <c r="F1760" i="23"/>
  <c r="H1760" i="23" s="1"/>
  <c r="F1761" i="23"/>
  <c r="H1761" i="23" s="1"/>
  <c r="F1762" i="23"/>
  <c r="H1762" i="23" s="1"/>
  <c r="F1763" i="23"/>
  <c r="H1763" i="23" s="1"/>
  <c r="F1764" i="23"/>
  <c r="H1764" i="23" s="1"/>
  <c r="F1765" i="23"/>
  <c r="H1765" i="23" s="1"/>
  <c r="F1766" i="23"/>
  <c r="H1766" i="23" s="1"/>
  <c r="F1767" i="23"/>
  <c r="H1767" i="23" s="1"/>
  <c r="F1768" i="23"/>
  <c r="H1768" i="23" s="1"/>
  <c r="F1769" i="23"/>
  <c r="H1769" i="23" s="1"/>
  <c r="F1770" i="23"/>
  <c r="H1770" i="23" s="1"/>
  <c r="F1771" i="23"/>
  <c r="H1771" i="23" s="1"/>
  <c r="F1772" i="23"/>
  <c r="H1772" i="23" s="1"/>
  <c r="F1773" i="23"/>
  <c r="H1773" i="23" s="1"/>
  <c r="F1774" i="23"/>
  <c r="H1774" i="23" s="1"/>
  <c r="F1775" i="23"/>
  <c r="H1775" i="23" s="1"/>
  <c r="F1776" i="23"/>
  <c r="H1776" i="23" s="1"/>
  <c r="F1777" i="23"/>
  <c r="H1777" i="23" s="1"/>
  <c r="F1778" i="23"/>
  <c r="H1778" i="23" s="1"/>
  <c r="F1779" i="23"/>
  <c r="H1779" i="23" s="1"/>
  <c r="F1780" i="23"/>
  <c r="H1780" i="23" s="1"/>
  <c r="F1781" i="23"/>
  <c r="H1781" i="23" s="1"/>
  <c r="F1782" i="23"/>
  <c r="H1782" i="23" s="1"/>
  <c r="F1783" i="23"/>
  <c r="H1783" i="23" s="1"/>
  <c r="F1784" i="23"/>
  <c r="H1784" i="23" s="1"/>
  <c r="F1785" i="23"/>
  <c r="H1785" i="23" s="1"/>
  <c r="F1786" i="23"/>
  <c r="H1786" i="23" s="1"/>
  <c r="F1787" i="23"/>
  <c r="H1787" i="23" s="1"/>
  <c r="F1788" i="23"/>
  <c r="H1788" i="23" s="1"/>
  <c r="F1789" i="23"/>
  <c r="H1789" i="23" s="1"/>
  <c r="F1790" i="23"/>
  <c r="H1790" i="23" s="1"/>
  <c r="F1791" i="23"/>
  <c r="H1791" i="23" s="1"/>
  <c r="F1792" i="23"/>
  <c r="H1792" i="23" s="1"/>
  <c r="F1793" i="23"/>
  <c r="H1793" i="23" s="1"/>
  <c r="F1794" i="23"/>
  <c r="H1794" i="23" s="1"/>
  <c r="F1795" i="23"/>
  <c r="H1795" i="23" s="1"/>
  <c r="F1796" i="23"/>
  <c r="H1796" i="23" s="1"/>
  <c r="F1797" i="23"/>
  <c r="H1797" i="23" s="1"/>
  <c r="F1798" i="23"/>
  <c r="H1798" i="23" s="1"/>
  <c r="F1799" i="23"/>
  <c r="H1799" i="23" s="1"/>
  <c r="F1800" i="23"/>
  <c r="H1800" i="23" s="1"/>
  <c r="F1801" i="23"/>
  <c r="H1801" i="23" s="1"/>
  <c r="F1802" i="23"/>
  <c r="H1802" i="23" s="1"/>
  <c r="F1803" i="23"/>
  <c r="H1803" i="23" s="1"/>
  <c r="F1804" i="23"/>
  <c r="H1804" i="23" s="1"/>
  <c r="F1805" i="23"/>
  <c r="H1805" i="23" s="1"/>
  <c r="F1806" i="23"/>
  <c r="H1806" i="23" s="1"/>
  <c r="F1807" i="23"/>
  <c r="H1807" i="23" s="1"/>
  <c r="F1808" i="23"/>
  <c r="H1808" i="23" s="1"/>
  <c r="F1809" i="23"/>
  <c r="H1809" i="23" s="1"/>
  <c r="F1810" i="23"/>
  <c r="H1810" i="23" s="1"/>
  <c r="F1811" i="23"/>
  <c r="H1811" i="23" s="1"/>
  <c r="F1812" i="23"/>
  <c r="H1812" i="23" s="1"/>
  <c r="F1813" i="23"/>
  <c r="H1813" i="23" s="1"/>
  <c r="F1814" i="23"/>
  <c r="H1814" i="23" s="1"/>
  <c r="F1815" i="23"/>
  <c r="H1815" i="23" s="1"/>
  <c r="F1816" i="23"/>
  <c r="H1816" i="23" s="1"/>
  <c r="F1817" i="23"/>
  <c r="H1817" i="23" s="1"/>
  <c r="F1818" i="23"/>
  <c r="H1818" i="23" s="1"/>
  <c r="F1819" i="23"/>
  <c r="H1819" i="23" s="1"/>
  <c r="F1820" i="23"/>
  <c r="H1820" i="23" s="1"/>
  <c r="F1821" i="23"/>
  <c r="H1821" i="23" s="1"/>
  <c r="F1822" i="23"/>
  <c r="H1822" i="23" s="1"/>
  <c r="F1823" i="23"/>
  <c r="H1823" i="23" s="1"/>
  <c r="F1824" i="23"/>
  <c r="H1824" i="23" s="1"/>
  <c r="F1825" i="23"/>
  <c r="H1825" i="23" s="1"/>
  <c r="F1826" i="23"/>
  <c r="H1826" i="23" s="1"/>
  <c r="F1827" i="23"/>
  <c r="H1827" i="23" s="1"/>
  <c r="F1828" i="23"/>
  <c r="H1828" i="23" s="1"/>
  <c r="F1829" i="23"/>
  <c r="H1829" i="23" s="1"/>
  <c r="F1830" i="23"/>
  <c r="H1830" i="23" s="1"/>
  <c r="F1831" i="23"/>
  <c r="H1831" i="23" s="1"/>
  <c r="F1832" i="23"/>
  <c r="H1832" i="23" s="1"/>
  <c r="F1833" i="23"/>
  <c r="H1833" i="23" s="1"/>
  <c r="F1834" i="23"/>
  <c r="H1834" i="23" s="1"/>
  <c r="F1835" i="23"/>
  <c r="H1835" i="23" s="1"/>
  <c r="F1836" i="23"/>
  <c r="H1836" i="23" s="1"/>
  <c r="F1837" i="23"/>
  <c r="H1837" i="23" s="1"/>
  <c r="F1838" i="23"/>
  <c r="H1838" i="23" s="1"/>
  <c r="F1839" i="23"/>
  <c r="H1839" i="23" s="1"/>
  <c r="F1840" i="23"/>
  <c r="H1840" i="23" s="1"/>
  <c r="F1841" i="23"/>
  <c r="H1841" i="23" s="1"/>
  <c r="F1842" i="23"/>
  <c r="H1842" i="23" s="1"/>
  <c r="F1843" i="23"/>
  <c r="H1843" i="23" s="1"/>
  <c r="F1844" i="23"/>
  <c r="H1844" i="23" s="1"/>
  <c r="F1845" i="23"/>
  <c r="H1845" i="23" s="1"/>
  <c r="F1846" i="23"/>
  <c r="H1846" i="23" s="1"/>
  <c r="F1847" i="23"/>
  <c r="H1847" i="23" s="1"/>
  <c r="F1848" i="23"/>
  <c r="H1848" i="23" s="1"/>
  <c r="F1849" i="23"/>
  <c r="H1849" i="23" s="1"/>
  <c r="F1850" i="23"/>
  <c r="H1850" i="23" s="1"/>
  <c r="F1851" i="23"/>
  <c r="H1851" i="23" s="1"/>
  <c r="F1852" i="23"/>
  <c r="H1852" i="23" s="1"/>
  <c r="F1853" i="23"/>
  <c r="H1853" i="23" s="1"/>
  <c r="F1854" i="23"/>
  <c r="H1854" i="23" s="1"/>
  <c r="F1855" i="23"/>
  <c r="H1855" i="23" s="1"/>
  <c r="F1856" i="23"/>
  <c r="H1856" i="23" s="1"/>
  <c r="F1857" i="23"/>
  <c r="H1857" i="23" s="1"/>
  <c r="F1858" i="23"/>
  <c r="H1858" i="23" s="1"/>
  <c r="F1859" i="23"/>
  <c r="H1859" i="23" s="1"/>
  <c r="F1860" i="23"/>
  <c r="H1860" i="23" s="1"/>
  <c r="F1861" i="23"/>
  <c r="H1861" i="23" s="1"/>
  <c r="F1862" i="23"/>
  <c r="H1862" i="23" s="1"/>
  <c r="F1863" i="23"/>
  <c r="H1863" i="23" s="1"/>
  <c r="F1864" i="23"/>
  <c r="H1864" i="23" s="1"/>
  <c r="F1865" i="23"/>
  <c r="H1865" i="23" s="1"/>
  <c r="F1866" i="23"/>
  <c r="H1866" i="23" s="1"/>
  <c r="F1867" i="23"/>
  <c r="H1867" i="23" s="1"/>
  <c r="F1868" i="23"/>
  <c r="H1868" i="23" s="1"/>
  <c r="F1869" i="23"/>
  <c r="H1869" i="23" s="1"/>
  <c r="F1870" i="23"/>
  <c r="H1870" i="23" s="1"/>
  <c r="F1871" i="23"/>
  <c r="H1871" i="23" s="1"/>
  <c r="F1872" i="23"/>
  <c r="H1872" i="23" s="1"/>
  <c r="F1873" i="23"/>
  <c r="H1873" i="23" s="1"/>
  <c r="F1874" i="23"/>
  <c r="H1874" i="23" s="1"/>
  <c r="F1875" i="23"/>
  <c r="H1875" i="23" s="1"/>
  <c r="F1876" i="23"/>
  <c r="H1876" i="23" s="1"/>
  <c r="F1877" i="23"/>
  <c r="H1877" i="23" s="1"/>
  <c r="F1878" i="23"/>
  <c r="H1878" i="23" s="1"/>
  <c r="F1879" i="23"/>
  <c r="H1879" i="23" s="1"/>
  <c r="F1880" i="23"/>
  <c r="H1880" i="23" s="1"/>
  <c r="F1881" i="23"/>
  <c r="H1881" i="23" s="1"/>
  <c r="F1882" i="23"/>
  <c r="H1882" i="23" s="1"/>
  <c r="F1883" i="23"/>
  <c r="H1883" i="23" s="1"/>
  <c r="F1884" i="23"/>
  <c r="H1884" i="23" s="1"/>
  <c r="F1885" i="23"/>
  <c r="H1885" i="23" s="1"/>
  <c r="F1886" i="23"/>
  <c r="H1886" i="23" s="1"/>
  <c r="F1887" i="23"/>
  <c r="H1887" i="23" s="1"/>
  <c r="F1888" i="23"/>
  <c r="H1888" i="23" s="1"/>
  <c r="F1889" i="23"/>
  <c r="H1889" i="23" s="1"/>
  <c r="F1890" i="23"/>
  <c r="H1890" i="23" s="1"/>
  <c r="F1891" i="23"/>
  <c r="H1891" i="23" s="1"/>
  <c r="F1892" i="23"/>
  <c r="H1892" i="23" s="1"/>
  <c r="F1893" i="23"/>
  <c r="H1893" i="23" s="1"/>
  <c r="F1894" i="23"/>
  <c r="H1894" i="23" s="1"/>
  <c r="F1895" i="23"/>
  <c r="H1895" i="23" s="1"/>
  <c r="F1896" i="23"/>
  <c r="H1896" i="23" s="1"/>
  <c r="F1897" i="23"/>
  <c r="H1897" i="23" s="1"/>
  <c r="F1898" i="23"/>
  <c r="H1898" i="23" s="1"/>
  <c r="F1899" i="23"/>
  <c r="H1899" i="23" s="1"/>
  <c r="F1900" i="23"/>
  <c r="H1900" i="23" s="1"/>
  <c r="F1901" i="23"/>
  <c r="H1901" i="23" s="1"/>
  <c r="F1902" i="23"/>
  <c r="H1902" i="23" s="1"/>
  <c r="F1903" i="23"/>
  <c r="H1903" i="23" s="1"/>
  <c r="F1904" i="23"/>
  <c r="H1904" i="23" s="1"/>
  <c r="F1905" i="23"/>
  <c r="H1905" i="23" s="1"/>
  <c r="F1906" i="23"/>
  <c r="H1906" i="23" s="1"/>
  <c r="F1907" i="23"/>
  <c r="H1907" i="23" s="1"/>
  <c r="F1908" i="23"/>
  <c r="H1908" i="23" s="1"/>
  <c r="F1909" i="23"/>
  <c r="H1909" i="23" s="1"/>
  <c r="F1910" i="23"/>
  <c r="H1910" i="23" s="1"/>
  <c r="F1911" i="23"/>
  <c r="H1911" i="23" s="1"/>
  <c r="F1912" i="23"/>
  <c r="H1912" i="23" s="1"/>
  <c r="F1913" i="23"/>
  <c r="H1913" i="23" s="1"/>
  <c r="F1914" i="23"/>
  <c r="H1914" i="23" s="1"/>
  <c r="F1915" i="23"/>
  <c r="H1915" i="23" s="1"/>
  <c r="F1916" i="23"/>
  <c r="H1916" i="23" s="1"/>
  <c r="F1917" i="23"/>
  <c r="H1917" i="23" s="1"/>
  <c r="F1918" i="23"/>
  <c r="H1918" i="23" s="1"/>
  <c r="F1919" i="23"/>
  <c r="H1919" i="23" s="1"/>
  <c r="F1920" i="23"/>
  <c r="H1920" i="23" s="1"/>
  <c r="F1921" i="23"/>
  <c r="H1921" i="23" s="1"/>
  <c r="F1922" i="23"/>
  <c r="H1922" i="23" s="1"/>
  <c r="F1923" i="23"/>
  <c r="H1923" i="23" s="1"/>
  <c r="F1924" i="23"/>
  <c r="H1924" i="23" s="1"/>
  <c r="F1925" i="23"/>
  <c r="H1925" i="23" s="1"/>
  <c r="F1926" i="23"/>
  <c r="H1926" i="23" s="1"/>
  <c r="F1927" i="23"/>
  <c r="H1927" i="23" s="1"/>
  <c r="F1928" i="23"/>
  <c r="H1928" i="23" s="1"/>
  <c r="F1929" i="23"/>
  <c r="H1929" i="23" s="1"/>
  <c r="F1930" i="23"/>
  <c r="H1930" i="23" s="1"/>
  <c r="F1931" i="23"/>
  <c r="H1931" i="23" s="1"/>
  <c r="F1932" i="23"/>
  <c r="H1932" i="23" s="1"/>
  <c r="F1933" i="23"/>
  <c r="H1933" i="23" s="1"/>
  <c r="F1934" i="23"/>
  <c r="H1934" i="23" s="1"/>
  <c r="F1935" i="23"/>
  <c r="H1935" i="23" s="1"/>
  <c r="F1936" i="23"/>
  <c r="H1936" i="23"/>
  <c r="F1937" i="23"/>
  <c r="H1937" i="23" s="1"/>
  <c r="F1938" i="23"/>
  <c r="H1938" i="23" s="1"/>
  <c r="F1939" i="23"/>
  <c r="H1939" i="23" s="1"/>
  <c r="F1940" i="23"/>
  <c r="H1940" i="23" s="1"/>
  <c r="F1941" i="23"/>
  <c r="H1941" i="23" s="1"/>
  <c r="F1942" i="23"/>
  <c r="H1942" i="23" s="1"/>
  <c r="F1943" i="23"/>
  <c r="H1943" i="23" s="1"/>
  <c r="F1944" i="23"/>
  <c r="H1944" i="23" s="1"/>
  <c r="F1945" i="23"/>
  <c r="H1945" i="23" s="1"/>
  <c r="F1946" i="23"/>
  <c r="H1946" i="23" s="1"/>
  <c r="F1947" i="23"/>
  <c r="H1947" i="23" s="1"/>
  <c r="F1948" i="23"/>
  <c r="H1948" i="23" s="1"/>
  <c r="F1949" i="23"/>
  <c r="H1949" i="23" s="1"/>
  <c r="F1950" i="23"/>
  <c r="H1950" i="23" s="1"/>
  <c r="F1951" i="23"/>
  <c r="H1951" i="23" s="1"/>
  <c r="F1952" i="23"/>
  <c r="H1952" i="23" s="1"/>
  <c r="F1953" i="23"/>
  <c r="H1953" i="23" s="1"/>
  <c r="F1954" i="23"/>
  <c r="H1954" i="23"/>
  <c r="F1955" i="23"/>
  <c r="H1955" i="23" s="1"/>
  <c r="F1956" i="23"/>
  <c r="H1956" i="23" s="1"/>
  <c r="F1957" i="23"/>
  <c r="H1957" i="23" s="1"/>
  <c r="F1958" i="23"/>
  <c r="H1958" i="23" s="1"/>
  <c r="F1959" i="23"/>
  <c r="H1959" i="23" s="1"/>
  <c r="F1960" i="23"/>
  <c r="H1960" i="23" s="1"/>
  <c r="F1961" i="23"/>
  <c r="H1961" i="23" s="1"/>
  <c r="F1962" i="23"/>
  <c r="H1962" i="23" s="1"/>
  <c r="F1963" i="23"/>
  <c r="H1963" i="23" s="1"/>
  <c r="F1964" i="23"/>
  <c r="H1964" i="23" s="1"/>
  <c r="F1965" i="23"/>
  <c r="H1965" i="23" s="1"/>
  <c r="F1966" i="23"/>
  <c r="H1966" i="23" s="1"/>
  <c r="F1967" i="23"/>
  <c r="H1967" i="23" s="1"/>
  <c r="F1968" i="23"/>
  <c r="H1968" i="23" s="1"/>
  <c r="F1969" i="23"/>
  <c r="H1969" i="23" s="1"/>
  <c r="F1970" i="23"/>
  <c r="H1970" i="23" s="1"/>
  <c r="F1971" i="23"/>
  <c r="H1971" i="23" s="1"/>
  <c r="F1972" i="23"/>
  <c r="H1972" i="23" s="1"/>
  <c r="F1973" i="23"/>
  <c r="H1973" i="23" s="1"/>
  <c r="F1974" i="23"/>
  <c r="H1974" i="23" s="1"/>
  <c r="F1975" i="23"/>
  <c r="H1975" i="23" s="1"/>
  <c r="F1976" i="23"/>
  <c r="H1976" i="23" s="1"/>
  <c r="F1977" i="23"/>
  <c r="H1977" i="23" s="1"/>
  <c r="F1978" i="23"/>
  <c r="H1978" i="23" s="1"/>
  <c r="F1979" i="23"/>
  <c r="H1979" i="23" s="1"/>
  <c r="F1980" i="23"/>
  <c r="H1980" i="23" s="1"/>
  <c r="F1981" i="23"/>
  <c r="H1981" i="23" s="1"/>
  <c r="F1982" i="23"/>
  <c r="H1982" i="23" s="1"/>
  <c r="F1983" i="23"/>
  <c r="H1983" i="23" s="1"/>
  <c r="F1984" i="23"/>
  <c r="H1984" i="23" s="1"/>
  <c r="F1985" i="23"/>
  <c r="H1985" i="23" s="1"/>
  <c r="F1986" i="23"/>
  <c r="H1986" i="23" s="1"/>
  <c r="F1987" i="23"/>
  <c r="H1987" i="23" s="1"/>
  <c r="F1988" i="23"/>
  <c r="H1988" i="23" s="1"/>
  <c r="F1989" i="23"/>
  <c r="H1989" i="23" s="1"/>
  <c r="F1990" i="23"/>
  <c r="H1990" i="23" s="1"/>
  <c r="F1991" i="23"/>
  <c r="H1991" i="23" s="1"/>
  <c r="F1992" i="23"/>
  <c r="H1992" i="23" s="1"/>
  <c r="F1993" i="23"/>
  <c r="H1993" i="23" s="1"/>
  <c r="F1994" i="23"/>
  <c r="H1994" i="23" s="1"/>
  <c r="F1995" i="23"/>
  <c r="H1995" i="23" s="1"/>
  <c r="F1996" i="23"/>
  <c r="H1996" i="23" s="1"/>
  <c r="F1997" i="23"/>
  <c r="H1997" i="23" s="1"/>
  <c r="F1998" i="23"/>
  <c r="H1998" i="23" s="1"/>
  <c r="F1999" i="23"/>
  <c r="H1999" i="23" s="1"/>
  <c r="F2000" i="23"/>
  <c r="H2000" i="23" s="1"/>
  <c r="F2001" i="23"/>
  <c r="H2001" i="23" s="1"/>
  <c r="F2002" i="23"/>
  <c r="H2002" i="23" s="1"/>
  <c r="F2003" i="23"/>
  <c r="H2003" i="23" s="1"/>
  <c r="F2004" i="23"/>
  <c r="H2004" i="23" s="1"/>
  <c r="F2005" i="23"/>
  <c r="H2005" i="23" s="1"/>
  <c r="F2006" i="23"/>
  <c r="H2006" i="23" s="1"/>
  <c r="F2007" i="23"/>
  <c r="H2007" i="23" s="1"/>
  <c r="F2008" i="23"/>
  <c r="H2008" i="23" s="1"/>
  <c r="F2009" i="23"/>
  <c r="H2009" i="23" s="1"/>
  <c r="F2010" i="23"/>
  <c r="H2010" i="23" s="1"/>
  <c r="F2011" i="23"/>
  <c r="H2011" i="23" s="1"/>
  <c r="F2012" i="23"/>
  <c r="H2012" i="23" s="1"/>
  <c r="F2013" i="23"/>
  <c r="H2013" i="23" s="1"/>
  <c r="F2014" i="23"/>
  <c r="H2014" i="23" s="1"/>
  <c r="F2015" i="23"/>
  <c r="H2015" i="23" s="1"/>
  <c r="F2016" i="23"/>
  <c r="H2016" i="23" s="1"/>
  <c r="F2017" i="23"/>
  <c r="H2017" i="23" s="1"/>
  <c r="F2018" i="23"/>
  <c r="H2018" i="23" s="1"/>
  <c r="F2019" i="23"/>
  <c r="H2019" i="23" s="1"/>
  <c r="F2020" i="23"/>
  <c r="H2020" i="23" s="1"/>
  <c r="F2021" i="23"/>
  <c r="H2021" i="23" s="1"/>
  <c r="F2022" i="23"/>
  <c r="H2022" i="23" s="1"/>
  <c r="F2023" i="23"/>
  <c r="H2023" i="23" s="1"/>
  <c r="F2024" i="23"/>
  <c r="H2024" i="23" s="1"/>
  <c r="F2025" i="23"/>
  <c r="H2025" i="23" s="1"/>
  <c r="F2026" i="23"/>
  <c r="H2026" i="23" s="1"/>
  <c r="F2027" i="23"/>
  <c r="H2027" i="23" s="1"/>
  <c r="F2028" i="23"/>
  <c r="H2028" i="23" s="1"/>
  <c r="F2029" i="23"/>
  <c r="H2029" i="23" s="1"/>
  <c r="F2030" i="23"/>
  <c r="H2030" i="23" s="1"/>
  <c r="F2031" i="23"/>
  <c r="H2031" i="23" s="1"/>
  <c r="F2032" i="23"/>
  <c r="H2032" i="23" s="1"/>
  <c r="F2033" i="23"/>
  <c r="H2033" i="23" s="1"/>
  <c r="F2034" i="23"/>
  <c r="H2034" i="23" s="1"/>
  <c r="F2035" i="23"/>
  <c r="H2035" i="23" s="1"/>
  <c r="F2036" i="23"/>
  <c r="H2036" i="23" s="1"/>
  <c r="F2037" i="23"/>
  <c r="H2037" i="23" s="1"/>
  <c r="F2038" i="23"/>
  <c r="H2038" i="23" s="1"/>
  <c r="F2039" i="23"/>
  <c r="H2039" i="23" s="1"/>
  <c r="F2040" i="23"/>
  <c r="H2040" i="23" s="1"/>
  <c r="F2041" i="23"/>
  <c r="H2041" i="23" s="1"/>
  <c r="F2042" i="23"/>
  <c r="H2042" i="23" s="1"/>
  <c r="F2043" i="23"/>
  <c r="H2043" i="23" s="1"/>
  <c r="F2044" i="23"/>
  <c r="H2044" i="23" s="1"/>
  <c r="F2045" i="23"/>
  <c r="H2045" i="23" s="1"/>
  <c r="F2046" i="23"/>
  <c r="H2046" i="23" s="1"/>
  <c r="F2047" i="23"/>
  <c r="H2047" i="23" s="1"/>
  <c r="F2048" i="23"/>
  <c r="H2048" i="23" s="1"/>
  <c r="F2049" i="23"/>
  <c r="H2049" i="23" s="1"/>
  <c r="F2050" i="23"/>
  <c r="H2050" i="23" s="1"/>
  <c r="F2051" i="23"/>
  <c r="H2051" i="23" s="1"/>
  <c r="F2052" i="23"/>
  <c r="H2052" i="23" s="1"/>
  <c r="F2053" i="23"/>
  <c r="H2053" i="23" s="1"/>
  <c r="F2054" i="23"/>
  <c r="H2054" i="23" s="1"/>
  <c r="F2055" i="23"/>
  <c r="H2055" i="23" s="1"/>
  <c r="F2056" i="23"/>
  <c r="H2056" i="23" s="1"/>
  <c r="F2057" i="23"/>
  <c r="H2057" i="23" s="1"/>
  <c r="F2058" i="23"/>
  <c r="H2058" i="23" s="1"/>
  <c r="F2059" i="23"/>
  <c r="H2059" i="23" s="1"/>
  <c r="F2060" i="23"/>
  <c r="H2060" i="23" s="1"/>
  <c r="F2061" i="23"/>
  <c r="H2061" i="23" s="1"/>
  <c r="F2062" i="23"/>
  <c r="H2062" i="23" s="1"/>
  <c r="F2063" i="23"/>
  <c r="H2063" i="23" s="1"/>
  <c r="F2064" i="23"/>
  <c r="H2064" i="23" s="1"/>
  <c r="F2065" i="23"/>
  <c r="H2065" i="23" s="1"/>
  <c r="F2066" i="23"/>
  <c r="H2066" i="23" s="1"/>
  <c r="F2067" i="23"/>
  <c r="H2067" i="23" s="1"/>
  <c r="F2068" i="23"/>
  <c r="H2068" i="23" s="1"/>
  <c r="F2069" i="23"/>
  <c r="H2069" i="23" s="1"/>
  <c r="F2070" i="23"/>
  <c r="H2070" i="23" s="1"/>
  <c r="F2071" i="23"/>
  <c r="H2071" i="23" s="1"/>
  <c r="F2072" i="23"/>
  <c r="H2072" i="23" s="1"/>
  <c r="F2073" i="23"/>
  <c r="H2073" i="23" s="1"/>
  <c r="F2074" i="23"/>
  <c r="H2074" i="23" s="1"/>
  <c r="F2075" i="23"/>
  <c r="H2075" i="23" s="1"/>
  <c r="F2076" i="23"/>
  <c r="H2076" i="23" s="1"/>
  <c r="F2077" i="23"/>
  <c r="H2077" i="23" s="1"/>
  <c r="F2078" i="23"/>
  <c r="H2078" i="23" s="1"/>
  <c r="F2079" i="23"/>
  <c r="H2079" i="23" s="1"/>
  <c r="F2080" i="23"/>
  <c r="H2080" i="23" s="1"/>
  <c r="F2081" i="23"/>
  <c r="H2081" i="23" s="1"/>
  <c r="F2082" i="23"/>
  <c r="H2082" i="23" s="1"/>
  <c r="F2083" i="23"/>
  <c r="H2083" i="23" s="1"/>
  <c r="F2084" i="23"/>
  <c r="H2084" i="23" s="1"/>
  <c r="F2085" i="23"/>
  <c r="H2085" i="23" s="1"/>
  <c r="F2086" i="23"/>
  <c r="H2086" i="23" s="1"/>
  <c r="F2087" i="23"/>
  <c r="H2087" i="23" s="1"/>
  <c r="F2088" i="23"/>
  <c r="H2088" i="23" s="1"/>
  <c r="F2089" i="23"/>
  <c r="H2089" i="23" s="1"/>
  <c r="F2090" i="23"/>
  <c r="H2090" i="23" s="1"/>
  <c r="F2091" i="23"/>
  <c r="H2091" i="23" s="1"/>
  <c r="F2092" i="23"/>
  <c r="H2092" i="23" s="1"/>
  <c r="F2093" i="23"/>
  <c r="H2093" i="23" s="1"/>
  <c r="F2094" i="23"/>
  <c r="H2094" i="23" s="1"/>
  <c r="F2095" i="23"/>
  <c r="H2095" i="23" s="1"/>
  <c r="F2096" i="23"/>
  <c r="H2096" i="23" s="1"/>
  <c r="F2097" i="23"/>
  <c r="H2097" i="23" s="1"/>
  <c r="F2098" i="23"/>
  <c r="H2098" i="23" s="1"/>
  <c r="F2099" i="23"/>
  <c r="H2099" i="23" s="1"/>
  <c r="F2100" i="23"/>
  <c r="H2100" i="23" s="1"/>
  <c r="F2101" i="23"/>
  <c r="H2101" i="23" s="1"/>
  <c r="F2102" i="23"/>
  <c r="H2102" i="23" s="1"/>
  <c r="F2103" i="23"/>
  <c r="H2103" i="23" s="1"/>
  <c r="F2104" i="23"/>
  <c r="H2104" i="23" s="1"/>
  <c r="F2105" i="23"/>
  <c r="H2105" i="23" s="1"/>
  <c r="F2106" i="23"/>
  <c r="H2106" i="23" s="1"/>
  <c r="F2107" i="23"/>
  <c r="H2107" i="23" s="1"/>
  <c r="F2108" i="23"/>
  <c r="H2108" i="23" s="1"/>
  <c r="F2109" i="23"/>
  <c r="H2109" i="23" s="1"/>
  <c r="F2110" i="23"/>
  <c r="H2110" i="23"/>
  <c r="F2111" i="23"/>
  <c r="H2111" i="23" s="1"/>
  <c r="F2112" i="23"/>
  <c r="H2112" i="23" s="1"/>
  <c r="F2113" i="23"/>
  <c r="H2113" i="23" s="1"/>
  <c r="F2114" i="23"/>
  <c r="H2114" i="23" s="1"/>
  <c r="F2115" i="23"/>
  <c r="H2115" i="23" s="1"/>
  <c r="F2116" i="23"/>
  <c r="H2116" i="23" s="1"/>
  <c r="F2117" i="23"/>
  <c r="H2117" i="23" s="1"/>
  <c r="F2118" i="23"/>
  <c r="H2118" i="23" s="1"/>
  <c r="F2119" i="23"/>
  <c r="H2119" i="23" s="1"/>
  <c r="F2120" i="23"/>
  <c r="H2120" i="23" s="1"/>
  <c r="F2121" i="23"/>
  <c r="H2121" i="23" s="1"/>
  <c r="F2122" i="23"/>
  <c r="H2122" i="23" s="1"/>
  <c r="F2123" i="23"/>
  <c r="H2123" i="23" s="1"/>
  <c r="F2124" i="23"/>
  <c r="H2124" i="23" s="1"/>
  <c r="F2125" i="23"/>
  <c r="H2125" i="23" s="1"/>
  <c r="F2126" i="23"/>
  <c r="H2126" i="23" s="1"/>
  <c r="F2127" i="23"/>
  <c r="H2127" i="23" s="1"/>
  <c r="F2128" i="23"/>
  <c r="H2128" i="23" s="1"/>
  <c r="F2129" i="23"/>
  <c r="H2129" i="23" s="1"/>
  <c r="F2130" i="23"/>
  <c r="H2130" i="23" s="1"/>
  <c r="F2131" i="23"/>
  <c r="H2131" i="23" s="1"/>
  <c r="F2132" i="23"/>
  <c r="H2132" i="23" s="1"/>
  <c r="F2133" i="23"/>
  <c r="H2133" i="23" s="1"/>
  <c r="F2134" i="23"/>
  <c r="H2134" i="23" s="1"/>
  <c r="F2135" i="23"/>
  <c r="H2135" i="23" s="1"/>
  <c r="F2136" i="23"/>
  <c r="H2136" i="23" s="1"/>
  <c r="F2137" i="23"/>
  <c r="H2137" i="23" s="1"/>
  <c r="F2138" i="23"/>
  <c r="H2138" i="23" s="1"/>
  <c r="F2139" i="23"/>
  <c r="H2139" i="23" s="1"/>
  <c r="F2140" i="23"/>
  <c r="H2140" i="23" s="1"/>
  <c r="F2141" i="23"/>
  <c r="H2141" i="23" s="1"/>
  <c r="F2142" i="23"/>
  <c r="H2142" i="23" s="1"/>
  <c r="F2143" i="23"/>
  <c r="H2143" i="23" s="1"/>
  <c r="F2144" i="23"/>
  <c r="H2144" i="23" s="1"/>
  <c r="F2145" i="23"/>
  <c r="H2145" i="23" s="1"/>
  <c r="F2146" i="23"/>
  <c r="H2146" i="23" s="1"/>
  <c r="F2147" i="23"/>
  <c r="H2147" i="23" s="1"/>
  <c r="F2148" i="23"/>
  <c r="H2148" i="23" s="1"/>
  <c r="F2149" i="23"/>
  <c r="H2149" i="23" s="1"/>
  <c r="F2150" i="23"/>
  <c r="H2150" i="23" s="1"/>
  <c r="F2151" i="23"/>
  <c r="H2151" i="23" s="1"/>
  <c r="F2152" i="23"/>
  <c r="H2152" i="23" s="1"/>
  <c r="F2153" i="23"/>
  <c r="H2153" i="23" s="1"/>
  <c r="F2154" i="23"/>
  <c r="H2154" i="23" s="1"/>
  <c r="F2155" i="23"/>
  <c r="H2155" i="23" s="1"/>
  <c r="F2156" i="23"/>
  <c r="H2156" i="23" s="1"/>
  <c r="F2157" i="23"/>
  <c r="H2157" i="23" s="1"/>
  <c r="F2158" i="23"/>
  <c r="H2158" i="23" s="1"/>
  <c r="F2159" i="23"/>
  <c r="H2159" i="23" s="1"/>
  <c r="F2160" i="23"/>
  <c r="H2160" i="23" s="1"/>
  <c r="F2161" i="23"/>
  <c r="H2161" i="23" s="1"/>
  <c r="F2162" i="23"/>
  <c r="H2162" i="23" s="1"/>
  <c r="F2163" i="23"/>
  <c r="H2163" i="23" s="1"/>
  <c r="F2164" i="23"/>
  <c r="H2164" i="23" s="1"/>
  <c r="F2165" i="23"/>
  <c r="H2165" i="23" s="1"/>
  <c r="F2166" i="23"/>
  <c r="H2166" i="23" s="1"/>
  <c r="F2167" i="23"/>
  <c r="H2167" i="23" s="1"/>
  <c r="F2168" i="23"/>
  <c r="H2168" i="23" s="1"/>
  <c r="F2169" i="23"/>
  <c r="H2169" i="23" s="1"/>
  <c r="F2170" i="23"/>
  <c r="H2170" i="23" s="1"/>
  <c r="F2171" i="23"/>
  <c r="H2171" i="23" s="1"/>
  <c r="F2172" i="23"/>
  <c r="H2172" i="23" s="1"/>
  <c r="F2173" i="23"/>
  <c r="H2173" i="23" s="1"/>
  <c r="F2174" i="23"/>
  <c r="H2174" i="23" s="1"/>
  <c r="F2175" i="23"/>
  <c r="H2175" i="23" s="1"/>
  <c r="F2176" i="23"/>
  <c r="H2176" i="23" s="1"/>
  <c r="F2177" i="23"/>
  <c r="H2177" i="23" s="1"/>
  <c r="F2178" i="23"/>
  <c r="H2178" i="23" s="1"/>
  <c r="F2179" i="23"/>
  <c r="H2179" i="23" s="1"/>
  <c r="F2180" i="23"/>
  <c r="H2180" i="23" s="1"/>
  <c r="F2181" i="23"/>
  <c r="H2181" i="23" s="1"/>
  <c r="F2182" i="23"/>
  <c r="H2182" i="23" s="1"/>
  <c r="F2183" i="23"/>
  <c r="H2183" i="23" s="1"/>
  <c r="F2184" i="23"/>
  <c r="H2184" i="23" s="1"/>
  <c r="F2185" i="23"/>
  <c r="H2185" i="23" s="1"/>
  <c r="F2186" i="23"/>
  <c r="H2186" i="23" s="1"/>
  <c r="F2187" i="23"/>
  <c r="H2187" i="23" s="1"/>
  <c r="F2188" i="23"/>
  <c r="H2188" i="23" s="1"/>
  <c r="F2189" i="23"/>
  <c r="H2189" i="23" s="1"/>
  <c r="F2190" i="23"/>
  <c r="H2190" i="23" s="1"/>
  <c r="F2191" i="23"/>
  <c r="H2191" i="23" s="1"/>
  <c r="F2192" i="23"/>
  <c r="H2192" i="23" s="1"/>
  <c r="F2193" i="23"/>
  <c r="H2193" i="23" s="1"/>
  <c r="F2194" i="23"/>
  <c r="H2194" i="23" s="1"/>
  <c r="F2195" i="23"/>
  <c r="H2195" i="23" s="1"/>
  <c r="F2196" i="23"/>
  <c r="H2196" i="23" s="1"/>
  <c r="F2197" i="23"/>
  <c r="H2197" i="23" s="1"/>
  <c r="F2198" i="23"/>
  <c r="H2198" i="23" s="1"/>
  <c r="F2199" i="23"/>
  <c r="H2199" i="23" s="1"/>
  <c r="F2200" i="23"/>
  <c r="H2200" i="23" s="1"/>
  <c r="F2201" i="23"/>
  <c r="H2201" i="23" s="1"/>
  <c r="F2202" i="23"/>
  <c r="H2202" i="23" s="1"/>
  <c r="F2203" i="23"/>
  <c r="H2203" i="23" s="1"/>
  <c r="F2204" i="23"/>
  <c r="H2204" i="23" s="1"/>
  <c r="F2205" i="23"/>
  <c r="H2205" i="23" s="1"/>
  <c r="F2206" i="23"/>
  <c r="H2206" i="23" s="1"/>
  <c r="F2207" i="23"/>
  <c r="H2207" i="23" s="1"/>
  <c r="F2208" i="23"/>
  <c r="H2208" i="23" s="1"/>
  <c r="F2209" i="23"/>
  <c r="H2209" i="23" s="1"/>
  <c r="F2210" i="23"/>
  <c r="H2210" i="23" s="1"/>
  <c r="F2211" i="23"/>
  <c r="H2211" i="23" s="1"/>
  <c r="F2212" i="23"/>
  <c r="H2212" i="23" s="1"/>
  <c r="F2213" i="23"/>
  <c r="H2213" i="23" s="1"/>
  <c r="F2214" i="23"/>
  <c r="H2214" i="23" s="1"/>
  <c r="F2215" i="23"/>
  <c r="H2215" i="23" s="1"/>
  <c r="F2216" i="23"/>
  <c r="H2216" i="23" s="1"/>
  <c r="F2217" i="23"/>
  <c r="H2217" i="23" s="1"/>
  <c r="F2218" i="23"/>
  <c r="H2218" i="23" s="1"/>
  <c r="F2219" i="23"/>
  <c r="H2219" i="23" s="1"/>
  <c r="F2220" i="23"/>
  <c r="H2220" i="23" s="1"/>
  <c r="F2221" i="23"/>
  <c r="H2221" i="23" s="1"/>
  <c r="F2222" i="23"/>
  <c r="H2222" i="23" s="1"/>
  <c r="F2223" i="23"/>
  <c r="H2223" i="23" s="1"/>
  <c r="F2224" i="23"/>
  <c r="H2224" i="23" s="1"/>
  <c r="F2225" i="23"/>
  <c r="H2225" i="23" s="1"/>
  <c r="F2226" i="23"/>
  <c r="H2226" i="23" s="1"/>
  <c r="F2227" i="23"/>
  <c r="H2227" i="23" s="1"/>
  <c r="F2228" i="23"/>
  <c r="H2228" i="23" s="1"/>
  <c r="F2229" i="23"/>
  <c r="H2229" i="23" s="1"/>
  <c r="F2230" i="23"/>
  <c r="H2230" i="23" s="1"/>
  <c r="F2231" i="23"/>
  <c r="H2231" i="23" s="1"/>
  <c r="F2232" i="23"/>
  <c r="H2232" i="23" s="1"/>
  <c r="F2233" i="23"/>
  <c r="H2233" i="23" s="1"/>
  <c r="F2234" i="23"/>
  <c r="H2234" i="23" s="1"/>
  <c r="F2235" i="23"/>
  <c r="H2235" i="23" s="1"/>
  <c r="F2236" i="23"/>
  <c r="H2236" i="23" s="1"/>
  <c r="F2237" i="23"/>
  <c r="H2237" i="23" s="1"/>
  <c r="F2238" i="23"/>
  <c r="H2238" i="23" s="1"/>
  <c r="F2239" i="23"/>
  <c r="H2239" i="23" s="1"/>
  <c r="F2240" i="23"/>
  <c r="H2240" i="23" s="1"/>
  <c r="F2241" i="23"/>
  <c r="H2241" i="23" s="1"/>
  <c r="F2242" i="23"/>
  <c r="H2242" i="23" s="1"/>
  <c r="F2243" i="23"/>
  <c r="H2243" i="23" s="1"/>
  <c r="F2244" i="23"/>
  <c r="H2244" i="23" s="1"/>
  <c r="F2245" i="23"/>
  <c r="H2245" i="23" s="1"/>
  <c r="F2246" i="23"/>
  <c r="H2246" i="23" s="1"/>
  <c r="F2247" i="23"/>
  <c r="H2247" i="23" s="1"/>
  <c r="F2248" i="23"/>
  <c r="H2248" i="23" s="1"/>
  <c r="F2249" i="23"/>
  <c r="H2249" i="23" s="1"/>
  <c r="F2250" i="23"/>
  <c r="H2250" i="23" s="1"/>
  <c r="F2251" i="23"/>
  <c r="H2251" i="23" s="1"/>
  <c r="F2252" i="23"/>
  <c r="H2252" i="23" s="1"/>
  <c r="F2253" i="23"/>
  <c r="H2253" i="23" s="1"/>
  <c r="F2254" i="23"/>
  <c r="H2254" i="23" s="1"/>
  <c r="F2255" i="23"/>
  <c r="H2255" i="23" s="1"/>
  <c r="F2256" i="23"/>
  <c r="H2256" i="23" s="1"/>
  <c r="F2257" i="23"/>
  <c r="H2257" i="23" s="1"/>
  <c r="F2258" i="23"/>
  <c r="H2258" i="23" s="1"/>
  <c r="F2259" i="23"/>
  <c r="H2259" i="23" s="1"/>
  <c r="F2260" i="23"/>
  <c r="H2260" i="23" s="1"/>
  <c r="F2261" i="23"/>
  <c r="H2261" i="23" s="1"/>
  <c r="F2262" i="23"/>
  <c r="H2262" i="23" s="1"/>
  <c r="F2263" i="23"/>
  <c r="H2263" i="23" s="1"/>
  <c r="F2264" i="23"/>
  <c r="H2264" i="23" s="1"/>
  <c r="F2265" i="23"/>
  <c r="H2265" i="23" s="1"/>
  <c r="F2266" i="23"/>
  <c r="H2266" i="23" s="1"/>
  <c r="F2267" i="23"/>
  <c r="H2267" i="23" s="1"/>
  <c r="F2268" i="23"/>
  <c r="H2268" i="23" s="1"/>
  <c r="F2269" i="23"/>
  <c r="H2269" i="23" s="1"/>
  <c r="F2270" i="23"/>
  <c r="H2270" i="23" s="1"/>
  <c r="F2271" i="23"/>
  <c r="H2271" i="23" s="1"/>
  <c r="F2272" i="23"/>
  <c r="H2272" i="23" s="1"/>
  <c r="F2273" i="23"/>
  <c r="H2273" i="23" s="1"/>
  <c r="F2274" i="23"/>
  <c r="H2274" i="23" s="1"/>
  <c r="F2275" i="23"/>
  <c r="H2275" i="23" s="1"/>
  <c r="F2276" i="23"/>
  <c r="H2276" i="23" s="1"/>
  <c r="F2277" i="23"/>
  <c r="H2277" i="23" s="1"/>
  <c r="F2278" i="23"/>
  <c r="H2278" i="23" s="1"/>
  <c r="F2279" i="23"/>
  <c r="H2279" i="23" s="1"/>
  <c r="F2280" i="23"/>
  <c r="H2280" i="23" s="1"/>
  <c r="F2281" i="23"/>
  <c r="H2281" i="23" s="1"/>
  <c r="F2282" i="23"/>
  <c r="H2282" i="23" s="1"/>
  <c r="F2283" i="23"/>
  <c r="H2283" i="23" s="1"/>
  <c r="F2284" i="23"/>
  <c r="H2284" i="23" s="1"/>
  <c r="F2285" i="23"/>
  <c r="H2285" i="23" s="1"/>
  <c r="F2286" i="23"/>
  <c r="H2286" i="23" s="1"/>
  <c r="F2287" i="23"/>
  <c r="H2287" i="23" s="1"/>
  <c r="F2288" i="23"/>
  <c r="H2288" i="23" s="1"/>
  <c r="F2289" i="23"/>
  <c r="H2289" i="23" s="1"/>
  <c r="F2290" i="23"/>
  <c r="H2290" i="23" s="1"/>
  <c r="F2291" i="23"/>
  <c r="H2291" i="23" s="1"/>
  <c r="F2292" i="23"/>
  <c r="H2292" i="23" s="1"/>
  <c r="F2293" i="23"/>
  <c r="H2293" i="23" s="1"/>
  <c r="F2294" i="23"/>
  <c r="H2294" i="23" s="1"/>
  <c r="F2295" i="23"/>
  <c r="H2295" i="23" s="1"/>
  <c r="F2296" i="23"/>
  <c r="H2296" i="23" s="1"/>
  <c r="F2297" i="23"/>
  <c r="H2297" i="23" s="1"/>
  <c r="F2298" i="23"/>
  <c r="H2298" i="23" s="1"/>
  <c r="F2299" i="23"/>
  <c r="H2299" i="23" s="1"/>
  <c r="F2300" i="23"/>
  <c r="H2300" i="23" s="1"/>
  <c r="F2301" i="23"/>
  <c r="H2301" i="23" s="1"/>
  <c r="F2302" i="23"/>
  <c r="H2302" i="23" s="1"/>
  <c r="F2303" i="23"/>
  <c r="H2303" i="23" s="1"/>
  <c r="F2304" i="23"/>
  <c r="H2304" i="23" s="1"/>
  <c r="F2305" i="23"/>
  <c r="H2305" i="23" s="1"/>
  <c r="F2306" i="23"/>
  <c r="H2306" i="23" s="1"/>
  <c r="F2307" i="23"/>
  <c r="H2307" i="23" s="1"/>
  <c r="F2308" i="23"/>
  <c r="H2308" i="23" s="1"/>
  <c r="F2309" i="23"/>
  <c r="H2309" i="23" s="1"/>
  <c r="F2310" i="23"/>
  <c r="H2310" i="23" s="1"/>
  <c r="F2311" i="23"/>
  <c r="H2311" i="23" s="1"/>
  <c r="F2312" i="23"/>
  <c r="H2312" i="23" s="1"/>
  <c r="F2313" i="23"/>
  <c r="H2313" i="23" s="1"/>
  <c r="F2314" i="23"/>
  <c r="H2314" i="23" s="1"/>
  <c r="F2315" i="23"/>
  <c r="H2315" i="23" s="1"/>
  <c r="F2316" i="23"/>
  <c r="H2316" i="23" s="1"/>
  <c r="F2317" i="23"/>
  <c r="H2317" i="23" s="1"/>
  <c r="F2318" i="23"/>
  <c r="H2318" i="23" s="1"/>
  <c r="F2319" i="23"/>
  <c r="H2319" i="23" s="1"/>
  <c r="F2320" i="23"/>
  <c r="H2320" i="23" s="1"/>
  <c r="F2321" i="23"/>
  <c r="H2321" i="23" s="1"/>
  <c r="F2322" i="23"/>
  <c r="H2322" i="23" s="1"/>
  <c r="F2323" i="23"/>
  <c r="H2323" i="23" s="1"/>
  <c r="F2324" i="23"/>
  <c r="H2324" i="23" s="1"/>
  <c r="F2325" i="23"/>
  <c r="H2325" i="23" s="1"/>
  <c r="F2326" i="23"/>
  <c r="H2326" i="23" s="1"/>
  <c r="F2327" i="23"/>
  <c r="H2327" i="23" s="1"/>
  <c r="F2328" i="23"/>
  <c r="H2328" i="23" s="1"/>
  <c r="F2329" i="23"/>
  <c r="H2329" i="23" s="1"/>
  <c r="F2330" i="23"/>
  <c r="H2330" i="23" s="1"/>
  <c r="F2331" i="23"/>
  <c r="H2331" i="23" s="1"/>
  <c r="F2332" i="23"/>
  <c r="H2332" i="23" s="1"/>
  <c r="F2333" i="23"/>
  <c r="H2333" i="23" s="1"/>
  <c r="F2334" i="23"/>
  <c r="H2334" i="23" s="1"/>
  <c r="F2335" i="23"/>
  <c r="H2335" i="23" s="1"/>
  <c r="F2336" i="23"/>
  <c r="H2336" i="23" s="1"/>
  <c r="F2337" i="23"/>
  <c r="H2337" i="23" s="1"/>
  <c r="F2338" i="23"/>
  <c r="H2338" i="23" s="1"/>
  <c r="F2339" i="23"/>
  <c r="H2339" i="23" s="1"/>
  <c r="F2340" i="23"/>
  <c r="H2340" i="23" s="1"/>
  <c r="F2341" i="23"/>
  <c r="H2341" i="23" s="1"/>
  <c r="F2342" i="23"/>
  <c r="H2342" i="23" s="1"/>
  <c r="F2343" i="23"/>
  <c r="H2343" i="23" s="1"/>
  <c r="F2344" i="23"/>
  <c r="H2344" i="23" s="1"/>
  <c r="F2345" i="23"/>
  <c r="H2345" i="23" s="1"/>
  <c r="F2346" i="23"/>
  <c r="H2346" i="23" s="1"/>
  <c r="F2347" i="23"/>
  <c r="H2347" i="23" s="1"/>
  <c r="F2348" i="23"/>
  <c r="H2348" i="23" s="1"/>
  <c r="F2349" i="23"/>
  <c r="H2349" i="23" s="1"/>
  <c r="F2350" i="23"/>
  <c r="H2350" i="23" s="1"/>
  <c r="F2351" i="23"/>
  <c r="H2351" i="23" s="1"/>
  <c r="F2352" i="23"/>
  <c r="H2352" i="23" s="1"/>
  <c r="F2353" i="23"/>
  <c r="H2353" i="23" s="1"/>
  <c r="F2354" i="23"/>
  <c r="H2354" i="23" s="1"/>
  <c r="F2355" i="23"/>
  <c r="H2355" i="23" s="1"/>
  <c r="F2356" i="23"/>
  <c r="H2356" i="23" s="1"/>
  <c r="F2357" i="23"/>
  <c r="H2357" i="23" s="1"/>
  <c r="F2358" i="23"/>
  <c r="H2358" i="23" s="1"/>
  <c r="F2359" i="23"/>
  <c r="H2359" i="23" s="1"/>
  <c r="F2360" i="23"/>
  <c r="H2360" i="23" s="1"/>
  <c r="F2361" i="23"/>
  <c r="H2361" i="23" s="1"/>
  <c r="F2362" i="23"/>
  <c r="H2362" i="23" s="1"/>
  <c r="F2363" i="23"/>
  <c r="H2363" i="23" s="1"/>
  <c r="F2364" i="23"/>
  <c r="H2364" i="23" s="1"/>
  <c r="F2365" i="23"/>
  <c r="H2365" i="23" s="1"/>
  <c r="F2366" i="23"/>
  <c r="H2366" i="23" s="1"/>
  <c r="F2367" i="23"/>
  <c r="H2367" i="23" s="1"/>
  <c r="F2368" i="23"/>
  <c r="H2368" i="23" s="1"/>
  <c r="F2369" i="23"/>
  <c r="H2369" i="23" s="1"/>
  <c r="F2370" i="23"/>
  <c r="H2370" i="23" s="1"/>
  <c r="F2371" i="23"/>
  <c r="H2371" i="23" s="1"/>
  <c r="F2372" i="23"/>
  <c r="H2372" i="23" s="1"/>
  <c r="F2373" i="23"/>
  <c r="H2373" i="23" s="1"/>
  <c r="F2374" i="23"/>
  <c r="H2374" i="23" s="1"/>
  <c r="F2375" i="23"/>
  <c r="H2375" i="23" s="1"/>
  <c r="F2376" i="23"/>
  <c r="H2376" i="23" s="1"/>
  <c r="F2377" i="23"/>
  <c r="H2377" i="23" s="1"/>
  <c r="F2378" i="23"/>
  <c r="H2378" i="23" s="1"/>
  <c r="F2379" i="23"/>
  <c r="H2379" i="23" s="1"/>
  <c r="F2380" i="23"/>
  <c r="H2380" i="23" s="1"/>
  <c r="F2381" i="23"/>
  <c r="H2381" i="23" s="1"/>
  <c r="F2382" i="23"/>
  <c r="H2382" i="23" s="1"/>
  <c r="F2383" i="23"/>
  <c r="H2383" i="23" s="1"/>
  <c r="F2384" i="23"/>
  <c r="H2384" i="23" s="1"/>
  <c r="F2385" i="23"/>
  <c r="H2385" i="23" s="1"/>
  <c r="F2386" i="23"/>
  <c r="H2386" i="23" s="1"/>
  <c r="F2387" i="23"/>
  <c r="H2387" i="23" s="1"/>
  <c r="F2388" i="23"/>
  <c r="H2388" i="23" s="1"/>
  <c r="F2389" i="23"/>
  <c r="H2389" i="23" s="1"/>
  <c r="F2390" i="23"/>
  <c r="H2390" i="23" s="1"/>
  <c r="F2391" i="23"/>
  <c r="H2391" i="23" s="1"/>
  <c r="F2392" i="23"/>
  <c r="H2392" i="23" s="1"/>
  <c r="F2393" i="23"/>
  <c r="H2393" i="23" s="1"/>
  <c r="F2394" i="23"/>
  <c r="H2394" i="23" s="1"/>
  <c r="F2395" i="23"/>
  <c r="H2395" i="23" s="1"/>
  <c r="F2396" i="23"/>
  <c r="H2396" i="23" s="1"/>
  <c r="F2397" i="23"/>
  <c r="H2397" i="23" s="1"/>
  <c r="F2398" i="23"/>
  <c r="H2398" i="23" s="1"/>
  <c r="F2399" i="23"/>
  <c r="H2399" i="23" s="1"/>
  <c r="F2400" i="23"/>
  <c r="H2400" i="23" s="1"/>
  <c r="F2401" i="23"/>
  <c r="H2401" i="23" s="1"/>
  <c r="F2402" i="23"/>
  <c r="H2402" i="23" s="1"/>
  <c r="F2403" i="23"/>
  <c r="H2403" i="23" s="1"/>
  <c r="F2404" i="23"/>
  <c r="H2404" i="23" s="1"/>
  <c r="F2405" i="23"/>
  <c r="H2405" i="23" s="1"/>
  <c r="F2406" i="23"/>
  <c r="H2406" i="23" s="1"/>
  <c r="F2407" i="23"/>
  <c r="H2407" i="23" s="1"/>
  <c r="F2408" i="23"/>
  <c r="H2408" i="23" s="1"/>
  <c r="F2409" i="23"/>
  <c r="H2409" i="23" s="1"/>
  <c r="F2410" i="23"/>
  <c r="H2410" i="23" s="1"/>
  <c r="F2411" i="23"/>
  <c r="H2411" i="23" s="1"/>
  <c r="F2412" i="23"/>
  <c r="H2412" i="23" s="1"/>
  <c r="F2413" i="23"/>
  <c r="H2413" i="23" s="1"/>
  <c r="F2414" i="23"/>
  <c r="H2414" i="23" s="1"/>
  <c r="F2415" i="23"/>
  <c r="H2415" i="23" s="1"/>
  <c r="F2416" i="23"/>
  <c r="H2416" i="23" s="1"/>
  <c r="F2417" i="23"/>
  <c r="H2417" i="23" s="1"/>
  <c r="F2418" i="23"/>
  <c r="H2418" i="23" s="1"/>
  <c r="F2419" i="23"/>
  <c r="H2419" i="23" s="1"/>
  <c r="F2420" i="23"/>
  <c r="H2420" i="23" s="1"/>
  <c r="F2421" i="23"/>
  <c r="H2421" i="23" s="1"/>
  <c r="F2422" i="23"/>
  <c r="H2422" i="23" s="1"/>
  <c r="F2423" i="23"/>
  <c r="H2423" i="23" s="1"/>
  <c r="F2424" i="23"/>
  <c r="H2424" i="23" s="1"/>
  <c r="F2425" i="23"/>
  <c r="H2425" i="23" s="1"/>
  <c r="F2426" i="23"/>
  <c r="H2426" i="23" s="1"/>
  <c r="F2427" i="23"/>
  <c r="H2427" i="23" s="1"/>
  <c r="F2428" i="23"/>
  <c r="H2428" i="23" s="1"/>
  <c r="F2429" i="23"/>
  <c r="H2429" i="23" s="1"/>
  <c r="F2430" i="23"/>
  <c r="H2430" i="23" s="1"/>
  <c r="F2431" i="23"/>
  <c r="H2431" i="23" s="1"/>
  <c r="F2432" i="23"/>
  <c r="H2432" i="23" s="1"/>
  <c r="F2433" i="23"/>
  <c r="H2433" i="23" s="1"/>
  <c r="F2434" i="23"/>
  <c r="H2434" i="23" s="1"/>
  <c r="F2435" i="23"/>
  <c r="H2435" i="23" s="1"/>
  <c r="F2436" i="23"/>
  <c r="H2436" i="23" s="1"/>
  <c r="F2437" i="23"/>
  <c r="H2437" i="23" s="1"/>
  <c r="F2438" i="23"/>
  <c r="H2438" i="23" s="1"/>
  <c r="F2439" i="23"/>
  <c r="H2439" i="23" s="1"/>
  <c r="F2440" i="23"/>
  <c r="H2440" i="23" s="1"/>
  <c r="F2441" i="23"/>
  <c r="H2441" i="23" s="1"/>
  <c r="F2442" i="23"/>
  <c r="H2442" i="23" s="1"/>
  <c r="F2443" i="23"/>
  <c r="H2443" i="23" s="1"/>
  <c r="F2444" i="23"/>
  <c r="H2444" i="23" s="1"/>
  <c r="F2445" i="23"/>
  <c r="H2445" i="23" s="1"/>
  <c r="F2446" i="23"/>
  <c r="H2446" i="23" s="1"/>
  <c r="F2447" i="23"/>
  <c r="H2447" i="23" s="1"/>
  <c r="F2448" i="23"/>
  <c r="H2448" i="23" s="1"/>
  <c r="F2449" i="23"/>
  <c r="H2449" i="23" s="1"/>
  <c r="F2450" i="23"/>
  <c r="H2450" i="23" s="1"/>
  <c r="F2451" i="23"/>
  <c r="H2451" i="23" s="1"/>
  <c r="F2452" i="23"/>
  <c r="H2452" i="23" s="1"/>
  <c r="F2453" i="23"/>
  <c r="H2453" i="23" s="1"/>
  <c r="F2454" i="23"/>
  <c r="H2454" i="23" s="1"/>
  <c r="F2455" i="23"/>
  <c r="H2455" i="23" s="1"/>
  <c r="F2456" i="23"/>
  <c r="H2456" i="23" s="1"/>
  <c r="F2457" i="23"/>
  <c r="H2457" i="23" s="1"/>
  <c r="F2458" i="23"/>
  <c r="H2458" i="23" s="1"/>
  <c r="F2459" i="23"/>
  <c r="H2459" i="23" s="1"/>
  <c r="F2460" i="23"/>
  <c r="H2460" i="23" s="1"/>
  <c r="F2461" i="23"/>
  <c r="H2461" i="23" s="1"/>
  <c r="F2462" i="23"/>
  <c r="H2462" i="23" s="1"/>
  <c r="F2463" i="23"/>
  <c r="H2463" i="23" s="1"/>
  <c r="F2464" i="23"/>
  <c r="H2464" i="23" s="1"/>
  <c r="F2465" i="23"/>
  <c r="H2465" i="23" s="1"/>
  <c r="F2466" i="23"/>
  <c r="H2466" i="23" s="1"/>
  <c r="F2467" i="23"/>
  <c r="H2467" i="23" s="1"/>
  <c r="F2468" i="23"/>
  <c r="H2468" i="23" s="1"/>
  <c r="F2469" i="23"/>
  <c r="H2469" i="23" s="1"/>
  <c r="F2470" i="23"/>
  <c r="H2470" i="23" s="1"/>
  <c r="F2471" i="23"/>
  <c r="H2471" i="23" s="1"/>
  <c r="F2472" i="23"/>
  <c r="H2472" i="23" s="1"/>
  <c r="F2473" i="23"/>
  <c r="H2473" i="23" s="1"/>
  <c r="F2474" i="23"/>
  <c r="H2474" i="23" s="1"/>
  <c r="F2475" i="23"/>
  <c r="H2475" i="23" s="1"/>
  <c r="F2476" i="23"/>
  <c r="H2476" i="23" s="1"/>
  <c r="F2477" i="23"/>
  <c r="H2477" i="23" s="1"/>
  <c r="F2478" i="23"/>
  <c r="H2478" i="23" s="1"/>
  <c r="F2479" i="23"/>
  <c r="H2479" i="23" s="1"/>
  <c r="F2480" i="23"/>
  <c r="H2480" i="23" s="1"/>
  <c r="F2481" i="23"/>
  <c r="H2481" i="23" s="1"/>
  <c r="F2482" i="23"/>
  <c r="H2482" i="23" s="1"/>
  <c r="F2483" i="23"/>
  <c r="H2483" i="23" s="1"/>
  <c r="F2484" i="23"/>
  <c r="H2484" i="23" s="1"/>
  <c r="F2485" i="23"/>
  <c r="H2485" i="23" s="1"/>
  <c r="F2486" i="23"/>
  <c r="H2486" i="23" s="1"/>
  <c r="F2487" i="23"/>
  <c r="H2487" i="23" s="1"/>
  <c r="F2488" i="23"/>
  <c r="H2488" i="23" s="1"/>
  <c r="F2489" i="23"/>
  <c r="H2489" i="23" s="1"/>
  <c r="F2490" i="23"/>
  <c r="H2490" i="23" s="1"/>
  <c r="F2491" i="23"/>
  <c r="H2491" i="23" s="1"/>
  <c r="F2492" i="23"/>
  <c r="H2492" i="23" s="1"/>
  <c r="F2493" i="23"/>
  <c r="H2493" i="23" s="1"/>
  <c r="F2494" i="23"/>
  <c r="H2494" i="23" s="1"/>
  <c r="F2495" i="23"/>
  <c r="H2495" i="23" s="1"/>
  <c r="F2496" i="23"/>
  <c r="H2496" i="23" s="1"/>
  <c r="F2497" i="23"/>
  <c r="H2497" i="23" s="1"/>
  <c r="F2498" i="23"/>
  <c r="H2498" i="23" s="1"/>
  <c r="F2499" i="23"/>
  <c r="H2499" i="23" s="1"/>
  <c r="F2500" i="23"/>
  <c r="H2500" i="23" s="1"/>
  <c r="F2501" i="23"/>
  <c r="H2501" i="23" s="1"/>
  <c r="F2502" i="23"/>
  <c r="H2502" i="23" s="1"/>
  <c r="F2503" i="23"/>
  <c r="H2503" i="23" s="1"/>
  <c r="F2504" i="23"/>
  <c r="H2504" i="23" s="1"/>
  <c r="F2505" i="23"/>
  <c r="H2505" i="23" s="1"/>
  <c r="F2506" i="23"/>
  <c r="H2506" i="23" s="1"/>
  <c r="F2507" i="23"/>
  <c r="H2507" i="23" s="1"/>
  <c r="F2508" i="23"/>
  <c r="H2508" i="23" s="1"/>
  <c r="F2509" i="23"/>
  <c r="H2509" i="23" s="1"/>
  <c r="F2510" i="23"/>
  <c r="H2510" i="23" s="1"/>
  <c r="F2511" i="23"/>
  <c r="H2511" i="23" s="1"/>
  <c r="F2512" i="23"/>
  <c r="H2512" i="23" s="1"/>
  <c r="F2513" i="23"/>
  <c r="H2513" i="23" s="1"/>
  <c r="F2514" i="23"/>
  <c r="H2514" i="23" s="1"/>
  <c r="F2515" i="23"/>
  <c r="H2515" i="23" s="1"/>
  <c r="F2516" i="23"/>
  <c r="H2516" i="23" s="1"/>
  <c r="F2517" i="23"/>
  <c r="H2517" i="23" s="1"/>
  <c r="F2518" i="23"/>
  <c r="H2518" i="23" s="1"/>
  <c r="F2519" i="23"/>
  <c r="H2519" i="23" s="1"/>
  <c r="F2520" i="23"/>
  <c r="H2520" i="23" s="1"/>
  <c r="F2521" i="23"/>
  <c r="H2521" i="23" s="1"/>
  <c r="F2522" i="23"/>
  <c r="H2522" i="23" s="1"/>
  <c r="F2523" i="23"/>
  <c r="H2523" i="23" s="1"/>
  <c r="F2524" i="23"/>
  <c r="H2524" i="23" s="1"/>
  <c r="F2525" i="23"/>
  <c r="H2525" i="23" s="1"/>
  <c r="F2526" i="23"/>
  <c r="H2526" i="23"/>
  <c r="F2527" i="23"/>
  <c r="H2527" i="23" s="1"/>
  <c r="F2528" i="23"/>
  <c r="H2528" i="23"/>
  <c r="F2529" i="23"/>
  <c r="H2529" i="23" s="1"/>
  <c r="F2530" i="23"/>
  <c r="H2530" i="23" s="1"/>
  <c r="F2531" i="23"/>
  <c r="H2531" i="23" s="1"/>
  <c r="F2532" i="23"/>
  <c r="H2532" i="23" s="1"/>
  <c r="F2533" i="23"/>
  <c r="H2533" i="23" s="1"/>
  <c r="F2534" i="23"/>
  <c r="H2534" i="23" s="1"/>
  <c r="F2535" i="23"/>
  <c r="H2535" i="23" s="1"/>
  <c r="F2536" i="23"/>
  <c r="H2536" i="23" s="1"/>
  <c r="F2537" i="23"/>
  <c r="H2537" i="23" s="1"/>
  <c r="F2538" i="23"/>
  <c r="H2538" i="23" s="1"/>
  <c r="F2539" i="23"/>
  <c r="H2539" i="23" s="1"/>
  <c r="F2540" i="23"/>
  <c r="H2540" i="23" s="1"/>
  <c r="F2541" i="23"/>
  <c r="H2541" i="23" s="1"/>
  <c r="F2542" i="23"/>
  <c r="H2542" i="23" s="1"/>
  <c r="F2543" i="23"/>
  <c r="H2543" i="23" s="1"/>
  <c r="F2544" i="23"/>
  <c r="H2544" i="23" s="1"/>
  <c r="F2545" i="23"/>
  <c r="H2545" i="23" s="1"/>
  <c r="F2546" i="23"/>
  <c r="H2546" i="23" s="1"/>
  <c r="F2547" i="23"/>
  <c r="H2547" i="23" s="1"/>
  <c r="F2548" i="23"/>
  <c r="H2548" i="23" s="1"/>
  <c r="F2549" i="23"/>
  <c r="H2549" i="23" s="1"/>
  <c r="F2550" i="23"/>
  <c r="H2550" i="23" s="1"/>
  <c r="F2551" i="23"/>
  <c r="H2551" i="23" s="1"/>
  <c r="F2552" i="23"/>
  <c r="H2552" i="23" s="1"/>
  <c r="F2553" i="23"/>
  <c r="H2553" i="23"/>
  <c r="F2554" i="23"/>
  <c r="H2554" i="23" s="1"/>
  <c r="F2555" i="23"/>
  <c r="H2555" i="23" s="1"/>
  <c r="F2556" i="23"/>
  <c r="H2556" i="23" s="1"/>
  <c r="F2557" i="23"/>
  <c r="H2557" i="23" s="1"/>
  <c r="F2558" i="23"/>
  <c r="H2558" i="23" s="1"/>
  <c r="F2559" i="23"/>
  <c r="H2559" i="23" s="1"/>
  <c r="F2560" i="23"/>
  <c r="H2560" i="23" s="1"/>
  <c r="F2561" i="23"/>
  <c r="H2561" i="23" s="1"/>
  <c r="F2562" i="23"/>
  <c r="H2562" i="23" s="1"/>
  <c r="F2563" i="23"/>
  <c r="H2563" i="23" s="1"/>
  <c r="F2564" i="23"/>
  <c r="H2564" i="23" s="1"/>
  <c r="F2565" i="23"/>
  <c r="H2565" i="23" s="1"/>
  <c r="F2566" i="23"/>
  <c r="H2566" i="23" s="1"/>
  <c r="F2567" i="23"/>
  <c r="H2567" i="23" s="1"/>
  <c r="F2568" i="23"/>
  <c r="H2568" i="23" s="1"/>
  <c r="F2569" i="23"/>
  <c r="H2569" i="23" s="1"/>
  <c r="F2570" i="23"/>
  <c r="H2570" i="23" s="1"/>
  <c r="F2571" i="23"/>
  <c r="H2571" i="23" s="1"/>
  <c r="F2572" i="23"/>
  <c r="H2572" i="23" s="1"/>
  <c r="F2573" i="23"/>
  <c r="H2573" i="23" s="1"/>
  <c r="F2574" i="23"/>
  <c r="H2574" i="23" s="1"/>
  <c r="F2575" i="23"/>
  <c r="H2575" i="23" s="1"/>
  <c r="F2576" i="23"/>
  <c r="H2576" i="23" s="1"/>
  <c r="F2577" i="23"/>
  <c r="H2577" i="23" s="1"/>
  <c r="F2578" i="23"/>
  <c r="H2578" i="23" s="1"/>
  <c r="F2579" i="23"/>
  <c r="H2579" i="23" s="1"/>
  <c r="F2580" i="23"/>
  <c r="H2580" i="23" s="1"/>
  <c r="F2581" i="23"/>
  <c r="H2581" i="23" s="1"/>
  <c r="F2582" i="23"/>
  <c r="H2582" i="23" s="1"/>
  <c r="F2583" i="23"/>
  <c r="H2583" i="23" s="1"/>
  <c r="F2584" i="23"/>
  <c r="H2584" i="23" s="1"/>
  <c r="F2585" i="23"/>
  <c r="H2585" i="23" s="1"/>
  <c r="F2586" i="23"/>
  <c r="H2586" i="23" s="1"/>
  <c r="F2587" i="23"/>
  <c r="H2587" i="23" s="1"/>
  <c r="F2588" i="23"/>
  <c r="H2588" i="23" s="1"/>
  <c r="F2589" i="23"/>
  <c r="H2589" i="23" s="1"/>
  <c r="F2590" i="23"/>
  <c r="H2590" i="23" s="1"/>
  <c r="F2591" i="23"/>
  <c r="H2591" i="23" s="1"/>
  <c r="F2592" i="23"/>
  <c r="H2592" i="23" s="1"/>
  <c r="F2593" i="23"/>
  <c r="H2593" i="23" s="1"/>
  <c r="F2594" i="23"/>
  <c r="H2594" i="23" s="1"/>
  <c r="F2595" i="23"/>
  <c r="H2595" i="23" s="1"/>
  <c r="F2596" i="23"/>
  <c r="H2596" i="23" s="1"/>
  <c r="F2597" i="23"/>
  <c r="H2597" i="23" s="1"/>
  <c r="F2598" i="23"/>
  <c r="H2598" i="23" s="1"/>
  <c r="F2599" i="23"/>
  <c r="H2599" i="23" s="1"/>
  <c r="F2600" i="23"/>
  <c r="H2600" i="23" s="1"/>
  <c r="F2601" i="23"/>
  <c r="H2601" i="23" s="1"/>
  <c r="F2602" i="23"/>
  <c r="H2602" i="23" s="1"/>
  <c r="F2603" i="23"/>
  <c r="H2603" i="23" s="1"/>
  <c r="F2604" i="23"/>
  <c r="H2604" i="23" s="1"/>
  <c r="F2605" i="23"/>
  <c r="H2605" i="23" s="1"/>
  <c r="F2606" i="23"/>
  <c r="H2606" i="23" s="1"/>
  <c r="F2607" i="23"/>
  <c r="H2607" i="23" s="1"/>
  <c r="F2608" i="23"/>
  <c r="H2608" i="23" s="1"/>
  <c r="F2609" i="23"/>
  <c r="H2609" i="23" s="1"/>
  <c r="F2610" i="23"/>
  <c r="H2610" i="23" s="1"/>
  <c r="F2611" i="23"/>
  <c r="H2611" i="23" s="1"/>
  <c r="F2612" i="23"/>
  <c r="H2612" i="23" s="1"/>
  <c r="F2613" i="23"/>
  <c r="H2613" i="23" s="1"/>
  <c r="F2614" i="23"/>
  <c r="H2614" i="23" s="1"/>
  <c r="F2615" i="23"/>
  <c r="H2615" i="23" s="1"/>
  <c r="F2616" i="23"/>
  <c r="H2616" i="23" s="1"/>
  <c r="F2617" i="23"/>
  <c r="H2617" i="23" s="1"/>
  <c r="F2618" i="23"/>
  <c r="H2618" i="23" s="1"/>
  <c r="F2619" i="23"/>
  <c r="H2619" i="23" s="1"/>
  <c r="F2620" i="23"/>
  <c r="H2620" i="23" s="1"/>
  <c r="F2621" i="23"/>
  <c r="H2621" i="23" s="1"/>
  <c r="F2622" i="23"/>
  <c r="H2622" i="23" s="1"/>
  <c r="F2623" i="23"/>
  <c r="H2623" i="23" s="1"/>
  <c r="F2624" i="23"/>
  <c r="H2624" i="23" s="1"/>
  <c r="F2625" i="23"/>
  <c r="H2625" i="23" s="1"/>
  <c r="F2626" i="23"/>
  <c r="H2626" i="23" s="1"/>
  <c r="F2627" i="23"/>
  <c r="H2627" i="23" s="1"/>
  <c r="F2628" i="23"/>
  <c r="H2628" i="23" s="1"/>
  <c r="F2629" i="23"/>
  <c r="H2629" i="23" s="1"/>
  <c r="F2630" i="23"/>
  <c r="H2630" i="23" s="1"/>
  <c r="F2631" i="23"/>
  <c r="H2631" i="23" s="1"/>
  <c r="F2632" i="23"/>
  <c r="H2632" i="23" s="1"/>
  <c r="F2633" i="23"/>
  <c r="H2633" i="23" s="1"/>
  <c r="F2634" i="23"/>
  <c r="H2634" i="23" s="1"/>
  <c r="F2635" i="23"/>
  <c r="H2635" i="23" s="1"/>
  <c r="F2636" i="23"/>
  <c r="H2636" i="23" s="1"/>
  <c r="F2637" i="23"/>
  <c r="H2637" i="23" s="1"/>
  <c r="F2638" i="23"/>
  <c r="H2638" i="23" s="1"/>
  <c r="F2639" i="23"/>
  <c r="H2639" i="23" s="1"/>
  <c r="F2640" i="23"/>
  <c r="H2640" i="23" s="1"/>
  <c r="F2641" i="23"/>
  <c r="H2641" i="23" s="1"/>
  <c r="F2642" i="23"/>
  <c r="H2642" i="23" s="1"/>
  <c r="F2643" i="23"/>
  <c r="H2643" i="23" s="1"/>
  <c r="F2644" i="23"/>
  <c r="H2644" i="23" s="1"/>
  <c r="F2645" i="23"/>
  <c r="H2645" i="23" s="1"/>
  <c r="F2646" i="23"/>
  <c r="H2646" i="23" s="1"/>
  <c r="F2647" i="23"/>
  <c r="H2647" i="23" s="1"/>
  <c r="F2648" i="23"/>
  <c r="H2648" i="23" s="1"/>
  <c r="F2649" i="23"/>
  <c r="H2649" i="23" s="1"/>
  <c r="F2650" i="23"/>
  <c r="H2650" i="23" s="1"/>
  <c r="F2651" i="23"/>
  <c r="H2651" i="23" s="1"/>
  <c r="F2652" i="23"/>
  <c r="H2652" i="23" s="1"/>
  <c r="F2653" i="23"/>
  <c r="H2653" i="23" s="1"/>
  <c r="F2654" i="23"/>
  <c r="H2654" i="23" s="1"/>
  <c r="F2655" i="23"/>
  <c r="H2655" i="23" s="1"/>
  <c r="F2656" i="23"/>
  <c r="H2656" i="23" s="1"/>
  <c r="F2657" i="23"/>
  <c r="H2657" i="23" s="1"/>
  <c r="F2658" i="23"/>
  <c r="H2658" i="23" s="1"/>
  <c r="F2659" i="23"/>
  <c r="H2659" i="23" s="1"/>
  <c r="F2660" i="23"/>
  <c r="H2660" i="23" s="1"/>
  <c r="F2661" i="23"/>
  <c r="H2661" i="23" s="1"/>
  <c r="F2662" i="23"/>
  <c r="H2662" i="23" s="1"/>
  <c r="F2663" i="23"/>
  <c r="H2663" i="23" s="1"/>
  <c r="F2664" i="23"/>
  <c r="H2664" i="23" s="1"/>
  <c r="F2665" i="23"/>
  <c r="H2665" i="23" s="1"/>
  <c r="F2666" i="23"/>
  <c r="H2666" i="23" s="1"/>
  <c r="F2667" i="23"/>
  <c r="H2667" i="23" s="1"/>
  <c r="F2668" i="23"/>
  <c r="H2668" i="23" s="1"/>
  <c r="F2669" i="23"/>
  <c r="H2669" i="23" s="1"/>
  <c r="F2670" i="23"/>
  <c r="H2670" i="23" s="1"/>
  <c r="F2671" i="23"/>
  <c r="H2671" i="23" s="1"/>
  <c r="F2672" i="23"/>
  <c r="H2672" i="23" s="1"/>
  <c r="F2673" i="23"/>
  <c r="H2673" i="23" s="1"/>
  <c r="F2674" i="23"/>
  <c r="H2674" i="23" s="1"/>
  <c r="F2675" i="23"/>
  <c r="H2675" i="23" s="1"/>
  <c r="F2676" i="23"/>
  <c r="H2676" i="23" s="1"/>
  <c r="F2677" i="23"/>
  <c r="H2677" i="23" s="1"/>
  <c r="F2678" i="23"/>
  <c r="H2678" i="23" s="1"/>
  <c r="F2679" i="23"/>
  <c r="H2679" i="23" s="1"/>
  <c r="F2680" i="23"/>
  <c r="H2680" i="23" s="1"/>
  <c r="F2681" i="23"/>
  <c r="H2681" i="23" s="1"/>
  <c r="F2682" i="23"/>
  <c r="H2682" i="23" s="1"/>
  <c r="F2683" i="23"/>
  <c r="H2683" i="23" s="1"/>
  <c r="F2684" i="23"/>
  <c r="H2684" i="23" s="1"/>
  <c r="F2685" i="23"/>
  <c r="H2685" i="23" s="1"/>
  <c r="F2686" i="23"/>
  <c r="H2686" i="23" s="1"/>
  <c r="F2687" i="23"/>
  <c r="H2687" i="23" s="1"/>
  <c r="F2688" i="23"/>
  <c r="H2688" i="23" s="1"/>
  <c r="F2689" i="23"/>
  <c r="H2689" i="23" s="1"/>
  <c r="F2690" i="23"/>
  <c r="H2690" i="23" s="1"/>
  <c r="F2691" i="23"/>
  <c r="H2691" i="23" s="1"/>
  <c r="F2692" i="23"/>
  <c r="H2692" i="23" s="1"/>
  <c r="F2693" i="23"/>
  <c r="H2693" i="23" s="1"/>
  <c r="F2694" i="23"/>
  <c r="H2694" i="23" s="1"/>
  <c r="F2695" i="23"/>
  <c r="H2695" i="23" s="1"/>
  <c r="F2696" i="23"/>
  <c r="H2696" i="23" s="1"/>
  <c r="F2697" i="23"/>
  <c r="H2697" i="23" s="1"/>
  <c r="F2698" i="23"/>
  <c r="H2698" i="23" s="1"/>
  <c r="F2699" i="23"/>
  <c r="H2699" i="23" s="1"/>
  <c r="F2700" i="23"/>
  <c r="H2700" i="23" s="1"/>
  <c r="F2701" i="23"/>
  <c r="H2701" i="23" s="1"/>
  <c r="F2702" i="23"/>
  <c r="H2702" i="23" s="1"/>
  <c r="F2703" i="23"/>
  <c r="H2703" i="23" s="1"/>
  <c r="F2704" i="23"/>
  <c r="H2704" i="23" s="1"/>
  <c r="F2705" i="23"/>
  <c r="H2705" i="23" s="1"/>
  <c r="F2706" i="23"/>
  <c r="H2706" i="23" s="1"/>
  <c r="F2707" i="23"/>
  <c r="H2707" i="23" s="1"/>
  <c r="F2708" i="23"/>
  <c r="H2708" i="23" s="1"/>
  <c r="F2709" i="23"/>
  <c r="H2709" i="23" s="1"/>
  <c r="F2710" i="23"/>
  <c r="H2710" i="23" s="1"/>
  <c r="F2711" i="23"/>
  <c r="H2711" i="23" s="1"/>
  <c r="F2712" i="23"/>
  <c r="H2712" i="23" s="1"/>
  <c r="F2713" i="23"/>
  <c r="H2713" i="23" s="1"/>
  <c r="F2714" i="23"/>
  <c r="H2714" i="23" s="1"/>
  <c r="F2715" i="23"/>
  <c r="H2715" i="23" s="1"/>
  <c r="F2716" i="23"/>
  <c r="H2716" i="23" s="1"/>
  <c r="F2717" i="23"/>
  <c r="H2717" i="23" s="1"/>
  <c r="F2718" i="23"/>
  <c r="H2718" i="23" s="1"/>
  <c r="F2719" i="23"/>
  <c r="H2719" i="23" s="1"/>
  <c r="F2720" i="23"/>
  <c r="H2720" i="23" s="1"/>
  <c r="F2721" i="23"/>
  <c r="H2721" i="23" s="1"/>
  <c r="F2722" i="23"/>
  <c r="H2722" i="23" s="1"/>
  <c r="F2723" i="23"/>
  <c r="H2723" i="23" s="1"/>
  <c r="F2724" i="23"/>
  <c r="H2724" i="23" s="1"/>
  <c r="F2725" i="23"/>
  <c r="H2725" i="23" s="1"/>
  <c r="F2726" i="23"/>
  <c r="H2726" i="23" s="1"/>
  <c r="F2727" i="23"/>
  <c r="H2727" i="23" s="1"/>
  <c r="F2728" i="23"/>
  <c r="H2728" i="23" s="1"/>
  <c r="F2729" i="23"/>
  <c r="H2729" i="23" s="1"/>
  <c r="F2730" i="23"/>
  <c r="H2730" i="23" s="1"/>
  <c r="F2731" i="23"/>
  <c r="H2731" i="23" s="1"/>
  <c r="F2732" i="23"/>
  <c r="H2732" i="23" s="1"/>
  <c r="F2733" i="23"/>
  <c r="H2733" i="23" s="1"/>
  <c r="F2734" i="23"/>
  <c r="H2734" i="23" s="1"/>
  <c r="F2735" i="23"/>
  <c r="H2735" i="23" s="1"/>
  <c r="F2736" i="23"/>
  <c r="H2736" i="23" s="1"/>
  <c r="F2737" i="23"/>
  <c r="H2737" i="23" s="1"/>
  <c r="F2738" i="23"/>
  <c r="H2738" i="23" s="1"/>
  <c r="F2739" i="23"/>
  <c r="H2739" i="23" s="1"/>
  <c r="F2740" i="23"/>
  <c r="H2740" i="23" s="1"/>
  <c r="F2741" i="23"/>
  <c r="H2741" i="23" s="1"/>
  <c r="F2742" i="23"/>
  <c r="H2742" i="23" s="1"/>
  <c r="F2743" i="23"/>
  <c r="H2743" i="23" s="1"/>
  <c r="F2744" i="23"/>
  <c r="H2744" i="23" s="1"/>
  <c r="F2745" i="23"/>
  <c r="H2745" i="23" s="1"/>
  <c r="F2746" i="23"/>
  <c r="H2746" i="23" s="1"/>
  <c r="F2747" i="23"/>
  <c r="H2747" i="23" s="1"/>
  <c r="F2748" i="23"/>
  <c r="H2748" i="23" s="1"/>
  <c r="F2749" i="23"/>
  <c r="H2749" i="23" s="1"/>
  <c r="F2750" i="23"/>
  <c r="H2750" i="23" s="1"/>
  <c r="F2751" i="23"/>
  <c r="H2751" i="23" s="1"/>
  <c r="F2752" i="23"/>
  <c r="H2752" i="23" s="1"/>
  <c r="F2753" i="23"/>
  <c r="H2753" i="23" s="1"/>
  <c r="F2754" i="23"/>
  <c r="H2754" i="23" s="1"/>
  <c r="F2755" i="23"/>
  <c r="H2755" i="23" s="1"/>
  <c r="F2756" i="23"/>
  <c r="H2756" i="23" s="1"/>
  <c r="F2757" i="23"/>
  <c r="H2757" i="23" s="1"/>
  <c r="F2758" i="23"/>
  <c r="H2758" i="23" s="1"/>
  <c r="F2759" i="23"/>
  <c r="H2759" i="23" s="1"/>
  <c r="F2760" i="23"/>
  <c r="H2760" i="23" s="1"/>
  <c r="F2761" i="23"/>
  <c r="H2761" i="23" s="1"/>
  <c r="F2762" i="23"/>
  <c r="H2762" i="23" s="1"/>
  <c r="F2763" i="23"/>
  <c r="H2763" i="23" s="1"/>
  <c r="F2764" i="23"/>
  <c r="H2764" i="23" s="1"/>
  <c r="F2765" i="23"/>
  <c r="H2765" i="23" s="1"/>
  <c r="F2766" i="23"/>
  <c r="H2766" i="23" s="1"/>
  <c r="F2767" i="23"/>
  <c r="H2767" i="23" s="1"/>
  <c r="F2768" i="23"/>
  <c r="H2768" i="23" s="1"/>
  <c r="F2769" i="23"/>
  <c r="H2769" i="23" s="1"/>
  <c r="F2770" i="23"/>
  <c r="H2770" i="23" s="1"/>
  <c r="F2771" i="23"/>
  <c r="H2771" i="23" s="1"/>
  <c r="F2772" i="23"/>
  <c r="H2772" i="23" s="1"/>
  <c r="F2773" i="23"/>
  <c r="H2773" i="23" s="1"/>
  <c r="F2774" i="23"/>
  <c r="H2774" i="23" s="1"/>
  <c r="F2775" i="23"/>
  <c r="H2775" i="23" s="1"/>
  <c r="F2776" i="23"/>
  <c r="H2776" i="23" s="1"/>
  <c r="F2777" i="23"/>
  <c r="H2777" i="23" s="1"/>
  <c r="F2778" i="23"/>
  <c r="H2778" i="23" s="1"/>
  <c r="F2779" i="23"/>
  <c r="H2779" i="23" s="1"/>
  <c r="F2780" i="23"/>
  <c r="H2780" i="23" s="1"/>
  <c r="F2781" i="23"/>
  <c r="H2781" i="23" s="1"/>
  <c r="F2782" i="23"/>
  <c r="H2782" i="23" s="1"/>
  <c r="F2783" i="23"/>
  <c r="H2783" i="23" s="1"/>
  <c r="F2784" i="23"/>
  <c r="H2784" i="23" s="1"/>
  <c r="F2785" i="23"/>
  <c r="H2785" i="23" s="1"/>
  <c r="F2786" i="23"/>
  <c r="H2786" i="23" s="1"/>
  <c r="F2787" i="23"/>
  <c r="H2787" i="23" s="1"/>
  <c r="F2788" i="23"/>
  <c r="H2788" i="23" s="1"/>
  <c r="F2789" i="23"/>
  <c r="H2789" i="23" s="1"/>
  <c r="F2790" i="23"/>
  <c r="H2790" i="23" s="1"/>
  <c r="F2791" i="23"/>
  <c r="H2791" i="23" s="1"/>
  <c r="F2792" i="23"/>
  <c r="H2792" i="23" s="1"/>
  <c r="F2793" i="23"/>
  <c r="H2793" i="23" s="1"/>
  <c r="F2794" i="23"/>
  <c r="H2794" i="23" s="1"/>
  <c r="F2795" i="23"/>
  <c r="H2795" i="23" s="1"/>
  <c r="F2796" i="23"/>
  <c r="H2796" i="23" s="1"/>
  <c r="F2797" i="23"/>
  <c r="H2797" i="23" s="1"/>
  <c r="F2798" i="23"/>
  <c r="H2798" i="23" s="1"/>
  <c r="F2799" i="23"/>
  <c r="H2799" i="23" s="1"/>
  <c r="F2800" i="23"/>
  <c r="H2800" i="23" s="1"/>
  <c r="F2801" i="23"/>
  <c r="H2801" i="23" s="1"/>
  <c r="F2802" i="23"/>
  <c r="H2802" i="23" s="1"/>
  <c r="F2803" i="23"/>
  <c r="H2803" i="23" s="1"/>
  <c r="F2804" i="23"/>
  <c r="H2804" i="23" s="1"/>
  <c r="F2805" i="23"/>
  <c r="H2805" i="23" s="1"/>
  <c r="F2806" i="23"/>
  <c r="H2806" i="23" s="1"/>
  <c r="F2807" i="23"/>
  <c r="H2807" i="23" s="1"/>
  <c r="F2808" i="23"/>
  <c r="H2808" i="23" s="1"/>
  <c r="F2809" i="23"/>
  <c r="H2809" i="23" s="1"/>
  <c r="F2810" i="23"/>
  <c r="H2810" i="23" s="1"/>
  <c r="F2811" i="23"/>
  <c r="H2811" i="23" s="1"/>
  <c r="F2812" i="23"/>
  <c r="H2812" i="23" s="1"/>
  <c r="F2813" i="23"/>
  <c r="H2813" i="23" s="1"/>
  <c r="F2814" i="23"/>
  <c r="H2814" i="23" s="1"/>
  <c r="F2815" i="23"/>
  <c r="H2815" i="23" s="1"/>
  <c r="F2816" i="23"/>
  <c r="H2816" i="23" s="1"/>
  <c r="F2817" i="23"/>
  <c r="H2817" i="23" s="1"/>
  <c r="F2818" i="23"/>
  <c r="H2818" i="23" s="1"/>
  <c r="F2819" i="23"/>
  <c r="H2819" i="23" s="1"/>
  <c r="F2820" i="23"/>
  <c r="H2820" i="23" s="1"/>
  <c r="F2821" i="23"/>
  <c r="H2821" i="23" s="1"/>
  <c r="F2822" i="23"/>
  <c r="H2822" i="23" s="1"/>
  <c r="F2823" i="23"/>
  <c r="H2823" i="23" s="1"/>
  <c r="F2824" i="23"/>
  <c r="H2824" i="23" s="1"/>
  <c r="F2825" i="23"/>
  <c r="H2825" i="23" s="1"/>
  <c r="F2826" i="23"/>
  <c r="H2826" i="23" s="1"/>
  <c r="F2827" i="23"/>
  <c r="H2827" i="23" s="1"/>
  <c r="F2828" i="23"/>
  <c r="H2828" i="23" s="1"/>
  <c r="F2829" i="23"/>
  <c r="H2829" i="23" s="1"/>
  <c r="F2830" i="23"/>
  <c r="H2830" i="23" s="1"/>
  <c r="F2831" i="23"/>
  <c r="H2831" i="23" s="1"/>
  <c r="F2832" i="23"/>
  <c r="H2832" i="23" s="1"/>
  <c r="F2833" i="23"/>
  <c r="H2833" i="23" s="1"/>
  <c r="F2834" i="23"/>
  <c r="H2834" i="23" s="1"/>
  <c r="F2835" i="23"/>
  <c r="H2835" i="23" s="1"/>
  <c r="F2836" i="23"/>
  <c r="H2836" i="23" s="1"/>
  <c r="F2837" i="23"/>
  <c r="H2837" i="23" s="1"/>
  <c r="F2838" i="23"/>
  <c r="H2838" i="23" s="1"/>
  <c r="F2839" i="23"/>
  <c r="H2839" i="23" s="1"/>
  <c r="F2840" i="23"/>
  <c r="H2840" i="23" s="1"/>
  <c r="F2841" i="23"/>
  <c r="H2841" i="23" s="1"/>
  <c r="F2842" i="23"/>
  <c r="H2842" i="23" s="1"/>
  <c r="F2843" i="23"/>
  <c r="H2843" i="23" s="1"/>
  <c r="F2844" i="23"/>
  <c r="H2844" i="23" s="1"/>
  <c r="F2845" i="23"/>
  <c r="H2845" i="23" s="1"/>
  <c r="F2846" i="23"/>
  <c r="H2846" i="23" s="1"/>
  <c r="F2847" i="23"/>
  <c r="H2847" i="23" s="1"/>
  <c r="F2848" i="23"/>
  <c r="H2848" i="23" s="1"/>
  <c r="F2849" i="23"/>
  <c r="H2849" i="23" s="1"/>
  <c r="F2850" i="23"/>
  <c r="H2850" i="23" s="1"/>
  <c r="F2851" i="23"/>
  <c r="H2851" i="23" s="1"/>
  <c r="F2852" i="23"/>
  <c r="H2852" i="23" s="1"/>
  <c r="F2853" i="23"/>
  <c r="H2853" i="23" s="1"/>
  <c r="F2854" i="23"/>
  <c r="H2854" i="23"/>
  <c r="F2855" i="23"/>
  <c r="H2855" i="23" s="1"/>
  <c r="F2856" i="23"/>
  <c r="H2856" i="23" s="1"/>
  <c r="F2857" i="23"/>
  <c r="H2857" i="23" s="1"/>
  <c r="F2858" i="23"/>
  <c r="H2858" i="23" s="1"/>
  <c r="F2859" i="23"/>
  <c r="H2859" i="23" s="1"/>
  <c r="F2860" i="23"/>
  <c r="H2860" i="23" s="1"/>
  <c r="F2861" i="23"/>
  <c r="H2861" i="23" s="1"/>
  <c r="F2862" i="23"/>
  <c r="H2862" i="23" s="1"/>
  <c r="F2863" i="23"/>
  <c r="H2863" i="23" s="1"/>
  <c r="F2864" i="23"/>
  <c r="H2864" i="23" s="1"/>
  <c r="F2865" i="23"/>
  <c r="H2865" i="23" s="1"/>
  <c r="F2866" i="23"/>
  <c r="H2866" i="23" s="1"/>
  <c r="F2867" i="23"/>
  <c r="H2867" i="23" s="1"/>
  <c r="F2868" i="23"/>
  <c r="H2868" i="23" s="1"/>
  <c r="F2869" i="23"/>
  <c r="H2869" i="23" s="1"/>
  <c r="F2870" i="23"/>
  <c r="H2870" i="23" s="1"/>
  <c r="F2871" i="23"/>
  <c r="H2871" i="23" s="1"/>
  <c r="F2872" i="23"/>
  <c r="H2872" i="23" s="1"/>
  <c r="F2873" i="23"/>
  <c r="H2873" i="23" s="1"/>
  <c r="F2874" i="23"/>
  <c r="H2874" i="23" s="1"/>
  <c r="F2875" i="23"/>
  <c r="H2875" i="23" s="1"/>
  <c r="F2876" i="23"/>
  <c r="H2876" i="23" s="1"/>
  <c r="F2877" i="23"/>
  <c r="H2877" i="23" s="1"/>
  <c r="F2878" i="23"/>
  <c r="H2878" i="23" s="1"/>
  <c r="F2879" i="23"/>
  <c r="H2879" i="23" s="1"/>
  <c r="F2880" i="23"/>
  <c r="H2880" i="23" s="1"/>
  <c r="F2881" i="23"/>
  <c r="H2881" i="23" s="1"/>
  <c r="F2882" i="23"/>
  <c r="H2882" i="23" s="1"/>
  <c r="F2883" i="23"/>
  <c r="H2883" i="23" s="1"/>
  <c r="F2884" i="23"/>
  <c r="H2884" i="23" s="1"/>
  <c r="F2885" i="23"/>
  <c r="H2885" i="23" s="1"/>
  <c r="F2886" i="23"/>
  <c r="H2886" i="23" s="1"/>
  <c r="F2887" i="23"/>
  <c r="H2887" i="23" s="1"/>
  <c r="F2888" i="23"/>
  <c r="H2888" i="23" s="1"/>
  <c r="F2889" i="23"/>
  <c r="H2889" i="23" s="1"/>
  <c r="F2890" i="23"/>
  <c r="H2890" i="23" s="1"/>
  <c r="F2891" i="23"/>
  <c r="H2891" i="23" s="1"/>
  <c r="F2892" i="23"/>
  <c r="H2892" i="23" s="1"/>
  <c r="F2893" i="23"/>
  <c r="H2893" i="23" s="1"/>
  <c r="F2894" i="23"/>
  <c r="H2894" i="23" s="1"/>
  <c r="F2895" i="23"/>
  <c r="H2895" i="23" s="1"/>
  <c r="F2896" i="23"/>
  <c r="H2896" i="23" s="1"/>
  <c r="F2897" i="23"/>
  <c r="H2897" i="23" s="1"/>
  <c r="F2898" i="23"/>
  <c r="H2898" i="23" s="1"/>
  <c r="F2899" i="23"/>
  <c r="H2899" i="23" s="1"/>
  <c r="F2900" i="23"/>
  <c r="H2900" i="23" s="1"/>
  <c r="F2901" i="23"/>
  <c r="H2901" i="23" s="1"/>
  <c r="F2902" i="23"/>
  <c r="H2902" i="23" s="1"/>
  <c r="F2903" i="23"/>
  <c r="H2903" i="23" s="1"/>
  <c r="F2904" i="23"/>
  <c r="H2904" i="23" s="1"/>
  <c r="F2905" i="23"/>
  <c r="H2905" i="23" s="1"/>
  <c r="F2906" i="23"/>
  <c r="H2906" i="23" s="1"/>
  <c r="F2907" i="23"/>
  <c r="H2907" i="23" s="1"/>
  <c r="F2908" i="23"/>
  <c r="H2908" i="23" s="1"/>
  <c r="F2909" i="23"/>
  <c r="H2909" i="23" s="1"/>
  <c r="F2910" i="23"/>
  <c r="H2910" i="23" s="1"/>
  <c r="F2911" i="23"/>
  <c r="H2911" i="23" s="1"/>
  <c r="F2912" i="23"/>
  <c r="H2912" i="23" s="1"/>
  <c r="F2913" i="23"/>
  <c r="H2913" i="23" s="1"/>
  <c r="F2914" i="23"/>
  <c r="H2914" i="23" s="1"/>
  <c r="F2915" i="23"/>
  <c r="H2915" i="23" s="1"/>
  <c r="F2916" i="23"/>
  <c r="H2916" i="23" s="1"/>
  <c r="F2917" i="23"/>
  <c r="H2917" i="23" s="1"/>
  <c r="F2918" i="23"/>
  <c r="H2918" i="23" s="1"/>
  <c r="F2919" i="23"/>
  <c r="H2919" i="23" s="1"/>
  <c r="F2920" i="23"/>
  <c r="H2920" i="23" s="1"/>
  <c r="F2921" i="23"/>
  <c r="H2921" i="23" s="1"/>
  <c r="F2922" i="23"/>
  <c r="H2922" i="23" s="1"/>
  <c r="F2923" i="23"/>
  <c r="H2923" i="23" s="1"/>
  <c r="F2924" i="23"/>
  <c r="H2924" i="23" s="1"/>
  <c r="F2925" i="23"/>
  <c r="H2925" i="23" s="1"/>
  <c r="F2926" i="23"/>
  <c r="H2926" i="23" s="1"/>
  <c r="F2927" i="23"/>
  <c r="H2927" i="23" s="1"/>
  <c r="F2928" i="23"/>
  <c r="H2928" i="23" s="1"/>
  <c r="F2929" i="23"/>
  <c r="H2929" i="23" s="1"/>
  <c r="F2930" i="23"/>
  <c r="H2930" i="23" s="1"/>
  <c r="F2931" i="23"/>
  <c r="H2931" i="23" s="1"/>
  <c r="F2932" i="23"/>
  <c r="H2932" i="23" s="1"/>
  <c r="F2933" i="23"/>
  <c r="H2933" i="23" s="1"/>
  <c r="F2934" i="23"/>
  <c r="H2934" i="23" s="1"/>
  <c r="F2935" i="23"/>
  <c r="H2935" i="23" s="1"/>
  <c r="F2936" i="23"/>
  <c r="H2936" i="23" s="1"/>
  <c r="F2937" i="23"/>
  <c r="H2937" i="23" s="1"/>
  <c r="F2938" i="23"/>
  <c r="H2938" i="23" s="1"/>
  <c r="F2939" i="23"/>
  <c r="H2939" i="23" s="1"/>
  <c r="F2940" i="23"/>
  <c r="H2940" i="23" s="1"/>
  <c r="F2941" i="23"/>
  <c r="H2941" i="23" s="1"/>
  <c r="F2942" i="23"/>
  <c r="H2942" i="23" s="1"/>
  <c r="F2943" i="23"/>
  <c r="H2943" i="23" s="1"/>
  <c r="F2944" i="23"/>
  <c r="H2944" i="23" s="1"/>
  <c r="F2945" i="23"/>
  <c r="H2945" i="23" s="1"/>
  <c r="F2946" i="23"/>
  <c r="H2946" i="23" s="1"/>
  <c r="F2947" i="23"/>
  <c r="H2947" i="23" s="1"/>
  <c r="F2948" i="23"/>
  <c r="H2948" i="23" s="1"/>
  <c r="F2949" i="23"/>
  <c r="H2949" i="23" s="1"/>
  <c r="F2950" i="23"/>
  <c r="H2950" i="23" s="1"/>
  <c r="F2951" i="23"/>
  <c r="H2951" i="23" s="1"/>
  <c r="F2952" i="23"/>
  <c r="H2952" i="23" s="1"/>
  <c r="F2953" i="23"/>
  <c r="H2953" i="23" s="1"/>
  <c r="F2954" i="23"/>
  <c r="H2954" i="23" s="1"/>
  <c r="F2955" i="23"/>
  <c r="H2955" i="23" s="1"/>
  <c r="F2956" i="23"/>
  <c r="H2956" i="23" s="1"/>
  <c r="F2957" i="23"/>
  <c r="H2957" i="23" s="1"/>
  <c r="F2958" i="23"/>
  <c r="H2958" i="23" s="1"/>
  <c r="F2959" i="23"/>
  <c r="H2959" i="23" s="1"/>
  <c r="F2960" i="23"/>
  <c r="H2960" i="23" s="1"/>
  <c r="F2961" i="23"/>
  <c r="H2961" i="23" s="1"/>
  <c r="F2962" i="23"/>
  <c r="H2962" i="23" s="1"/>
  <c r="F2963" i="23"/>
  <c r="H2963" i="23" s="1"/>
  <c r="F2964" i="23"/>
  <c r="H2964" i="23" s="1"/>
  <c r="F2965" i="23"/>
  <c r="H2965" i="23" s="1"/>
  <c r="F2966" i="23"/>
  <c r="H2966" i="23" s="1"/>
  <c r="F2967" i="23"/>
  <c r="H2967" i="23" s="1"/>
  <c r="F2968" i="23"/>
  <c r="H2968" i="23" s="1"/>
  <c r="F2969" i="23"/>
  <c r="H2969" i="23" s="1"/>
  <c r="F2970" i="23"/>
  <c r="H2970" i="23" s="1"/>
  <c r="F2971" i="23"/>
  <c r="H2971" i="23" s="1"/>
  <c r="F2972" i="23"/>
  <c r="H2972" i="23" s="1"/>
  <c r="F2973" i="23"/>
  <c r="H2973" i="23" s="1"/>
  <c r="F2974" i="23"/>
  <c r="H2974" i="23" s="1"/>
  <c r="F2975" i="23"/>
  <c r="H2975" i="23" s="1"/>
  <c r="F2976" i="23"/>
  <c r="H2976" i="23" s="1"/>
  <c r="F2977" i="23"/>
  <c r="H2977" i="23" s="1"/>
  <c r="F2978" i="23"/>
  <c r="H2978" i="23" s="1"/>
  <c r="F2979" i="23"/>
  <c r="H2979" i="23" s="1"/>
  <c r="F2980" i="23"/>
  <c r="H2980" i="23" s="1"/>
  <c r="F2981" i="23"/>
  <c r="H2981" i="23" s="1"/>
  <c r="F2982" i="23"/>
  <c r="H2982" i="23" s="1"/>
  <c r="F2983" i="23"/>
  <c r="H2983" i="23" s="1"/>
  <c r="F2984" i="23"/>
  <c r="H2984" i="23" s="1"/>
  <c r="F2985" i="23"/>
  <c r="H2985" i="23" s="1"/>
  <c r="F2986" i="23"/>
  <c r="H2986" i="23" s="1"/>
  <c r="F2987" i="23"/>
  <c r="H2987" i="23" s="1"/>
  <c r="F2988" i="23"/>
  <c r="H2988" i="23" s="1"/>
  <c r="F2989" i="23"/>
  <c r="H2989" i="23" s="1"/>
  <c r="F2990" i="23"/>
  <c r="H2990" i="23" s="1"/>
  <c r="F2991" i="23"/>
  <c r="H2991" i="23" s="1"/>
  <c r="F2992" i="23"/>
  <c r="H2992" i="23" s="1"/>
  <c r="F2993" i="23"/>
  <c r="H2993" i="23" s="1"/>
  <c r="F2994" i="23"/>
  <c r="H2994" i="23" s="1"/>
  <c r="F2995" i="23"/>
  <c r="H2995" i="23" s="1"/>
  <c r="F2996" i="23"/>
  <c r="H2996" i="23" s="1"/>
  <c r="F2997" i="23"/>
  <c r="H2997" i="23" s="1"/>
  <c r="F2998" i="23"/>
  <c r="H2998" i="23" s="1"/>
  <c r="F2999" i="23"/>
  <c r="H2999" i="23" s="1"/>
  <c r="F3000" i="23"/>
  <c r="H3000" i="23" s="1"/>
  <c r="F3001" i="23"/>
  <c r="H3001" i="23" s="1"/>
  <c r="F3002" i="23"/>
  <c r="H3002" i="23" s="1"/>
  <c r="F3003" i="23"/>
  <c r="H3003" i="23" s="1"/>
  <c r="F3004" i="23"/>
  <c r="H3004" i="23" s="1"/>
  <c r="F3005" i="23"/>
  <c r="H3005" i="23" s="1"/>
  <c r="F3006" i="23"/>
  <c r="H3006" i="23" s="1"/>
  <c r="F3007" i="23"/>
  <c r="H3007" i="23" s="1"/>
  <c r="F3008" i="23"/>
  <c r="H3008" i="23" s="1"/>
  <c r="F3009" i="23"/>
  <c r="H3009" i="23" s="1"/>
  <c r="F3010" i="23"/>
  <c r="H3010" i="23" s="1"/>
  <c r="F3011" i="23"/>
  <c r="H3011" i="23" s="1"/>
  <c r="F3012" i="23"/>
  <c r="H3012" i="23" s="1"/>
  <c r="F3013" i="23"/>
  <c r="H3013" i="23" s="1"/>
  <c r="F3014" i="23"/>
  <c r="H3014" i="23" s="1"/>
  <c r="F3015" i="23"/>
  <c r="H3015" i="23" s="1"/>
  <c r="F3016" i="23"/>
  <c r="H3016" i="23" s="1"/>
  <c r="F3017" i="23"/>
  <c r="H3017" i="23" s="1"/>
  <c r="F3018" i="23"/>
  <c r="H3018" i="23" s="1"/>
  <c r="F3019" i="23"/>
  <c r="H3019" i="23" s="1"/>
  <c r="F3020" i="23"/>
  <c r="H3020" i="23" s="1"/>
  <c r="F3021" i="23"/>
  <c r="H3021" i="23" s="1"/>
  <c r="F3022" i="23"/>
  <c r="H3022" i="23" s="1"/>
  <c r="F3023" i="23"/>
  <c r="H3023" i="23" s="1"/>
  <c r="F3024" i="23"/>
  <c r="H3024" i="23" s="1"/>
  <c r="F3025" i="23"/>
  <c r="H3025" i="23" s="1"/>
  <c r="F3026" i="23"/>
  <c r="H3026" i="23" s="1"/>
  <c r="F3027" i="23"/>
  <c r="H3027" i="23" s="1"/>
  <c r="F3028" i="23"/>
  <c r="H3028" i="23" s="1"/>
  <c r="F3029" i="23"/>
  <c r="H3029" i="23" s="1"/>
  <c r="F3030" i="23"/>
  <c r="H3030" i="23" s="1"/>
  <c r="F3031" i="23"/>
  <c r="H3031" i="23" s="1"/>
  <c r="F3032" i="23"/>
  <c r="H3032" i="23" s="1"/>
  <c r="F3033" i="23"/>
  <c r="H3033" i="23" s="1"/>
  <c r="F3034" i="23"/>
  <c r="H3034" i="23" s="1"/>
  <c r="F3035" i="23"/>
  <c r="H3035" i="23" s="1"/>
  <c r="F3036" i="23"/>
  <c r="H3036" i="23" s="1"/>
  <c r="F3037" i="23"/>
  <c r="H3037" i="23" s="1"/>
  <c r="F3038" i="23"/>
  <c r="H3038" i="23" s="1"/>
  <c r="F3039" i="23"/>
  <c r="H3039" i="23" s="1"/>
  <c r="F3040" i="23"/>
  <c r="H3040" i="23" s="1"/>
  <c r="F3041" i="23"/>
  <c r="H3041" i="23" s="1"/>
  <c r="F3042" i="23"/>
  <c r="H3042" i="23" s="1"/>
  <c r="F3043" i="23"/>
  <c r="H3043" i="23" s="1"/>
  <c r="F3044" i="23"/>
  <c r="H3044" i="23" s="1"/>
  <c r="F3045" i="23"/>
  <c r="H3045" i="23" s="1"/>
  <c r="F3046" i="23"/>
  <c r="H3046" i="23" s="1"/>
  <c r="F3047" i="23"/>
  <c r="H3047" i="23" s="1"/>
  <c r="F3048" i="23"/>
  <c r="H3048" i="23" s="1"/>
  <c r="F3049" i="23"/>
  <c r="H3049" i="23" s="1"/>
  <c r="F3050" i="23"/>
  <c r="H3050" i="23" s="1"/>
  <c r="F3051" i="23"/>
  <c r="H3051" i="23" s="1"/>
  <c r="F3052" i="23"/>
  <c r="H3052" i="23" s="1"/>
  <c r="F3053" i="23"/>
  <c r="H3053" i="23" s="1"/>
  <c r="F3054" i="23"/>
  <c r="H3054" i="23" s="1"/>
  <c r="F3055" i="23"/>
  <c r="H3055" i="23" s="1"/>
  <c r="F3056" i="23"/>
  <c r="H3056" i="23" s="1"/>
  <c r="F3057" i="23"/>
  <c r="H3057" i="23" s="1"/>
  <c r="F3058" i="23"/>
  <c r="H3058" i="23" s="1"/>
  <c r="F3059" i="23"/>
  <c r="H3059" i="23" s="1"/>
  <c r="F3060" i="23"/>
  <c r="H3060" i="23" s="1"/>
  <c r="F3061" i="23"/>
  <c r="H3061" i="23" s="1"/>
  <c r="F3062" i="23"/>
  <c r="H3062" i="23" s="1"/>
  <c r="F3063" i="23"/>
  <c r="H3063" i="23" s="1"/>
  <c r="F3064" i="23"/>
  <c r="H3064" i="23" s="1"/>
  <c r="F3065" i="23"/>
  <c r="H3065" i="23" s="1"/>
  <c r="F3066" i="23"/>
  <c r="H3066" i="23" s="1"/>
  <c r="F3067" i="23"/>
  <c r="H3067" i="23" s="1"/>
  <c r="F3068" i="23"/>
  <c r="H3068" i="23" s="1"/>
  <c r="F3069" i="23"/>
  <c r="H3069" i="23" s="1"/>
  <c r="F3070" i="23"/>
  <c r="H3070" i="23" s="1"/>
  <c r="F3071" i="23"/>
  <c r="H3071" i="23" s="1"/>
  <c r="F3072" i="23"/>
  <c r="H3072" i="23" s="1"/>
  <c r="F3073" i="23"/>
  <c r="H3073" i="23" s="1"/>
  <c r="F3074" i="23"/>
  <c r="H3074" i="23" s="1"/>
  <c r="F3075" i="23"/>
  <c r="H3075" i="23" s="1"/>
  <c r="F3076" i="23"/>
  <c r="H3076" i="23" s="1"/>
  <c r="F3077" i="23"/>
  <c r="H3077" i="23" s="1"/>
  <c r="F3078" i="23"/>
  <c r="H3078" i="23" s="1"/>
  <c r="F3079" i="23"/>
  <c r="H3079" i="23" s="1"/>
  <c r="F3080" i="23"/>
  <c r="H3080" i="23" s="1"/>
  <c r="F3081" i="23"/>
  <c r="H3081" i="23" s="1"/>
  <c r="F3082" i="23"/>
  <c r="H3082" i="23" s="1"/>
  <c r="F3083" i="23"/>
  <c r="H3083" i="23" s="1"/>
  <c r="F3084" i="23"/>
  <c r="H3084" i="23" s="1"/>
  <c r="F3085" i="23"/>
  <c r="H3085" i="23" s="1"/>
  <c r="F3086" i="23"/>
  <c r="H3086" i="23" s="1"/>
  <c r="F3087" i="23"/>
  <c r="H3087" i="23" s="1"/>
  <c r="F3088" i="23"/>
  <c r="H3088" i="23" s="1"/>
  <c r="F3089" i="23"/>
  <c r="H3089" i="23" s="1"/>
  <c r="F3090" i="23"/>
  <c r="H3090" i="23" s="1"/>
  <c r="F3091" i="23"/>
  <c r="H3091" i="23" s="1"/>
  <c r="F3092" i="23"/>
  <c r="H3092" i="23" s="1"/>
  <c r="F3093" i="23"/>
  <c r="H3093" i="23" s="1"/>
  <c r="F3094" i="23"/>
  <c r="H3094" i="23" s="1"/>
  <c r="F3095" i="23"/>
  <c r="H3095" i="23" s="1"/>
  <c r="F3096" i="23"/>
  <c r="H3096" i="23" s="1"/>
  <c r="F3097" i="23"/>
  <c r="H3097" i="23" s="1"/>
  <c r="F3098" i="23"/>
  <c r="H3098" i="23" s="1"/>
  <c r="F3099" i="23"/>
  <c r="H3099" i="23" s="1"/>
  <c r="F3100" i="23"/>
  <c r="H3100" i="23" s="1"/>
  <c r="F3101" i="23"/>
  <c r="H3101" i="23" s="1"/>
  <c r="F3102" i="23"/>
  <c r="H3102" i="23" s="1"/>
  <c r="F3103" i="23"/>
  <c r="H3103" i="23" s="1"/>
  <c r="F3104" i="23"/>
  <c r="H3104" i="23" s="1"/>
  <c r="F3105" i="23"/>
  <c r="H3105" i="23" s="1"/>
  <c r="F3106" i="23"/>
  <c r="H3106" i="23" s="1"/>
  <c r="F3107" i="23"/>
  <c r="H3107" i="23" s="1"/>
  <c r="F3108" i="23"/>
  <c r="H3108" i="23" s="1"/>
  <c r="F3109" i="23"/>
  <c r="H3109" i="23" s="1"/>
  <c r="F3110" i="23"/>
  <c r="H3110" i="23" s="1"/>
  <c r="F3111" i="23"/>
  <c r="H3111" i="23" s="1"/>
  <c r="F3112" i="23"/>
  <c r="H3112" i="23" s="1"/>
  <c r="F3113" i="23"/>
  <c r="H3113" i="23" s="1"/>
  <c r="F3114" i="23"/>
  <c r="H3114" i="23" s="1"/>
  <c r="F3115" i="23"/>
  <c r="H3115" i="23" s="1"/>
  <c r="F3116" i="23"/>
  <c r="H3116" i="23" s="1"/>
  <c r="F3117" i="23"/>
  <c r="H3117" i="23" s="1"/>
  <c r="F3118" i="23"/>
  <c r="H3118" i="23" s="1"/>
  <c r="F3119" i="23"/>
  <c r="H3119" i="23" s="1"/>
  <c r="F3120" i="23"/>
  <c r="H3120" i="23" s="1"/>
  <c r="F3121" i="23"/>
  <c r="H3121" i="23" s="1"/>
  <c r="F3122" i="23"/>
  <c r="H3122" i="23" s="1"/>
  <c r="F3123" i="23"/>
  <c r="H3123" i="23" s="1"/>
  <c r="F3124" i="23"/>
  <c r="H3124" i="23" s="1"/>
  <c r="F3125" i="23"/>
  <c r="H3125" i="23" s="1"/>
  <c r="F3126" i="23"/>
  <c r="H3126" i="23" s="1"/>
  <c r="F3127" i="23"/>
  <c r="H3127" i="23" s="1"/>
  <c r="F3128" i="23"/>
  <c r="H3128" i="23" s="1"/>
  <c r="F3129" i="23"/>
  <c r="H3129" i="23" s="1"/>
  <c r="F3130" i="23"/>
  <c r="H3130" i="23" s="1"/>
  <c r="F3131" i="23"/>
  <c r="H3131" i="23" s="1"/>
  <c r="F3132" i="23"/>
  <c r="H3132" i="23" s="1"/>
  <c r="F3133" i="23"/>
  <c r="H3133" i="23" s="1"/>
  <c r="F3134" i="23"/>
  <c r="H3134" i="23" s="1"/>
  <c r="F3135" i="23"/>
  <c r="H3135" i="23" s="1"/>
  <c r="F3136" i="23"/>
  <c r="H3136" i="23" s="1"/>
  <c r="F3137" i="23"/>
  <c r="H3137" i="23" s="1"/>
  <c r="F3138" i="23"/>
  <c r="H3138" i="23" s="1"/>
  <c r="F3139" i="23"/>
  <c r="H3139" i="23" s="1"/>
  <c r="F3140" i="23"/>
  <c r="H3140" i="23" s="1"/>
  <c r="F3141" i="23"/>
  <c r="H3141" i="23" s="1"/>
  <c r="F3142" i="23"/>
  <c r="H3142" i="23" s="1"/>
  <c r="F3143" i="23"/>
  <c r="H3143" i="23" s="1"/>
  <c r="F3144" i="23"/>
  <c r="H3144" i="23" s="1"/>
  <c r="F3145" i="23"/>
  <c r="H3145" i="23" s="1"/>
  <c r="F3146" i="23"/>
  <c r="H3146" i="23" s="1"/>
  <c r="F3147" i="23"/>
  <c r="H3147" i="23" s="1"/>
  <c r="F3148" i="23"/>
  <c r="H3148" i="23" s="1"/>
  <c r="F3149" i="23"/>
  <c r="H3149" i="23" s="1"/>
  <c r="F3150" i="23"/>
  <c r="H3150" i="23" s="1"/>
  <c r="F3151" i="23"/>
  <c r="H3151" i="23" s="1"/>
  <c r="F3152" i="23"/>
  <c r="H3152" i="23" s="1"/>
  <c r="F3153" i="23"/>
  <c r="H3153" i="23" s="1"/>
  <c r="F3154" i="23"/>
  <c r="H3154" i="23" s="1"/>
  <c r="F3155" i="23"/>
  <c r="H3155" i="23"/>
  <c r="F3156" i="23"/>
  <c r="H3156" i="23"/>
  <c r="D215" i="5" l="1"/>
  <c r="D214" i="5"/>
  <c r="D216" i="5"/>
  <c r="D171" i="5"/>
  <c r="D172" i="5" s="1"/>
  <c r="D187" i="5"/>
  <c r="D188" i="5" s="1"/>
  <c r="D136" i="5"/>
  <c r="D137" i="5" s="1"/>
  <c r="D101" i="5"/>
  <c r="D102" i="5" s="1"/>
  <c r="D117" i="5"/>
  <c r="D118" i="5" s="1"/>
  <c r="D109" i="5"/>
  <c r="D110" i="5" s="1"/>
  <c r="D66" i="5"/>
  <c r="D67" i="5" s="1"/>
  <c r="D82" i="5"/>
  <c r="D83" i="5" s="1"/>
  <c r="D74" i="5"/>
  <c r="D75" i="5" s="1"/>
  <c r="D89" i="5"/>
  <c r="D31" i="5"/>
  <c r="D32" i="5" s="1"/>
  <c r="D47" i="5"/>
  <c r="D48" i="5" s="1"/>
  <c r="D39" i="5"/>
  <c r="D40" i="5" s="1"/>
  <c r="F510" i="28"/>
  <c r="F504" i="28"/>
  <c r="F498" i="28"/>
  <c r="F492" i="28"/>
  <c r="F486" i="28"/>
  <c r="F480" i="28"/>
  <c r="F456" i="28"/>
  <c r="F429" i="28"/>
  <c r="F423" i="28"/>
  <c r="F419" i="28"/>
  <c r="F408" i="28"/>
  <c r="F402" i="28"/>
  <c r="F396" i="28"/>
  <c r="F390" i="28"/>
  <c r="F384" i="28"/>
  <c r="F378" i="28"/>
  <c r="F354" i="28"/>
  <c r="F327" i="28"/>
  <c r="F321" i="28"/>
  <c r="F317" i="28"/>
  <c r="F306" i="28"/>
  <c r="F300" i="28"/>
  <c r="F294" i="28"/>
  <c r="F288" i="28"/>
  <c r="F282" i="28"/>
  <c r="F276" i="28"/>
  <c r="F252" i="28"/>
  <c r="F225" i="28"/>
  <c r="F219" i="28"/>
  <c r="F215" i="28"/>
  <c r="F204" i="28"/>
  <c r="F198" i="28"/>
  <c r="F192" i="28"/>
  <c r="F186" i="28"/>
  <c r="F180" i="28"/>
  <c r="F174" i="28"/>
  <c r="F150" i="28"/>
  <c r="F123" i="28"/>
  <c r="F117" i="28"/>
  <c r="F113" i="28"/>
  <c r="F102" i="28"/>
  <c r="F96" i="28"/>
  <c r="F90" i="28"/>
  <c r="F84" i="28"/>
  <c r="F78" i="28"/>
  <c r="F72" i="28"/>
  <c r="F48" i="28"/>
  <c r="F21" i="28"/>
  <c r="F15" i="28"/>
  <c r="F11" i="28"/>
  <c r="C205" i="5"/>
  <c r="C198" i="5"/>
  <c r="C33" i="4" l="1"/>
  <c r="C134" i="24"/>
  <c r="C502" i="32"/>
  <c r="C157" i="27"/>
  <c r="F493" i="32"/>
  <c r="F487" i="32"/>
  <c r="F481" i="32"/>
  <c r="F475" i="32"/>
  <c r="F469" i="32"/>
  <c r="F463" i="32"/>
  <c r="F439" i="32"/>
  <c r="F412" i="32"/>
  <c r="F406" i="32"/>
  <c r="F395" i="32"/>
  <c r="F389" i="32"/>
  <c r="F383" i="32"/>
  <c r="F377" i="32"/>
  <c r="F371" i="32"/>
  <c r="F365" i="32"/>
  <c r="F341" i="32"/>
  <c r="F314" i="32"/>
  <c r="F308" i="32"/>
  <c r="F297" i="32"/>
  <c r="F291" i="32"/>
  <c r="F285" i="32"/>
  <c r="F279" i="32"/>
  <c r="F273" i="32"/>
  <c r="F267" i="32"/>
  <c r="F243" i="32"/>
  <c r="F216" i="32"/>
  <c r="F210" i="32"/>
  <c r="F199" i="32"/>
  <c r="F193" i="32"/>
  <c r="F187" i="32"/>
  <c r="F181" i="32"/>
  <c r="F175" i="32"/>
  <c r="F169" i="32"/>
  <c r="F145" i="32"/>
  <c r="F118" i="32"/>
  <c r="F112" i="32"/>
  <c r="F101" i="32"/>
  <c r="F95" i="32"/>
  <c r="F89" i="32"/>
  <c r="F83" i="32"/>
  <c r="F77" i="32"/>
  <c r="F71" i="32"/>
  <c r="F47" i="32"/>
  <c r="F20" i="32"/>
  <c r="F14" i="32"/>
  <c r="C528" i="2" l="1"/>
  <c r="C182" i="5" l="1"/>
  <c r="C174" i="5"/>
  <c r="C166" i="5"/>
  <c r="C147" i="5"/>
  <c r="C139" i="5"/>
  <c r="C131" i="5"/>
  <c r="C112" i="5"/>
  <c r="C104" i="5"/>
  <c r="C96" i="5"/>
  <c r="C77" i="5"/>
  <c r="C69" i="5"/>
  <c r="C61" i="5"/>
  <c r="C42" i="5"/>
  <c r="C34" i="5"/>
  <c r="C26" i="5"/>
  <c r="C70" i="24"/>
  <c r="C9" i="24"/>
  <c r="C207" i="32" l="1"/>
  <c r="G500" i="32"/>
  <c r="C500" i="32"/>
  <c r="E493" i="32"/>
  <c r="D493" i="32"/>
  <c r="E487" i="32"/>
  <c r="D487" i="32"/>
  <c r="E481" i="32"/>
  <c r="D481" i="32"/>
  <c r="E475" i="32"/>
  <c r="D475" i="32"/>
  <c r="E469" i="32"/>
  <c r="D469" i="32"/>
  <c r="E463" i="32"/>
  <c r="D463" i="32"/>
  <c r="E439" i="32"/>
  <c r="D439" i="32"/>
  <c r="E412" i="32"/>
  <c r="D412" i="32"/>
  <c r="E406" i="32"/>
  <c r="D406" i="32"/>
  <c r="C403" i="32"/>
  <c r="E395" i="32"/>
  <c r="D395" i="32"/>
  <c r="E389" i="32"/>
  <c r="D389" i="32"/>
  <c r="E383" i="32"/>
  <c r="D383" i="32"/>
  <c r="E377" i="32"/>
  <c r="D377" i="32"/>
  <c r="E371" i="32"/>
  <c r="D371" i="32"/>
  <c r="E365" i="32"/>
  <c r="D365" i="32"/>
  <c r="E341" i="32"/>
  <c r="D341" i="32"/>
  <c r="E314" i="32"/>
  <c r="D314" i="32"/>
  <c r="E308" i="32"/>
  <c r="D308" i="32"/>
  <c r="C305" i="32"/>
  <c r="E297" i="32"/>
  <c r="D297" i="32"/>
  <c r="E291" i="32"/>
  <c r="D291" i="32"/>
  <c r="E285" i="32"/>
  <c r="D285" i="32"/>
  <c r="E279" i="32"/>
  <c r="D279" i="32"/>
  <c r="E273" i="32"/>
  <c r="D273" i="32"/>
  <c r="E267" i="32"/>
  <c r="D267" i="32"/>
  <c r="E243" i="32"/>
  <c r="D243" i="32"/>
  <c r="E216" i="32"/>
  <c r="D216" i="32"/>
  <c r="E210" i="32"/>
  <c r="D210" i="32"/>
  <c r="E199" i="32"/>
  <c r="D199" i="32"/>
  <c r="E193" i="32"/>
  <c r="D193" i="32"/>
  <c r="E187" i="32"/>
  <c r="D187" i="32"/>
  <c r="E181" i="32"/>
  <c r="D181" i="32"/>
  <c r="E175" i="32"/>
  <c r="D175" i="32"/>
  <c r="E169" i="32"/>
  <c r="D169" i="32"/>
  <c r="E145" i="32"/>
  <c r="D145" i="32"/>
  <c r="E118" i="32"/>
  <c r="D118" i="32"/>
  <c r="E112" i="32"/>
  <c r="D112" i="32"/>
  <c r="C109" i="32"/>
  <c r="E101" i="32"/>
  <c r="D101" i="32"/>
  <c r="E95" i="32"/>
  <c r="D95" i="32"/>
  <c r="E89" i="32"/>
  <c r="D89" i="32"/>
  <c r="E83" i="32"/>
  <c r="D83" i="32"/>
  <c r="E77" i="32"/>
  <c r="D77" i="32"/>
  <c r="E71" i="32"/>
  <c r="D71" i="32"/>
  <c r="E47" i="32"/>
  <c r="D47" i="32"/>
  <c r="E20" i="32"/>
  <c r="D20" i="32"/>
  <c r="E14" i="32"/>
  <c r="D14" i="32"/>
  <c r="C11" i="32"/>
  <c r="I132" i="24" l="1"/>
  <c r="E25" i="31"/>
  <c r="C25" i="31"/>
  <c r="E218" i="5" l="1"/>
  <c r="C132" i="24" l="1"/>
  <c r="E151" i="27" l="1"/>
  <c r="C31" i="4" l="1"/>
  <c r="C164" i="5" l="1"/>
  <c r="C129" i="5"/>
  <c r="C94" i="5"/>
  <c r="C59" i="5"/>
  <c r="C24" i="5"/>
  <c r="F31" i="4"/>
  <c r="G517" i="28"/>
  <c r="E155" i="27"/>
  <c r="C218" i="5"/>
  <c r="C517" i="28"/>
  <c r="C155" i="27"/>
  <c r="F526" i="2"/>
  <c r="C526" i="2"/>
  <c r="C416" i="28" l="1"/>
  <c r="C314" i="28"/>
  <c r="C212" i="28"/>
  <c r="C110" i="28"/>
  <c r="C8" i="28"/>
  <c r="E140" i="27" l="1"/>
  <c r="E112" i="27"/>
  <c r="E84" i="27"/>
  <c r="E56" i="27"/>
  <c r="E28" i="27"/>
  <c r="E510" i="28"/>
  <c r="D510" i="28"/>
  <c r="E504" i="28"/>
  <c r="D504" i="28"/>
  <c r="E498" i="28"/>
  <c r="D498" i="28"/>
  <c r="E492" i="28"/>
  <c r="D492" i="28"/>
  <c r="E486" i="28"/>
  <c r="D486" i="28"/>
  <c r="E480" i="28"/>
  <c r="D480" i="28"/>
  <c r="E456" i="28"/>
  <c r="D456" i="28"/>
  <c r="E429" i="28"/>
  <c r="D429" i="28"/>
  <c r="E423" i="28"/>
  <c r="D423" i="28"/>
  <c r="E419" i="28"/>
  <c r="E408" i="28"/>
  <c r="D408" i="28"/>
  <c r="E402" i="28"/>
  <c r="D402" i="28"/>
  <c r="E396" i="28"/>
  <c r="D396" i="28"/>
  <c r="E390" i="28"/>
  <c r="D390" i="28"/>
  <c r="E384" i="28"/>
  <c r="D384" i="28"/>
  <c r="E378" i="28"/>
  <c r="D378" i="28"/>
  <c r="E354" i="28"/>
  <c r="D354" i="28"/>
  <c r="E327" i="28"/>
  <c r="D327" i="28"/>
  <c r="E321" i="28"/>
  <c r="D321" i="28"/>
  <c r="E317" i="28"/>
  <c r="E306" i="28"/>
  <c r="D306" i="28"/>
  <c r="E300" i="28"/>
  <c r="D300" i="28"/>
  <c r="E294" i="28"/>
  <c r="D294" i="28"/>
  <c r="E288" i="28"/>
  <c r="D288" i="28"/>
  <c r="E282" i="28"/>
  <c r="D282" i="28"/>
  <c r="E276" i="28"/>
  <c r="D276" i="28"/>
  <c r="E252" i="28"/>
  <c r="D252" i="28"/>
  <c r="E225" i="28"/>
  <c r="D225" i="28"/>
  <c r="E219" i="28"/>
  <c r="D219" i="28"/>
  <c r="E215" i="28"/>
  <c r="E204" i="28"/>
  <c r="D204" i="28"/>
  <c r="E198" i="28"/>
  <c r="D198" i="28"/>
  <c r="E192" i="28"/>
  <c r="D192" i="28"/>
  <c r="E186" i="28"/>
  <c r="D186" i="28"/>
  <c r="E180" i="28"/>
  <c r="D180" i="28"/>
  <c r="E174" i="28"/>
  <c r="D174" i="28"/>
  <c r="E150" i="28"/>
  <c r="D150" i="28"/>
  <c r="E123" i="28"/>
  <c r="D123" i="28"/>
  <c r="E117" i="28"/>
  <c r="D117" i="28"/>
  <c r="E113" i="28"/>
  <c r="E102" i="28"/>
  <c r="D102" i="28"/>
  <c r="E96" i="28"/>
  <c r="D96" i="28"/>
  <c r="E90" i="28"/>
  <c r="D90" i="28"/>
  <c r="E84" i="28"/>
  <c r="D84" i="28"/>
  <c r="E78" i="28"/>
  <c r="D78" i="28"/>
  <c r="E72" i="28"/>
  <c r="D72" i="28"/>
  <c r="E48" i="28"/>
  <c r="D48" i="28"/>
  <c r="E21" i="28"/>
  <c r="D21" i="28"/>
  <c r="E15" i="28"/>
  <c r="D15" i="28"/>
  <c r="E11" i="28"/>
  <c r="D419" i="28"/>
  <c r="D317" i="28"/>
  <c r="D215" i="28"/>
  <c r="D113" i="28"/>
  <c r="D11" i="28"/>
  <c r="F7" i="4" l="1"/>
  <c r="C7" i="4"/>
  <c r="C519" i="28" l="1"/>
</calcChain>
</file>

<file path=xl/sharedStrings.xml><?xml version="1.0" encoding="utf-8"?>
<sst xmlns="http://schemas.openxmlformats.org/spreadsheetml/2006/main" count="11950" uniqueCount="3561">
  <si>
    <t>Instructions</t>
  </si>
  <si>
    <t>•</t>
  </si>
  <si>
    <t>Submission and Eligibility Requirements</t>
  </si>
  <si>
    <t>Request for Confidentiality</t>
  </si>
  <si>
    <t>Legal Authority</t>
  </si>
  <si>
    <t>It is the responsibility of the regulated emitter to contact all necessary agencies of the Government of Canada to meet any requirements pertaining to federal acts or regulations.</t>
  </si>
  <si>
    <t>Sector</t>
  </si>
  <si>
    <t>Product 1</t>
  </si>
  <si>
    <t>Production</t>
  </si>
  <si>
    <t xml:space="preserve">I, </t>
  </si>
  <si>
    <t>Product 2</t>
  </si>
  <si>
    <t>Product 3</t>
  </si>
  <si>
    <t>Product 4</t>
  </si>
  <si>
    <t>Product 5</t>
  </si>
  <si>
    <t>Error Message</t>
  </si>
  <si>
    <t>Description</t>
  </si>
  <si>
    <t>Facility name</t>
  </si>
  <si>
    <t>Units</t>
  </si>
  <si>
    <t>Error Check</t>
  </si>
  <si>
    <t>Product name</t>
  </si>
  <si>
    <t>OBPS registration number</t>
  </si>
  <si>
    <t>First baseline year</t>
  </si>
  <si>
    <t>Baseline year</t>
  </si>
  <si>
    <t>Direct emissions</t>
  </si>
  <si>
    <t>Industrial process emissions</t>
  </si>
  <si>
    <t>Other sector</t>
  </si>
  <si>
    <t>Last Valid Entry</t>
  </si>
  <si>
    <t>Current Value</t>
  </si>
  <si>
    <t>Section Name</t>
  </si>
  <si>
    <t>Ranges</t>
  </si>
  <si>
    <t>Inputs</t>
  </si>
  <si>
    <t>Sections</t>
  </si>
  <si>
    <t>Any changes made to this form after it has been signed by the authorized signing officer will deem the submission void.</t>
  </si>
  <si>
    <t>Input Name</t>
  </si>
  <si>
    <t>Last Printed Value</t>
  </si>
  <si>
    <t>Range Name</t>
  </si>
  <si>
    <t>Carbon dioxide</t>
  </si>
  <si>
    <t>Methane</t>
  </si>
  <si>
    <t>Nitrous oxide</t>
  </si>
  <si>
    <t>Sulphur hexafluoride</t>
  </si>
  <si>
    <t>Perfluoromethane</t>
  </si>
  <si>
    <t>Perfluoroethane</t>
  </si>
  <si>
    <t>Perfluoropropane</t>
  </si>
  <si>
    <t>Perfluorobutane</t>
  </si>
  <si>
    <t>Perfluorocyclobutane</t>
  </si>
  <si>
    <t>Perfluoropentane</t>
  </si>
  <si>
    <t>Perfluorohexane</t>
  </si>
  <si>
    <t>HFC-23</t>
  </si>
  <si>
    <t>HFC-32</t>
  </si>
  <si>
    <t>HFC-41</t>
  </si>
  <si>
    <t>HFC-43-10mee</t>
  </si>
  <si>
    <t>HFC-125</t>
  </si>
  <si>
    <t>HFC-134</t>
  </si>
  <si>
    <t>HFC-134a</t>
  </si>
  <si>
    <t>HFC-143</t>
  </si>
  <si>
    <t>HFC-143a</t>
  </si>
  <si>
    <t>HFC-152a</t>
  </si>
  <si>
    <t>HFC-227ea</t>
  </si>
  <si>
    <t>HFC-236fa</t>
  </si>
  <si>
    <t>HFC-245ca</t>
  </si>
  <si>
    <t>Product Information</t>
  </si>
  <si>
    <t>Subsequent baseline years</t>
  </si>
  <si>
    <t>Has this product been in commercial production for less than three years?</t>
  </si>
  <si>
    <t>Stationary fuel combustion emissions</t>
  </si>
  <si>
    <t>Industrial product use emissions</t>
  </si>
  <si>
    <t>Venting emissions</t>
  </si>
  <si>
    <t>Flaring emissions</t>
  </si>
  <si>
    <t>Leakage emissions</t>
  </si>
  <si>
    <t>On-site transportation emissions</t>
  </si>
  <si>
    <t>Waste emissions</t>
  </si>
  <si>
    <t>Wastewater emissions</t>
  </si>
  <si>
    <t>(GWh)</t>
  </si>
  <si>
    <t xml:space="preserve">      (authorized signing officer) confirm that all the information</t>
  </si>
  <si>
    <t>Both an Excel and PDF version of this form must be submitted along with any other required documents. After reviewing each tab, the authorized signing officer must enter the date and click the button below to convert this form to a PDF. The PDF must be signed by the authorized signing officer on the line below. A digital or handwritten signature is acceptable.</t>
  </si>
  <si>
    <t>Signature</t>
  </si>
  <si>
    <t>Date</t>
  </si>
  <si>
    <t>Reported data</t>
  </si>
  <si>
    <t>#</t>
  </si>
  <si>
    <t>Registry ID number</t>
  </si>
  <si>
    <t>Value</t>
  </si>
  <si>
    <t>Regulated industrial emissions</t>
  </si>
  <si>
    <t>Regulated electricity emissions</t>
  </si>
  <si>
    <t>Baseline emissions</t>
  </si>
  <si>
    <t>Baseline emissions level</t>
  </si>
  <si>
    <t>Baseline production level</t>
  </si>
  <si>
    <t>Baseline emissions intensity</t>
  </si>
  <si>
    <t>Summary</t>
  </si>
  <si>
    <t>i</t>
  </si>
  <si>
    <t>a</t>
  </si>
  <si>
    <t>Term</t>
  </si>
  <si>
    <t>Baseline summary</t>
  </si>
  <si>
    <t>GWh</t>
  </si>
  <si>
    <t>Electricity Data</t>
  </si>
  <si>
    <t>Gas-to-Power Data</t>
  </si>
  <si>
    <t>Gas-to-Power Product</t>
  </si>
  <si>
    <t>Index</t>
  </si>
  <si>
    <t>Both the Excel and PDF versions of this form must be submitted along with any other required documents.</t>
  </si>
  <si>
    <t>After reviewing the information on each tab, the authorized signing officer must convert this form to a PDF by following the steps on the Declaration tab.</t>
  </si>
  <si>
    <t>Second baseline year</t>
  </si>
  <si>
    <t>A quantification methodology document (QMD) must be included with this submission.</t>
  </si>
  <si>
    <t>Baseline submissions must be verified by a certified third-party verifier. The verification report must be included with this submission.</t>
  </si>
  <si>
    <t>Facility Information</t>
  </si>
  <si>
    <t>Declaration</t>
  </si>
  <si>
    <t>Appendix</t>
  </si>
  <si>
    <t>Production Data</t>
  </si>
  <si>
    <r>
      <t xml:space="preserve">This form makes use of macros. </t>
    </r>
    <r>
      <rPr>
        <b/>
        <sz val="11"/>
        <color rgb="FF000000"/>
        <rFont val="Calibri"/>
        <family val="2"/>
        <scheme val="minor"/>
      </rPr>
      <t>Please enable macros.</t>
    </r>
  </si>
  <si>
    <t>The authorized signing officer must provide a digital or handwritten signature on the Declaration tab of the PDF.</t>
  </si>
  <si>
    <r>
      <t xml:space="preserve">The completed form must be submitted electronically via email to </t>
    </r>
    <r>
      <rPr>
        <b/>
        <sz val="11"/>
        <color rgb="FF000000"/>
        <rFont val="Calibri"/>
        <family val="2"/>
        <scheme val="minor"/>
      </rPr>
      <t>OBPSENV@gov.sk.ca.</t>
    </r>
  </si>
  <si>
    <t>(GJ)</t>
  </si>
  <si>
    <t>Nitrous oxide from associated gas</t>
  </si>
  <si>
    <t>Methane from associated gas</t>
  </si>
  <si>
    <t>Carbon dioxide from associated gas</t>
  </si>
  <si>
    <t>Total energy in all combusted fuel</t>
  </si>
  <si>
    <t>Energy in combusted associated gas</t>
  </si>
  <si>
    <r>
      <t>(tonnes CO</t>
    </r>
    <r>
      <rPr>
        <b/>
        <vertAlign val="subscript"/>
        <sz val="11"/>
        <color rgb="FF000000"/>
        <rFont val="Calibri"/>
        <family val="2"/>
        <scheme val="minor"/>
      </rPr>
      <t>2</t>
    </r>
    <r>
      <rPr>
        <b/>
        <sz val="11"/>
        <color rgb="FF000000"/>
        <rFont val="Calibri"/>
        <family val="2"/>
        <scheme val="minor"/>
      </rPr>
      <t>)</t>
    </r>
  </si>
  <si>
    <r>
      <t>(tonnes CH</t>
    </r>
    <r>
      <rPr>
        <b/>
        <vertAlign val="subscript"/>
        <sz val="11"/>
        <color rgb="FF000000"/>
        <rFont val="Calibri"/>
        <family val="2"/>
        <scheme val="minor"/>
      </rPr>
      <t>4</t>
    </r>
    <r>
      <rPr>
        <b/>
        <sz val="11"/>
        <color rgb="FF000000"/>
        <rFont val="Calibri"/>
        <family val="2"/>
        <scheme val="minor"/>
      </rPr>
      <t>)</t>
    </r>
  </si>
  <si>
    <r>
      <t>(tonnes N</t>
    </r>
    <r>
      <rPr>
        <b/>
        <vertAlign val="subscript"/>
        <sz val="11"/>
        <color rgb="FF000000"/>
        <rFont val="Calibri"/>
        <family val="2"/>
        <scheme val="minor"/>
      </rPr>
      <t>2</t>
    </r>
    <r>
      <rPr>
        <b/>
        <sz val="11"/>
        <color rgb="FF000000"/>
        <rFont val="Calibri"/>
        <family val="2"/>
        <scheme val="minor"/>
      </rPr>
      <t>O)</t>
    </r>
  </si>
  <si>
    <r>
      <t>RE</t>
    </r>
    <r>
      <rPr>
        <vertAlign val="subscript"/>
        <sz val="11"/>
        <color rgb="FF000000"/>
        <rFont val="Calibri"/>
        <family val="2"/>
        <scheme val="minor"/>
      </rPr>
      <t>i-a</t>
    </r>
  </si>
  <si>
    <r>
      <t>DE</t>
    </r>
    <r>
      <rPr>
        <vertAlign val="subscript"/>
        <sz val="11"/>
        <color rgb="FF000000"/>
        <rFont val="Calibri"/>
        <family val="2"/>
        <scheme val="minor"/>
      </rPr>
      <t>i-a</t>
    </r>
  </si>
  <si>
    <r>
      <t>BE</t>
    </r>
    <r>
      <rPr>
        <vertAlign val="subscript"/>
        <sz val="11"/>
        <color rgb="FF000000"/>
        <rFont val="Calibri"/>
        <family val="2"/>
        <scheme val="minor"/>
      </rPr>
      <t>i-a</t>
    </r>
  </si>
  <si>
    <r>
      <t>BEL</t>
    </r>
    <r>
      <rPr>
        <vertAlign val="subscript"/>
        <sz val="11"/>
        <color rgb="FF000000"/>
        <rFont val="Calibri"/>
        <family val="2"/>
        <scheme val="minor"/>
      </rPr>
      <t>a</t>
    </r>
  </si>
  <si>
    <r>
      <t>BPL</t>
    </r>
    <r>
      <rPr>
        <vertAlign val="subscript"/>
        <sz val="11"/>
        <color rgb="FF000000"/>
        <rFont val="Calibri"/>
        <family val="2"/>
        <scheme val="minor"/>
      </rPr>
      <t>a</t>
    </r>
  </si>
  <si>
    <r>
      <t>BEI</t>
    </r>
    <r>
      <rPr>
        <vertAlign val="subscript"/>
        <sz val="11"/>
        <color rgb="FF000000"/>
        <rFont val="Calibri"/>
        <family val="2"/>
        <scheme val="minor"/>
      </rPr>
      <t>a</t>
    </r>
  </si>
  <si>
    <r>
      <t>P</t>
    </r>
    <r>
      <rPr>
        <vertAlign val="subscript"/>
        <sz val="11"/>
        <color rgb="FF000000"/>
        <rFont val="Calibri"/>
        <family val="2"/>
        <scheme val="minor"/>
      </rPr>
      <t>1-1</t>
    </r>
  </si>
  <si>
    <r>
      <t>RI</t>
    </r>
    <r>
      <rPr>
        <vertAlign val="subscript"/>
        <sz val="11"/>
        <color rgb="FF000000"/>
        <rFont val="Calibri"/>
        <family val="2"/>
        <scheme val="minor"/>
      </rPr>
      <t>1-1</t>
    </r>
  </si>
  <si>
    <r>
      <t>tonnes CO</t>
    </r>
    <r>
      <rPr>
        <vertAlign val="subscript"/>
        <sz val="11"/>
        <color rgb="FF000000"/>
        <rFont val="Calibri"/>
        <family val="2"/>
        <scheme val="minor"/>
      </rPr>
      <t>2</t>
    </r>
    <r>
      <rPr>
        <sz val="11"/>
        <color rgb="FF000000"/>
        <rFont val="Calibri"/>
        <family val="2"/>
        <scheme val="minor"/>
      </rPr>
      <t>e</t>
    </r>
  </si>
  <si>
    <r>
      <t>RE</t>
    </r>
    <r>
      <rPr>
        <vertAlign val="subscript"/>
        <sz val="11"/>
        <color rgb="FF000000"/>
        <rFont val="Calibri"/>
        <family val="2"/>
        <scheme val="minor"/>
      </rPr>
      <t>1-1</t>
    </r>
  </si>
  <si>
    <r>
      <t>DE</t>
    </r>
    <r>
      <rPr>
        <vertAlign val="subscript"/>
        <sz val="11"/>
        <color rgb="FF000000"/>
        <rFont val="Calibri"/>
        <family val="2"/>
        <scheme val="minor"/>
      </rPr>
      <t>1-1</t>
    </r>
  </si>
  <si>
    <r>
      <t>BE</t>
    </r>
    <r>
      <rPr>
        <vertAlign val="subscript"/>
        <sz val="11"/>
        <color rgb="FF000000"/>
        <rFont val="Calibri"/>
        <family val="2"/>
        <scheme val="minor"/>
      </rPr>
      <t>1-1</t>
    </r>
  </si>
  <si>
    <r>
      <t>P</t>
    </r>
    <r>
      <rPr>
        <vertAlign val="subscript"/>
        <sz val="11"/>
        <color rgb="FF000000"/>
        <rFont val="Calibri"/>
        <family val="2"/>
        <scheme val="minor"/>
      </rPr>
      <t>1-2</t>
    </r>
  </si>
  <si>
    <r>
      <t>RI</t>
    </r>
    <r>
      <rPr>
        <vertAlign val="subscript"/>
        <sz val="11"/>
        <color rgb="FF000000"/>
        <rFont val="Calibri"/>
        <family val="2"/>
        <scheme val="minor"/>
      </rPr>
      <t>1-2</t>
    </r>
  </si>
  <si>
    <r>
      <t>RE</t>
    </r>
    <r>
      <rPr>
        <vertAlign val="subscript"/>
        <sz val="11"/>
        <color rgb="FF000000"/>
        <rFont val="Calibri"/>
        <family val="2"/>
        <scheme val="minor"/>
      </rPr>
      <t>1-2</t>
    </r>
  </si>
  <si>
    <r>
      <t>DE</t>
    </r>
    <r>
      <rPr>
        <vertAlign val="subscript"/>
        <sz val="11"/>
        <color rgb="FF000000"/>
        <rFont val="Calibri"/>
        <family val="2"/>
        <scheme val="minor"/>
      </rPr>
      <t>1-2</t>
    </r>
  </si>
  <si>
    <r>
      <t>BE</t>
    </r>
    <r>
      <rPr>
        <vertAlign val="subscript"/>
        <sz val="11"/>
        <color rgb="FF000000"/>
        <rFont val="Calibri"/>
        <family val="2"/>
        <scheme val="minor"/>
      </rPr>
      <t>1-2</t>
    </r>
  </si>
  <si>
    <r>
      <t>P</t>
    </r>
    <r>
      <rPr>
        <vertAlign val="subscript"/>
        <sz val="11"/>
        <color rgb="FF000000"/>
        <rFont val="Calibri"/>
        <family val="2"/>
        <scheme val="minor"/>
      </rPr>
      <t>1-3</t>
    </r>
  </si>
  <si>
    <r>
      <t>RI</t>
    </r>
    <r>
      <rPr>
        <vertAlign val="subscript"/>
        <sz val="11"/>
        <color rgb="FF000000"/>
        <rFont val="Calibri"/>
        <family val="2"/>
        <scheme val="minor"/>
      </rPr>
      <t>1-3</t>
    </r>
  </si>
  <si>
    <r>
      <t>RE</t>
    </r>
    <r>
      <rPr>
        <vertAlign val="subscript"/>
        <sz val="11"/>
        <color rgb="FF000000"/>
        <rFont val="Calibri"/>
        <family val="2"/>
        <scheme val="minor"/>
      </rPr>
      <t>1-3</t>
    </r>
  </si>
  <si>
    <r>
      <t>DE</t>
    </r>
    <r>
      <rPr>
        <vertAlign val="subscript"/>
        <sz val="11"/>
        <color rgb="FF000000"/>
        <rFont val="Calibri"/>
        <family val="2"/>
        <scheme val="minor"/>
      </rPr>
      <t>1-3</t>
    </r>
  </si>
  <si>
    <r>
      <t>BE</t>
    </r>
    <r>
      <rPr>
        <vertAlign val="subscript"/>
        <sz val="11"/>
        <color rgb="FF000000"/>
        <rFont val="Calibri"/>
        <family val="2"/>
        <scheme val="minor"/>
      </rPr>
      <t>1-3</t>
    </r>
  </si>
  <si>
    <r>
      <t>P</t>
    </r>
    <r>
      <rPr>
        <vertAlign val="subscript"/>
        <sz val="11"/>
        <color rgb="FF000000"/>
        <rFont val="Calibri"/>
        <family val="2"/>
        <scheme val="minor"/>
      </rPr>
      <t>1-4</t>
    </r>
  </si>
  <si>
    <r>
      <t>RI</t>
    </r>
    <r>
      <rPr>
        <vertAlign val="subscript"/>
        <sz val="11"/>
        <color rgb="FF000000"/>
        <rFont val="Calibri"/>
        <family val="2"/>
        <scheme val="minor"/>
      </rPr>
      <t>1-4</t>
    </r>
  </si>
  <si>
    <r>
      <t>RE</t>
    </r>
    <r>
      <rPr>
        <vertAlign val="subscript"/>
        <sz val="11"/>
        <color rgb="FF000000"/>
        <rFont val="Calibri"/>
        <family val="2"/>
        <scheme val="minor"/>
      </rPr>
      <t>1-4</t>
    </r>
  </si>
  <si>
    <r>
      <t>DE</t>
    </r>
    <r>
      <rPr>
        <vertAlign val="subscript"/>
        <sz val="11"/>
        <color rgb="FF000000"/>
        <rFont val="Calibri"/>
        <family val="2"/>
        <scheme val="minor"/>
      </rPr>
      <t>1-4</t>
    </r>
  </si>
  <si>
    <r>
      <t>BE</t>
    </r>
    <r>
      <rPr>
        <vertAlign val="subscript"/>
        <sz val="11"/>
        <color rgb="FF000000"/>
        <rFont val="Calibri"/>
        <family val="2"/>
        <scheme val="minor"/>
      </rPr>
      <t>1-4</t>
    </r>
  </si>
  <si>
    <r>
      <t>P</t>
    </r>
    <r>
      <rPr>
        <vertAlign val="subscript"/>
        <sz val="11"/>
        <color rgb="FF000000"/>
        <rFont val="Calibri"/>
        <family val="2"/>
        <scheme val="minor"/>
      </rPr>
      <t>1-5</t>
    </r>
  </si>
  <si>
    <r>
      <t>RI</t>
    </r>
    <r>
      <rPr>
        <vertAlign val="subscript"/>
        <sz val="11"/>
        <color rgb="FF000000"/>
        <rFont val="Calibri"/>
        <family val="2"/>
        <scheme val="minor"/>
      </rPr>
      <t>1-5</t>
    </r>
  </si>
  <si>
    <r>
      <t>RE</t>
    </r>
    <r>
      <rPr>
        <vertAlign val="subscript"/>
        <sz val="11"/>
        <color rgb="FF000000"/>
        <rFont val="Calibri"/>
        <family val="2"/>
        <scheme val="minor"/>
      </rPr>
      <t>1-5</t>
    </r>
  </si>
  <si>
    <r>
      <t>DE</t>
    </r>
    <r>
      <rPr>
        <vertAlign val="subscript"/>
        <sz val="11"/>
        <color rgb="FF000000"/>
        <rFont val="Calibri"/>
        <family val="2"/>
        <scheme val="minor"/>
      </rPr>
      <t>1-5</t>
    </r>
  </si>
  <si>
    <r>
      <t>BE</t>
    </r>
    <r>
      <rPr>
        <vertAlign val="subscript"/>
        <sz val="11"/>
        <color rgb="FF000000"/>
        <rFont val="Calibri"/>
        <family val="2"/>
        <scheme val="minor"/>
      </rPr>
      <t>1-5</t>
    </r>
  </si>
  <si>
    <r>
      <t>P</t>
    </r>
    <r>
      <rPr>
        <vertAlign val="subscript"/>
        <sz val="11"/>
        <color rgb="FF000000"/>
        <rFont val="Calibri"/>
        <family val="2"/>
        <scheme val="minor"/>
      </rPr>
      <t>2-1</t>
    </r>
  </si>
  <si>
    <r>
      <t>RI</t>
    </r>
    <r>
      <rPr>
        <vertAlign val="subscript"/>
        <sz val="11"/>
        <color rgb="FF000000"/>
        <rFont val="Calibri"/>
        <family val="2"/>
        <scheme val="minor"/>
      </rPr>
      <t>2-1</t>
    </r>
  </si>
  <si>
    <r>
      <t>RE</t>
    </r>
    <r>
      <rPr>
        <vertAlign val="subscript"/>
        <sz val="11"/>
        <color rgb="FF000000"/>
        <rFont val="Calibri"/>
        <family val="2"/>
        <scheme val="minor"/>
      </rPr>
      <t>2-1</t>
    </r>
  </si>
  <si>
    <r>
      <t>DE</t>
    </r>
    <r>
      <rPr>
        <vertAlign val="subscript"/>
        <sz val="11"/>
        <color rgb="FF000000"/>
        <rFont val="Calibri"/>
        <family val="2"/>
        <scheme val="minor"/>
      </rPr>
      <t>2-1</t>
    </r>
  </si>
  <si>
    <r>
      <t>BE</t>
    </r>
    <r>
      <rPr>
        <vertAlign val="subscript"/>
        <sz val="11"/>
        <color rgb="FF000000"/>
        <rFont val="Calibri"/>
        <family val="2"/>
        <scheme val="minor"/>
      </rPr>
      <t>2-1</t>
    </r>
  </si>
  <si>
    <r>
      <t>P</t>
    </r>
    <r>
      <rPr>
        <vertAlign val="subscript"/>
        <sz val="11"/>
        <color rgb="FF000000"/>
        <rFont val="Calibri"/>
        <family val="2"/>
        <scheme val="minor"/>
      </rPr>
      <t>2-2</t>
    </r>
  </si>
  <si>
    <r>
      <t>RI</t>
    </r>
    <r>
      <rPr>
        <vertAlign val="subscript"/>
        <sz val="11"/>
        <color rgb="FF000000"/>
        <rFont val="Calibri"/>
        <family val="2"/>
        <scheme val="minor"/>
      </rPr>
      <t>2-2</t>
    </r>
  </si>
  <si>
    <r>
      <t>RE</t>
    </r>
    <r>
      <rPr>
        <vertAlign val="subscript"/>
        <sz val="11"/>
        <color rgb="FF000000"/>
        <rFont val="Calibri"/>
        <family val="2"/>
        <scheme val="minor"/>
      </rPr>
      <t>2-2</t>
    </r>
  </si>
  <si>
    <r>
      <t>DE</t>
    </r>
    <r>
      <rPr>
        <vertAlign val="subscript"/>
        <sz val="11"/>
        <color rgb="FF000000"/>
        <rFont val="Calibri"/>
        <family val="2"/>
        <scheme val="minor"/>
      </rPr>
      <t>2-2</t>
    </r>
  </si>
  <si>
    <r>
      <t>BE</t>
    </r>
    <r>
      <rPr>
        <vertAlign val="subscript"/>
        <sz val="11"/>
        <color rgb="FF000000"/>
        <rFont val="Calibri"/>
        <family val="2"/>
        <scheme val="minor"/>
      </rPr>
      <t>2-2</t>
    </r>
  </si>
  <si>
    <r>
      <t>P</t>
    </r>
    <r>
      <rPr>
        <vertAlign val="subscript"/>
        <sz val="11"/>
        <color rgb="FF000000"/>
        <rFont val="Calibri"/>
        <family val="2"/>
        <scheme val="minor"/>
      </rPr>
      <t>2-3</t>
    </r>
  </si>
  <si>
    <r>
      <t>RI</t>
    </r>
    <r>
      <rPr>
        <vertAlign val="subscript"/>
        <sz val="11"/>
        <color rgb="FF000000"/>
        <rFont val="Calibri"/>
        <family val="2"/>
        <scheme val="minor"/>
      </rPr>
      <t>2-3</t>
    </r>
  </si>
  <si>
    <r>
      <t>RE</t>
    </r>
    <r>
      <rPr>
        <vertAlign val="subscript"/>
        <sz val="11"/>
        <color rgb="FF000000"/>
        <rFont val="Calibri"/>
        <family val="2"/>
        <scheme val="minor"/>
      </rPr>
      <t>2-3</t>
    </r>
  </si>
  <si>
    <r>
      <t>DE</t>
    </r>
    <r>
      <rPr>
        <vertAlign val="subscript"/>
        <sz val="11"/>
        <color rgb="FF000000"/>
        <rFont val="Calibri"/>
        <family val="2"/>
        <scheme val="minor"/>
      </rPr>
      <t>2-3</t>
    </r>
  </si>
  <si>
    <r>
      <t>BE</t>
    </r>
    <r>
      <rPr>
        <vertAlign val="subscript"/>
        <sz val="11"/>
        <color rgb="FF000000"/>
        <rFont val="Calibri"/>
        <family val="2"/>
        <scheme val="minor"/>
      </rPr>
      <t>2-3</t>
    </r>
  </si>
  <si>
    <r>
      <t>P</t>
    </r>
    <r>
      <rPr>
        <vertAlign val="subscript"/>
        <sz val="11"/>
        <color rgb="FF000000"/>
        <rFont val="Calibri"/>
        <family val="2"/>
        <scheme val="minor"/>
      </rPr>
      <t>2-4</t>
    </r>
  </si>
  <si>
    <r>
      <t>RI</t>
    </r>
    <r>
      <rPr>
        <vertAlign val="subscript"/>
        <sz val="11"/>
        <color rgb="FF000000"/>
        <rFont val="Calibri"/>
        <family val="2"/>
        <scheme val="minor"/>
      </rPr>
      <t>2-4</t>
    </r>
  </si>
  <si>
    <r>
      <t>RE</t>
    </r>
    <r>
      <rPr>
        <vertAlign val="subscript"/>
        <sz val="11"/>
        <color rgb="FF000000"/>
        <rFont val="Calibri"/>
        <family val="2"/>
        <scheme val="minor"/>
      </rPr>
      <t>2-4</t>
    </r>
  </si>
  <si>
    <r>
      <t>DE</t>
    </r>
    <r>
      <rPr>
        <vertAlign val="subscript"/>
        <sz val="11"/>
        <color rgb="FF000000"/>
        <rFont val="Calibri"/>
        <family val="2"/>
        <scheme val="minor"/>
      </rPr>
      <t>2-4</t>
    </r>
  </si>
  <si>
    <r>
      <t>BE</t>
    </r>
    <r>
      <rPr>
        <vertAlign val="subscript"/>
        <sz val="11"/>
        <color rgb="FF000000"/>
        <rFont val="Calibri"/>
        <family val="2"/>
        <scheme val="minor"/>
      </rPr>
      <t>2-4</t>
    </r>
  </si>
  <si>
    <r>
      <t>P</t>
    </r>
    <r>
      <rPr>
        <vertAlign val="subscript"/>
        <sz val="11"/>
        <color rgb="FF000000"/>
        <rFont val="Calibri"/>
        <family val="2"/>
        <scheme val="minor"/>
      </rPr>
      <t>2-5</t>
    </r>
  </si>
  <si>
    <r>
      <t>RI</t>
    </r>
    <r>
      <rPr>
        <vertAlign val="subscript"/>
        <sz val="11"/>
        <color rgb="FF000000"/>
        <rFont val="Calibri"/>
        <family val="2"/>
        <scheme val="minor"/>
      </rPr>
      <t>2-5</t>
    </r>
  </si>
  <si>
    <r>
      <t>RE</t>
    </r>
    <r>
      <rPr>
        <vertAlign val="subscript"/>
        <sz val="11"/>
        <color rgb="FF000000"/>
        <rFont val="Calibri"/>
        <family val="2"/>
        <scheme val="minor"/>
      </rPr>
      <t>2-5</t>
    </r>
  </si>
  <si>
    <r>
      <t>DE</t>
    </r>
    <r>
      <rPr>
        <vertAlign val="subscript"/>
        <sz val="11"/>
        <color rgb="FF000000"/>
        <rFont val="Calibri"/>
        <family val="2"/>
        <scheme val="minor"/>
      </rPr>
      <t>2-5</t>
    </r>
  </si>
  <si>
    <r>
      <t>BE</t>
    </r>
    <r>
      <rPr>
        <vertAlign val="subscript"/>
        <sz val="11"/>
        <color rgb="FF000000"/>
        <rFont val="Calibri"/>
        <family val="2"/>
        <scheme val="minor"/>
      </rPr>
      <t>2-5</t>
    </r>
  </si>
  <si>
    <r>
      <t>P</t>
    </r>
    <r>
      <rPr>
        <vertAlign val="subscript"/>
        <sz val="11"/>
        <color rgb="FF000000"/>
        <rFont val="Calibri"/>
        <family val="2"/>
        <scheme val="minor"/>
      </rPr>
      <t>3-1</t>
    </r>
  </si>
  <si>
    <r>
      <t>RI</t>
    </r>
    <r>
      <rPr>
        <vertAlign val="subscript"/>
        <sz val="11"/>
        <color rgb="FF000000"/>
        <rFont val="Calibri"/>
        <family val="2"/>
        <scheme val="minor"/>
      </rPr>
      <t>3-1</t>
    </r>
  </si>
  <si>
    <r>
      <t>RE</t>
    </r>
    <r>
      <rPr>
        <vertAlign val="subscript"/>
        <sz val="11"/>
        <color rgb="FF000000"/>
        <rFont val="Calibri"/>
        <family val="2"/>
        <scheme val="minor"/>
      </rPr>
      <t>3-1</t>
    </r>
  </si>
  <si>
    <r>
      <t>DE</t>
    </r>
    <r>
      <rPr>
        <vertAlign val="subscript"/>
        <sz val="11"/>
        <color rgb="FF000000"/>
        <rFont val="Calibri"/>
        <family val="2"/>
        <scheme val="minor"/>
      </rPr>
      <t>3-1</t>
    </r>
  </si>
  <si>
    <r>
      <t>BE</t>
    </r>
    <r>
      <rPr>
        <vertAlign val="subscript"/>
        <sz val="11"/>
        <color rgb="FF000000"/>
        <rFont val="Calibri"/>
        <family val="2"/>
        <scheme val="minor"/>
      </rPr>
      <t>3-1</t>
    </r>
  </si>
  <si>
    <r>
      <t>P</t>
    </r>
    <r>
      <rPr>
        <vertAlign val="subscript"/>
        <sz val="11"/>
        <color rgb="FF000000"/>
        <rFont val="Calibri"/>
        <family val="2"/>
        <scheme val="minor"/>
      </rPr>
      <t>3-2</t>
    </r>
  </si>
  <si>
    <r>
      <t>RI</t>
    </r>
    <r>
      <rPr>
        <vertAlign val="subscript"/>
        <sz val="11"/>
        <color rgb="FF000000"/>
        <rFont val="Calibri"/>
        <family val="2"/>
        <scheme val="minor"/>
      </rPr>
      <t>3-2</t>
    </r>
  </si>
  <si>
    <r>
      <t>RE</t>
    </r>
    <r>
      <rPr>
        <vertAlign val="subscript"/>
        <sz val="11"/>
        <color rgb="FF000000"/>
        <rFont val="Calibri"/>
        <family val="2"/>
        <scheme val="minor"/>
      </rPr>
      <t>3-2</t>
    </r>
  </si>
  <si>
    <r>
      <t>DE</t>
    </r>
    <r>
      <rPr>
        <vertAlign val="subscript"/>
        <sz val="11"/>
        <color rgb="FF000000"/>
        <rFont val="Calibri"/>
        <family val="2"/>
        <scheme val="minor"/>
      </rPr>
      <t>3-2</t>
    </r>
  </si>
  <si>
    <r>
      <t>BE</t>
    </r>
    <r>
      <rPr>
        <vertAlign val="subscript"/>
        <sz val="11"/>
        <color rgb="FF000000"/>
        <rFont val="Calibri"/>
        <family val="2"/>
        <scheme val="minor"/>
      </rPr>
      <t>3-2</t>
    </r>
  </si>
  <si>
    <r>
      <t>P</t>
    </r>
    <r>
      <rPr>
        <vertAlign val="subscript"/>
        <sz val="11"/>
        <color rgb="FF000000"/>
        <rFont val="Calibri"/>
        <family val="2"/>
        <scheme val="minor"/>
      </rPr>
      <t>3-3</t>
    </r>
  </si>
  <si>
    <r>
      <t>RI</t>
    </r>
    <r>
      <rPr>
        <vertAlign val="subscript"/>
        <sz val="11"/>
        <color rgb="FF000000"/>
        <rFont val="Calibri"/>
        <family val="2"/>
        <scheme val="minor"/>
      </rPr>
      <t>3-3</t>
    </r>
  </si>
  <si>
    <r>
      <t>RE</t>
    </r>
    <r>
      <rPr>
        <vertAlign val="subscript"/>
        <sz val="11"/>
        <color rgb="FF000000"/>
        <rFont val="Calibri"/>
        <family val="2"/>
        <scheme val="minor"/>
      </rPr>
      <t>3-3</t>
    </r>
  </si>
  <si>
    <r>
      <t>DE</t>
    </r>
    <r>
      <rPr>
        <vertAlign val="subscript"/>
        <sz val="11"/>
        <color rgb="FF000000"/>
        <rFont val="Calibri"/>
        <family val="2"/>
        <scheme val="minor"/>
      </rPr>
      <t>3-3</t>
    </r>
  </si>
  <si>
    <r>
      <t>BE</t>
    </r>
    <r>
      <rPr>
        <vertAlign val="subscript"/>
        <sz val="11"/>
        <color rgb="FF000000"/>
        <rFont val="Calibri"/>
        <family val="2"/>
        <scheme val="minor"/>
      </rPr>
      <t>3-3</t>
    </r>
  </si>
  <si>
    <r>
      <t>P</t>
    </r>
    <r>
      <rPr>
        <vertAlign val="subscript"/>
        <sz val="11"/>
        <color rgb="FF000000"/>
        <rFont val="Calibri"/>
        <family val="2"/>
        <scheme val="minor"/>
      </rPr>
      <t>3-4</t>
    </r>
  </si>
  <si>
    <r>
      <t>RI</t>
    </r>
    <r>
      <rPr>
        <vertAlign val="subscript"/>
        <sz val="11"/>
        <color rgb="FF000000"/>
        <rFont val="Calibri"/>
        <family val="2"/>
        <scheme val="minor"/>
      </rPr>
      <t>3-4</t>
    </r>
  </si>
  <si>
    <r>
      <t>RE</t>
    </r>
    <r>
      <rPr>
        <vertAlign val="subscript"/>
        <sz val="11"/>
        <color rgb="FF000000"/>
        <rFont val="Calibri"/>
        <family val="2"/>
        <scheme val="minor"/>
      </rPr>
      <t>3-4</t>
    </r>
  </si>
  <si>
    <r>
      <t>DE</t>
    </r>
    <r>
      <rPr>
        <vertAlign val="subscript"/>
        <sz val="11"/>
        <color rgb="FF000000"/>
        <rFont val="Calibri"/>
        <family val="2"/>
        <scheme val="minor"/>
      </rPr>
      <t>3-4</t>
    </r>
  </si>
  <si>
    <r>
      <t>BE</t>
    </r>
    <r>
      <rPr>
        <vertAlign val="subscript"/>
        <sz val="11"/>
        <color rgb="FF000000"/>
        <rFont val="Calibri"/>
        <family val="2"/>
        <scheme val="minor"/>
      </rPr>
      <t>3-4</t>
    </r>
  </si>
  <si>
    <r>
      <t>P</t>
    </r>
    <r>
      <rPr>
        <vertAlign val="subscript"/>
        <sz val="11"/>
        <color rgb="FF000000"/>
        <rFont val="Calibri"/>
        <family val="2"/>
        <scheme val="minor"/>
      </rPr>
      <t>3-5</t>
    </r>
  </si>
  <si>
    <r>
      <t>RI</t>
    </r>
    <r>
      <rPr>
        <vertAlign val="subscript"/>
        <sz val="11"/>
        <color rgb="FF000000"/>
        <rFont val="Calibri"/>
        <family val="2"/>
        <scheme val="minor"/>
      </rPr>
      <t>3-5</t>
    </r>
  </si>
  <si>
    <r>
      <t>RE</t>
    </r>
    <r>
      <rPr>
        <vertAlign val="subscript"/>
        <sz val="11"/>
        <color rgb="FF000000"/>
        <rFont val="Calibri"/>
        <family val="2"/>
        <scheme val="minor"/>
      </rPr>
      <t>3-5</t>
    </r>
  </si>
  <si>
    <r>
      <t>DE</t>
    </r>
    <r>
      <rPr>
        <vertAlign val="subscript"/>
        <sz val="11"/>
        <color rgb="FF000000"/>
        <rFont val="Calibri"/>
        <family val="2"/>
        <scheme val="minor"/>
      </rPr>
      <t>3-5</t>
    </r>
  </si>
  <si>
    <r>
      <t>BE</t>
    </r>
    <r>
      <rPr>
        <vertAlign val="subscript"/>
        <sz val="11"/>
        <color rgb="FF000000"/>
        <rFont val="Calibri"/>
        <family val="2"/>
        <scheme val="minor"/>
      </rPr>
      <t>3-5</t>
    </r>
  </si>
  <si>
    <r>
      <t>RI</t>
    </r>
    <r>
      <rPr>
        <vertAlign val="subscript"/>
        <sz val="11"/>
        <color rgb="FF000000"/>
        <rFont val="Calibri"/>
        <family val="2"/>
        <scheme val="minor"/>
      </rPr>
      <t>1-e</t>
    </r>
  </si>
  <si>
    <r>
      <t>DE</t>
    </r>
    <r>
      <rPr>
        <vertAlign val="subscript"/>
        <sz val="11"/>
        <color rgb="FF000000"/>
        <rFont val="Calibri"/>
        <family val="2"/>
        <scheme val="minor"/>
      </rPr>
      <t>1-e</t>
    </r>
  </si>
  <si>
    <r>
      <t>BE</t>
    </r>
    <r>
      <rPr>
        <vertAlign val="subscript"/>
        <sz val="11"/>
        <color rgb="FF000000"/>
        <rFont val="Calibri"/>
        <family val="2"/>
        <scheme val="minor"/>
      </rPr>
      <t>1-e</t>
    </r>
  </si>
  <si>
    <r>
      <t>RI</t>
    </r>
    <r>
      <rPr>
        <vertAlign val="subscript"/>
        <sz val="11"/>
        <color rgb="FF000000"/>
        <rFont val="Calibri"/>
        <family val="2"/>
        <scheme val="minor"/>
      </rPr>
      <t>2-e</t>
    </r>
  </si>
  <si>
    <r>
      <t>DE</t>
    </r>
    <r>
      <rPr>
        <vertAlign val="subscript"/>
        <sz val="11"/>
        <color rgb="FF000000"/>
        <rFont val="Calibri"/>
        <family val="2"/>
        <scheme val="minor"/>
      </rPr>
      <t>2-e</t>
    </r>
  </si>
  <si>
    <r>
      <t>BE</t>
    </r>
    <r>
      <rPr>
        <vertAlign val="subscript"/>
        <sz val="11"/>
        <color rgb="FF000000"/>
        <rFont val="Calibri"/>
        <family val="2"/>
        <scheme val="minor"/>
      </rPr>
      <t>2-e</t>
    </r>
  </si>
  <si>
    <r>
      <t>BEL</t>
    </r>
    <r>
      <rPr>
        <vertAlign val="subscript"/>
        <sz val="11"/>
        <color rgb="FF000000"/>
        <rFont val="Calibri"/>
        <family val="2"/>
        <scheme val="minor"/>
      </rPr>
      <t>e</t>
    </r>
  </si>
  <si>
    <r>
      <t>BPL</t>
    </r>
    <r>
      <rPr>
        <vertAlign val="subscript"/>
        <sz val="11"/>
        <color rgb="FF000000"/>
        <rFont val="Calibri"/>
        <family val="2"/>
        <scheme val="minor"/>
      </rPr>
      <t>e</t>
    </r>
  </si>
  <si>
    <r>
      <t>BEI</t>
    </r>
    <r>
      <rPr>
        <vertAlign val="subscript"/>
        <sz val="11"/>
        <color rgb="FF000000"/>
        <rFont val="Calibri"/>
        <family val="2"/>
        <scheme val="minor"/>
      </rPr>
      <t>e</t>
    </r>
  </si>
  <si>
    <r>
      <t>tonnes CO</t>
    </r>
    <r>
      <rPr>
        <vertAlign val="subscript"/>
        <sz val="11"/>
        <color rgb="FF000000"/>
        <rFont val="Calibri"/>
        <family val="2"/>
        <scheme val="minor"/>
      </rPr>
      <t>2</t>
    </r>
    <r>
      <rPr>
        <sz val="11"/>
        <color rgb="FF000000"/>
        <rFont val="Calibri"/>
        <family val="2"/>
        <scheme val="minor"/>
      </rPr>
      <t>e/GWh</t>
    </r>
  </si>
  <si>
    <r>
      <t>tonnes CO</t>
    </r>
    <r>
      <rPr>
        <vertAlign val="subscript"/>
        <sz val="11"/>
        <color rgb="FF000000"/>
        <rFont val="Calibri"/>
        <family val="2"/>
        <scheme val="minor"/>
      </rPr>
      <t>2</t>
    </r>
  </si>
  <si>
    <r>
      <t>tonnes CH</t>
    </r>
    <r>
      <rPr>
        <vertAlign val="subscript"/>
        <sz val="11"/>
        <color rgb="FF000000"/>
        <rFont val="Calibri"/>
        <family val="2"/>
        <scheme val="minor"/>
      </rPr>
      <t>4</t>
    </r>
  </si>
  <si>
    <r>
      <t>tonnes N</t>
    </r>
    <r>
      <rPr>
        <vertAlign val="subscript"/>
        <sz val="11"/>
        <color rgb="FF000000"/>
        <rFont val="Calibri"/>
        <family val="2"/>
        <scheme val="minor"/>
      </rPr>
      <t>2</t>
    </r>
    <r>
      <rPr>
        <sz val="11"/>
        <color rgb="FF000000"/>
        <rFont val="Calibri"/>
        <family val="2"/>
        <scheme val="minor"/>
      </rPr>
      <t>O</t>
    </r>
  </si>
  <si>
    <r>
      <t>tonnes SF</t>
    </r>
    <r>
      <rPr>
        <vertAlign val="subscript"/>
        <sz val="11"/>
        <color rgb="FF000000"/>
        <rFont val="Calibri"/>
        <family val="2"/>
        <scheme val="minor"/>
      </rPr>
      <t>6</t>
    </r>
  </si>
  <si>
    <r>
      <t>tonnes CF</t>
    </r>
    <r>
      <rPr>
        <vertAlign val="subscript"/>
        <sz val="11"/>
        <color rgb="FF000000"/>
        <rFont val="Calibri"/>
        <family val="2"/>
        <scheme val="minor"/>
      </rPr>
      <t>4</t>
    </r>
  </si>
  <si>
    <r>
      <t>tonnes C</t>
    </r>
    <r>
      <rPr>
        <vertAlign val="subscript"/>
        <sz val="11"/>
        <color rgb="FF000000"/>
        <rFont val="Calibri"/>
        <family val="2"/>
        <scheme val="minor"/>
      </rPr>
      <t>2</t>
    </r>
    <r>
      <rPr>
        <sz val="11"/>
        <color rgb="FF000000"/>
        <rFont val="Calibri"/>
        <family val="2"/>
        <scheme val="minor"/>
      </rPr>
      <t>F</t>
    </r>
    <r>
      <rPr>
        <vertAlign val="subscript"/>
        <sz val="11"/>
        <color rgb="FF000000"/>
        <rFont val="Calibri"/>
        <family val="2"/>
        <scheme val="minor"/>
      </rPr>
      <t>6</t>
    </r>
  </si>
  <si>
    <r>
      <t>tonnes C</t>
    </r>
    <r>
      <rPr>
        <vertAlign val="subscript"/>
        <sz val="11"/>
        <color rgb="FF000000"/>
        <rFont val="Calibri"/>
        <family val="2"/>
        <scheme val="minor"/>
      </rPr>
      <t>3</t>
    </r>
    <r>
      <rPr>
        <sz val="11"/>
        <color rgb="FF000000"/>
        <rFont val="Calibri"/>
        <family val="2"/>
        <scheme val="minor"/>
      </rPr>
      <t>F</t>
    </r>
    <r>
      <rPr>
        <vertAlign val="subscript"/>
        <sz val="11"/>
        <color rgb="FF000000"/>
        <rFont val="Calibri"/>
        <family val="2"/>
        <scheme val="minor"/>
      </rPr>
      <t>8</t>
    </r>
  </si>
  <si>
    <r>
      <t>tonnes C</t>
    </r>
    <r>
      <rPr>
        <vertAlign val="subscript"/>
        <sz val="11"/>
        <color rgb="FF000000"/>
        <rFont val="Calibri"/>
        <family val="2"/>
        <scheme val="minor"/>
      </rPr>
      <t>4</t>
    </r>
    <r>
      <rPr>
        <sz val="11"/>
        <color rgb="FF000000"/>
        <rFont val="Calibri"/>
        <family val="2"/>
        <scheme val="minor"/>
      </rPr>
      <t>F</t>
    </r>
    <r>
      <rPr>
        <vertAlign val="subscript"/>
        <sz val="11"/>
        <color rgb="FF000000"/>
        <rFont val="Calibri"/>
        <family val="2"/>
        <scheme val="minor"/>
      </rPr>
      <t>10</t>
    </r>
  </si>
  <si>
    <r>
      <t>tonnes c-C</t>
    </r>
    <r>
      <rPr>
        <vertAlign val="subscript"/>
        <sz val="11"/>
        <color rgb="FF000000"/>
        <rFont val="Calibri"/>
        <family val="2"/>
        <scheme val="minor"/>
      </rPr>
      <t>4</t>
    </r>
    <r>
      <rPr>
        <sz val="11"/>
        <color rgb="FF000000"/>
        <rFont val="Calibri"/>
        <family val="2"/>
        <scheme val="minor"/>
      </rPr>
      <t>F</t>
    </r>
    <r>
      <rPr>
        <vertAlign val="subscript"/>
        <sz val="11"/>
        <color rgb="FF000000"/>
        <rFont val="Calibri"/>
        <family val="2"/>
        <scheme val="minor"/>
      </rPr>
      <t>8</t>
    </r>
  </si>
  <si>
    <r>
      <t>tonnes C</t>
    </r>
    <r>
      <rPr>
        <vertAlign val="subscript"/>
        <sz val="11"/>
        <color rgb="FF000000"/>
        <rFont val="Calibri"/>
        <family val="2"/>
        <scheme val="minor"/>
      </rPr>
      <t>5</t>
    </r>
    <r>
      <rPr>
        <sz val="11"/>
        <color rgb="FF000000"/>
        <rFont val="Calibri"/>
        <family val="2"/>
        <scheme val="minor"/>
      </rPr>
      <t>F</t>
    </r>
    <r>
      <rPr>
        <vertAlign val="subscript"/>
        <sz val="11"/>
        <color rgb="FF000000"/>
        <rFont val="Calibri"/>
        <family val="2"/>
        <scheme val="minor"/>
      </rPr>
      <t>12</t>
    </r>
  </si>
  <si>
    <r>
      <t>tonnes C</t>
    </r>
    <r>
      <rPr>
        <vertAlign val="subscript"/>
        <sz val="11"/>
        <color rgb="FF000000"/>
        <rFont val="Calibri"/>
        <family val="2"/>
        <scheme val="minor"/>
      </rPr>
      <t>6</t>
    </r>
    <r>
      <rPr>
        <sz val="11"/>
        <color rgb="FF000000"/>
        <rFont val="Calibri"/>
        <family val="2"/>
        <scheme val="minor"/>
      </rPr>
      <t>F</t>
    </r>
    <r>
      <rPr>
        <vertAlign val="subscript"/>
        <sz val="11"/>
        <color rgb="FF000000"/>
        <rFont val="Calibri"/>
        <family val="2"/>
        <scheme val="minor"/>
      </rPr>
      <t>14</t>
    </r>
  </si>
  <si>
    <r>
      <t>tonnes CHF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</si>
  <si>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t>
    </r>
    <r>
      <rPr>
        <vertAlign val="subscript"/>
        <sz val="11"/>
        <color rgb="FF000000"/>
        <rFont val="Calibri"/>
        <family val="2"/>
        <scheme val="minor"/>
      </rPr>
      <t>2</t>
    </r>
  </si>
  <si>
    <r>
      <t>tonnes CH</t>
    </r>
    <r>
      <rPr>
        <vertAlign val="subscript"/>
        <sz val="11"/>
        <color rgb="FF000000"/>
        <rFont val="Calibri"/>
        <family val="2"/>
        <scheme val="minor"/>
      </rPr>
      <t>3</t>
    </r>
    <r>
      <rPr>
        <sz val="11"/>
        <color rgb="FF000000"/>
        <rFont val="Calibri"/>
        <family val="2"/>
        <scheme val="minor"/>
      </rPr>
      <t>F</t>
    </r>
  </si>
  <si>
    <r>
      <t>tonnes CF</t>
    </r>
    <r>
      <rPr>
        <vertAlign val="subscript"/>
        <sz val="11"/>
        <color rgb="FF000000"/>
        <rFont val="Calibri"/>
        <family val="2"/>
        <scheme val="minor"/>
      </rPr>
      <t>3</t>
    </r>
    <r>
      <rPr>
        <sz val="11"/>
        <color rgb="FF000000"/>
        <rFont val="Calibri"/>
        <family val="2"/>
        <scheme val="minor"/>
      </rPr>
      <t>CHFCHFCF</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</si>
  <si>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CHF</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</si>
  <si>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CHF</t>
    </r>
    <r>
      <rPr>
        <vertAlign val="subscript"/>
        <sz val="11"/>
        <color rgb="FF000000"/>
        <rFont val="Calibri"/>
        <family val="2"/>
        <scheme val="minor"/>
      </rPr>
      <t>2</t>
    </r>
    <r>
      <rPr>
        <sz val="11"/>
        <color rgb="FF000000"/>
        <rFont val="Calibri"/>
        <family val="2"/>
        <scheme val="minor"/>
      </rPr>
      <t>CHF</t>
    </r>
    <r>
      <rPr>
        <vertAlign val="subscript"/>
        <sz val="11"/>
        <color rgb="FF000000"/>
        <rFont val="Calibri"/>
        <family val="2"/>
        <scheme val="minor"/>
      </rPr>
      <t>2</t>
    </r>
  </si>
  <si>
    <r>
      <t>tonnes CH</t>
    </r>
    <r>
      <rPr>
        <vertAlign val="subscript"/>
        <sz val="11"/>
        <color rgb="FF000000"/>
        <rFont val="Calibri"/>
        <family val="2"/>
        <scheme val="minor"/>
      </rPr>
      <t>2</t>
    </r>
    <r>
      <rPr>
        <sz val="11"/>
        <color rgb="FF000000"/>
        <rFont val="Calibri"/>
        <family val="2"/>
        <scheme val="minor"/>
      </rPr>
      <t>FCF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</si>
  <si>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FCHF</t>
    </r>
    <r>
      <rPr>
        <vertAlign val="subscript"/>
        <sz val="11"/>
        <color rgb="FF000000"/>
        <rFont val="Calibri"/>
        <family val="2"/>
        <scheme val="minor"/>
      </rPr>
      <t>2</t>
    </r>
  </si>
  <si>
    <r>
      <t>tonnes CH</t>
    </r>
    <r>
      <rPr>
        <vertAlign val="subscript"/>
        <sz val="11"/>
        <color rgb="FF000000"/>
        <rFont val="Calibri"/>
        <family val="2"/>
        <scheme val="minor"/>
      </rPr>
      <t>3</t>
    </r>
    <r>
      <rPr>
        <sz val="11"/>
        <color rgb="FF000000"/>
        <rFont val="Calibri"/>
        <family val="2"/>
        <scheme val="minor"/>
      </rPr>
      <t>CF</t>
    </r>
    <r>
      <rPr>
        <vertAlign val="subscript"/>
        <sz val="11"/>
        <color rgb="FF000000"/>
        <rFont val="Calibri"/>
        <family val="2"/>
        <scheme val="minor"/>
      </rPr>
      <t>3</t>
    </r>
  </si>
  <si>
    <r>
      <t>tonnes CH</t>
    </r>
    <r>
      <rPr>
        <vertAlign val="subscript"/>
        <sz val="11"/>
        <color rgb="FF000000"/>
        <rFont val="Calibri"/>
        <family val="2"/>
        <scheme val="minor"/>
      </rPr>
      <t>3</t>
    </r>
    <r>
      <rPr>
        <sz val="11"/>
        <color rgb="FF000000"/>
        <rFont val="Calibri"/>
        <family val="2"/>
        <scheme val="minor"/>
      </rPr>
      <t>CHF</t>
    </r>
    <r>
      <rPr>
        <vertAlign val="subscript"/>
        <sz val="11"/>
        <color rgb="FF000000"/>
        <rFont val="Calibri"/>
        <family val="2"/>
        <scheme val="minor"/>
      </rPr>
      <t>2</t>
    </r>
  </si>
  <si>
    <r>
      <t>tonnes CF</t>
    </r>
    <r>
      <rPr>
        <vertAlign val="subscript"/>
        <sz val="11"/>
        <color rgb="FF000000"/>
        <rFont val="Calibri"/>
        <family val="2"/>
        <scheme val="minor"/>
      </rPr>
      <t>3</t>
    </r>
    <r>
      <rPr>
        <sz val="11"/>
        <color rgb="FF000000"/>
        <rFont val="Calibri"/>
        <family val="2"/>
        <scheme val="minor"/>
      </rPr>
      <t>CHFCF</t>
    </r>
    <r>
      <rPr>
        <vertAlign val="subscript"/>
        <sz val="11"/>
        <color rgb="FF000000"/>
        <rFont val="Calibri"/>
        <family val="2"/>
        <scheme val="minor"/>
      </rPr>
      <t>3</t>
    </r>
  </si>
  <si>
    <r>
      <t>tonnes CF</t>
    </r>
    <r>
      <rPr>
        <vertAlign val="subscript"/>
        <sz val="11"/>
        <color rgb="FF000000"/>
        <rFont val="Calibri"/>
        <family val="2"/>
        <scheme val="minor"/>
      </rPr>
      <t>3</t>
    </r>
    <r>
      <rPr>
        <sz val="11"/>
        <color rgb="FF000000"/>
        <rFont val="Calibri"/>
        <family val="2"/>
        <scheme val="minor"/>
      </rPr>
      <t>CH</t>
    </r>
    <r>
      <rPr>
        <vertAlign val="subscript"/>
        <sz val="11"/>
        <color rgb="FF000000"/>
        <rFont val="Calibri"/>
        <family val="2"/>
        <scheme val="minor"/>
      </rPr>
      <t>2</t>
    </r>
    <r>
      <rPr>
        <sz val="11"/>
        <color rgb="FF000000"/>
        <rFont val="Calibri"/>
        <family val="2"/>
        <scheme val="minor"/>
      </rPr>
      <t>CF</t>
    </r>
    <r>
      <rPr>
        <vertAlign val="subscript"/>
        <sz val="11"/>
        <color rgb="FF000000"/>
        <rFont val="Calibri"/>
        <family val="2"/>
        <scheme val="minor"/>
      </rPr>
      <t>3</t>
    </r>
  </si>
  <si>
    <r>
      <t>tonnes CH</t>
    </r>
    <r>
      <rPr>
        <vertAlign val="subscript"/>
        <sz val="11"/>
        <color rgb="FF000000"/>
        <rFont val="Calibri"/>
        <family val="2"/>
        <scheme val="minor"/>
      </rPr>
      <t>2</t>
    </r>
    <r>
      <rPr>
        <sz val="11"/>
        <color rgb="FF000000"/>
        <rFont val="Calibri"/>
        <family val="2"/>
        <scheme val="minor"/>
      </rPr>
      <t>FCF</t>
    </r>
    <r>
      <rPr>
        <vertAlign val="subscript"/>
        <sz val="11"/>
        <color rgb="FF000000"/>
        <rFont val="Calibri"/>
        <family val="2"/>
        <scheme val="minor"/>
      </rPr>
      <t>2</t>
    </r>
    <r>
      <rPr>
        <sz val="11"/>
        <color rgb="FF000000"/>
        <rFont val="Calibri"/>
        <family val="2"/>
        <scheme val="minor"/>
      </rPr>
      <t>CHF</t>
    </r>
    <r>
      <rPr>
        <vertAlign val="subscript"/>
        <sz val="11"/>
        <color rgb="FF000000"/>
        <rFont val="Calibri"/>
        <family val="2"/>
        <scheme val="minor"/>
      </rPr>
      <t>2</t>
    </r>
  </si>
  <si>
    <t>Total electricity generation from all combusted fuel</t>
  </si>
  <si>
    <t>provided in this form is accurate and that I am authorized to act on behalf of this facility.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</si>
  <si>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Lookups</t>
  </si>
  <si>
    <t>Lookup</t>
  </si>
  <si>
    <r>
      <t>RI</t>
    </r>
    <r>
      <rPr>
        <vertAlign val="subscript"/>
        <sz val="11"/>
        <color rgb="FF000000"/>
        <rFont val="Calibri"/>
        <family val="2"/>
        <scheme val="minor"/>
      </rPr>
      <t>i-a</t>
    </r>
  </si>
  <si>
    <r>
      <t>P</t>
    </r>
    <r>
      <rPr>
        <vertAlign val="subscript"/>
        <sz val="11"/>
        <color rgb="FF000000"/>
        <rFont val="Calibri"/>
        <family val="2"/>
        <scheme val="minor"/>
      </rPr>
      <t>i-a</t>
    </r>
  </si>
  <si>
    <t>Electricity generated from combustion of associated gas</t>
  </si>
  <si>
    <r>
      <t>EP</t>
    </r>
    <r>
      <rPr>
        <vertAlign val="subscript"/>
        <sz val="11"/>
        <color rgb="FF000000"/>
        <rFont val="Calibri"/>
        <family val="2"/>
        <scheme val="minor"/>
      </rPr>
      <t>i</t>
    </r>
  </si>
  <si>
    <r>
      <t>EP</t>
    </r>
    <r>
      <rPr>
        <vertAlign val="subscript"/>
        <sz val="11"/>
        <color rgb="FF000000"/>
        <rFont val="Calibri"/>
        <family val="2"/>
        <scheme val="minor"/>
      </rPr>
      <t>1</t>
    </r>
  </si>
  <si>
    <r>
      <t>EP</t>
    </r>
    <r>
      <rPr>
        <vertAlign val="subscript"/>
        <sz val="11"/>
        <color rgb="FF000000"/>
        <rFont val="Calibri"/>
        <family val="2"/>
        <scheme val="minor"/>
      </rPr>
      <t>2</t>
    </r>
  </si>
  <si>
    <r>
      <t>BEL</t>
    </r>
    <r>
      <rPr>
        <vertAlign val="subscript"/>
        <sz val="11"/>
        <color rgb="FF000000"/>
        <rFont val="Calibri"/>
        <family val="2"/>
        <scheme val="minor"/>
      </rPr>
      <t>1</t>
    </r>
  </si>
  <si>
    <r>
      <t>BPL</t>
    </r>
    <r>
      <rPr>
        <vertAlign val="subscript"/>
        <sz val="11"/>
        <color rgb="FF000000"/>
        <rFont val="Calibri"/>
        <family val="2"/>
        <scheme val="minor"/>
      </rPr>
      <t>1</t>
    </r>
  </si>
  <si>
    <r>
      <t>BEI</t>
    </r>
    <r>
      <rPr>
        <vertAlign val="subscript"/>
        <sz val="11"/>
        <color rgb="FF000000"/>
        <rFont val="Calibri"/>
        <family val="2"/>
        <scheme val="minor"/>
      </rPr>
      <t>1</t>
    </r>
  </si>
  <si>
    <r>
      <t>BEL</t>
    </r>
    <r>
      <rPr>
        <vertAlign val="subscript"/>
        <sz val="11"/>
        <color rgb="FF000000"/>
        <rFont val="Calibri"/>
        <family val="2"/>
        <scheme val="minor"/>
      </rPr>
      <t>2</t>
    </r>
  </si>
  <si>
    <r>
      <t>BPL</t>
    </r>
    <r>
      <rPr>
        <vertAlign val="subscript"/>
        <sz val="11"/>
        <color rgb="FF000000"/>
        <rFont val="Calibri"/>
        <family val="2"/>
        <scheme val="minor"/>
      </rPr>
      <t>2</t>
    </r>
  </si>
  <si>
    <r>
      <t>BEI</t>
    </r>
    <r>
      <rPr>
        <vertAlign val="subscript"/>
        <sz val="11"/>
        <color rgb="FF000000"/>
        <rFont val="Calibri"/>
        <family val="2"/>
        <scheme val="minor"/>
      </rPr>
      <t>2</t>
    </r>
  </si>
  <si>
    <r>
      <t>BEL</t>
    </r>
    <r>
      <rPr>
        <vertAlign val="subscript"/>
        <sz val="11"/>
        <color rgb="FF000000"/>
        <rFont val="Calibri"/>
        <family val="2"/>
        <scheme val="minor"/>
      </rPr>
      <t>3</t>
    </r>
  </si>
  <si>
    <r>
      <t>BPL</t>
    </r>
    <r>
      <rPr>
        <vertAlign val="subscript"/>
        <sz val="11"/>
        <color rgb="FF000000"/>
        <rFont val="Calibri"/>
        <family val="2"/>
        <scheme val="minor"/>
      </rPr>
      <t>3</t>
    </r>
  </si>
  <si>
    <r>
      <t>BEI</t>
    </r>
    <r>
      <rPr>
        <vertAlign val="subscript"/>
        <sz val="11"/>
        <color rgb="FF000000"/>
        <rFont val="Calibri"/>
        <family val="2"/>
        <scheme val="minor"/>
      </rPr>
      <t>3</t>
    </r>
  </si>
  <si>
    <r>
      <t>BEL</t>
    </r>
    <r>
      <rPr>
        <vertAlign val="subscript"/>
        <sz val="11"/>
        <color rgb="FF000000"/>
        <rFont val="Calibri"/>
        <family val="2"/>
        <scheme val="minor"/>
      </rPr>
      <t>4</t>
    </r>
  </si>
  <si>
    <r>
      <t>BPL</t>
    </r>
    <r>
      <rPr>
        <vertAlign val="subscript"/>
        <sz val="11"/>
        <color rgb="FF000000"/>
        <rFont val="Calibri"/>
        <family val="2"/>
        <scheme val="minor"/>
      </rPr>
      <t>4</t>
    </r>
  </si>
  <si>
    <r>
      <t>BEI</t>
    </r>
    <r>
      <rPr>
        <vertAlign val="subscript"/>
        <sz val="11"/>
        <color rgb="FF000000"/>
        <rFont val="Calibri"/>
        <family val="2"/>
        <scheme val="minor"/>
      </rPr>
      <t>4</t>
    </r>
  </si>
  <si>
    <r>
      <t>BEL</t>
    </r>
    <r>
      <rPr>
        <vertAlign val="subscript"/>
        <sz val="11"/>
        <color rgb="FF000000"/>
        <rFont val="Calibri"/>
        <family val="2"/>
        <scheme val="minor"/>
      </rPr>
      <t>5</t>
    </r>
  </si>
  <si>
    <r>
      <t>BPL</t>
    </r>
    <r>
      <rPr>
        <vertAlign val="subscript"/>
        <sz val="11"/>
        <color rgb="FF000000"/>
        <rFont val="Calibri"/>
        <family val="2"/>
        <scheme val="minor"/>
      </rPr>
      <t>5</t>
    </r>
  </si>
  <si>
    <r>
      <t>BEI</t>
    </r>
    <r>
      <rPr>
        <vertAlign val="subscript"/>
        <sz val="11"/>
        <color rgb="FF000000"/>
        <rFont val="Calibri"/>
        <family val="2"/>
        <scheme val="minor"/>
      </rPr>
      <t>5</t>
    </r>
  </si>
  <si>
    <t>I.Facility.FacilityName</t>
  </si>
  <si>
    <t>I.Facility.OBPSNumber</t>
  </si>
  <si>
    <t>I.Facility.ProductCount</t>
  </si>
  <si>
    <t>I.Facility.OilGas</t>
  </si>
  <si>
    <t>I.Facility.GasToPower</t>
  </si>
  <si>
    <t>I.Facility.IDNumber</t>
  </si>
  <si>
    <t>I.Product.P1Name</t>
  </si>
  <si>
    <t>I.Product.P1Sector</t>
  </si>
  <si>
    <t>I.Product.P1OtherSector</t>
  </si>
  <si>
    <t>I.Product.P1Status</t>
  </si>
  <si>
    <t>I.Product.P1Year1</t>
  </si>
  <si>
    <t>I.Product.P1Electricity</t>
  </si>
  <si>
    <t>I.Product.P2Name</t>
  </si>
  <si>
    <t>I.Product.P2Sector</t>
  </si>
  <si>
    <t>I.Product.P2OtherSector</t>
  </si>
  <si>
    <t>I.Product.P2Status</t>
  </si>
  <si>
    <t>I.Product.P2Year1</t>
  </si>
  <si>
    <t>I.Product.P2Electricity</t>
  </si>
  <si>
    <t>I.Product.P3Name</t>
  </si>
  <si>
    <t>I.Product.P3Sector</t>
  </si>
  <si>
    <t>I.Product.P3OtherSector</t>
  </si>
  <si>
    <t>I.Product.P3Status</t>
  </si>
  <si>
    <t>I.Product.P3Year1</t>
  </si>
  <si>
    <t>I.Product.P3Electricity</t>
  </si>
  <si>
    <t>I.Product.P4Name</t>
  </si>
  <si>
    <t>I.Product.P4Sector</t>
  </si>
  <si>
    <t>I.Product.P4OtherSector</t>
  </si>
  <si>
    <t>I.Product.P4Status</t>
  </si>
  <si>
    <t>I.Product.P4Year1</t>
  </si>
  <si>
    <t>I.Product.P4Electricity</t>
  </si>
  <si>
    <t>I.Product.P5Name</t>
  </si>
  <si>
    <t>I.Product.P5Sector</t>
  </si>
  <si>
    <t>I.Product.P5OtherSector</t>
  </si>
  <si>
    <t>I.Product.P5Status</t>
  </si>
  <si>
    <t>I.Product.P5Year1</t>
  </si>
  <si>
    <t>I.Product.P5Electricity</t>
  </si>
  <si>
    <t>I.Product.GasToPowerStatus</t>
  </si>
  <si>
    <t>I.Product.GasToPowerYear1</t>
  </si>
  <si>
    <t>I.Production.P1Y1Quantity</t>
  </si>
  <si>
    <t>I.Production.P1Y2Quantity</t>
  </si>
  <si>
    <t>I.Production.P1Y3Quantity</t>
  </si>
  <si>
    <t>I.Production.P1Units</t>
  </si>
  <si>
    <t>I.Production.P1Y1C1</t>
  </si>
  <si>
    <t>I.Production.P1Y2C1</t>
  </si>
  <si>
    <t>I.Production.P1Y3C1</t>
  </si>
  <si>
    <t>I.Production.P1Y1C2</t>
  </si>
  <si>
    <t>I.Production.P1Y2C2</t>
  </si>
  <si>
    <t>I.Production.P1Y3C2</t>
  </si>
  <si>
    <t>I.Production.P1Y1C3</t>
  </si>
  <si>
    <t>I.Production.P1Y2C3</t>
  </si>
  <si>
    <t>I.Production.P1Y3C3</t>
  </si>
  <si>
    <t>I.Production.P1Y1C4</t>
  </si>
  <si>
    <t>I.Production.P1Y2C4</t>
  </si>
  <si>
    <t>I.Production.P1Y3C4</t>
  </si>
  <si>
    <t>I.Production.P1Y1C5</t>
  </si>
  <si>
    <t>I.Production.P1Y2C5</t>
  </si>
  <si>
    <t>I.Production.P1Y3C5</t>
  </si>
  <si>
    <t>I.Production.P1Y1C6</t>
  </si>
  <si>
    <t>I.Production.P1Y2C6</t>
  </si>
  <si>
    <t>I.Production.P1Y3C6</t>
  </si>
  <si>
    <t>I.Production.P1Y1C7</t>
  </si>
  <si>
    <t>I.Production.P1Y2C7</t>
  </si>
  <si>
    <t>I.Production.P1Y3C7</t>
  </si>
  <si>
    <t>I.Production.P1Y1C8</t>
  </si>
  <si>
    <t>I.Production.P1Y2C8</t>
  </si>
  <si>
    <t>I.Production.P1Y3C8</t>
  </si>
  <si>
    <t>I.Production.P1Y1C9</t>
  </si>
  <si>
    <t>I.Production.P1Y2C9</t>
  </si>
  <si>
    <t>I.Production.P1Y3C9</t>
  </si>
  <si>
    <t>I.Production.P2Y1Quantity</t>
  </si>
  <si>
    <t>I.Production.P2Y2Quantity</t>
  </si>
  <si>
    <t>I.Production.P2Y3Quantity</t>
  </si>
  <si>
    <t>I.Production.P2Units</t>
  </si>
  <si>
    <t>I.Production.P2Y1C1</t>
  </si>
  <si>
    <t>I.Production.P2Y2C1</t>
  </si>
  <si>
    <t>I.Production.P2Y3C1</t>
  </si>
  <si>
    <t>I.Production.P2Y1C2</t>
  </si>
  <si>
    <t>I.Production.P2Y2C2</t>
  </si>
  <si>
    <t>I.Production.P2Y3C2</t>
  </si>
  <si>
    <t>I.Production.P2Y1C3</t>
  </si>
  <si>
    <t>I.Production.P2Y2C3</t>
  </si>
  <si>
    <t>I.Production.P2Y3C3</t>
  </si>
  <si>
    <t>I.Production.P2Y1C4</t>
  </si>
  <si>
    <t>I.Production.P2Y2C4</t>
  </si>
  <si>
    <t>I.Production.P2Y3C4</t>
  </si>
  <si>
    <t>I.Production.P2Y1C5</t>
  </si>
  <si>
    <t>I.Production.P2Y2C5</t>
  </si>
  <si>
    <t>I.Production.P2Y3C5</t>
  </si>
  <si>
    <t>I.Production.P2Y1C6</t>
  </si>
  <si>
    <t>I.Production.P2Y2C6</t>
  </si>
  <si>
    <t>I.Production.P2Y3C6</t>
  </si>
  <si>
    <t>I.Production.P2Y1C7</t>
  </si>
  <si>
    <t>I.Production.P2Y2C7</t>
  </si>
  <si>
    <t>I.Production.P2Y3C7</t>
  </si>
  <si>
    <t>I.Production.P2Y1C8</t>
  </si>
  <si>
    <t>I.Production.P2Y2C8</t>
  </si>
  <si>
    <t>I.Production.P2Y3C8</t>
  </si>
  <si>
    <t>I.Production.P2Y1C9</t>
  </si>
  <si>
    <t>I.Production.P2Y2C9</t>
  </si>
  <si>
    <t>I.Production.P2Y3C9</t>
  </si>
  <si>
    <t>I.Production.P3Y1Quantity</t>
  </si>
  <si>
    <t>I.Production.P3Y2Quantity</t>
  </si>
  <si>
    <t>I.Production.P3Y3Quantity</t>
  </si>
  <si>
    <t>I.Production.P3Units</t>
  </si>
  <si>
    <t>I.Production.P3Y1C1</t>
  </si>
  <si>
    <t>I.Production.P3Y2C1</t>
  </si>
  <si>
    <t>I.Production.P3Y3C1</t>
  </si>
  <si>
    <t>I.Production.P3Y1C2</t>
  </si>
  <si>
    <t>I.Production.P3Y2C2</t>
  </si>
  <si>
    <t>I.Production.P3Y3C2</t>
  </si>
  <si>
    <t>I.Production.P3Y1C3</t>
  </si>
  <si>
    <t>I.Production.P3Y2C3</t>
  </si>
  <si>
    <t>I.Production.P3Y3C3</t>
  </si>
  <si>
    <t>I.Production.P3Y1C4</t>
  </si>
  <si>
    <t>I.Production.P3Y2C4</t>
  </si>
  <si>
    <t>I.Production.P3Y3C4</t>
  </si>
  <si>
    <t>I.Production.P3Y1C5</t>
  </si>
  <si>
    <t>I.Production.P3Y2C5</t>
  </si>
  <si>
    <t>I.Production.P3Y3C5</t>
  </si>
  <si>
    <t>I.Production.P3Y1C6</t>
  </si>
  <si>
    <t>I.Production.P3Y2C6</t>
  </si>
  <si>
    <t>I.Production.P3Y3C6</t>
  </si>
  <si>
    <t>I.Production.P3Y1C7</t>
  </si>
  <si>
    <t>I.Production.P3Y2C7</t>
  </si>
  <si>
    <t>I.Production.P3Y3C7</t>
  </si>
  <si>
    <t>I.Production.P3Y1C8</t>
  </si>
  <si>
    <t>I.Production.P3Y2C8</t>
  </si>
  <si>
    <t>I.Production.P3Y3C8</t>
  </si>
  <si>
    <t>I.Production.P3Y1C9</t>
  </si>
  <si>
    <t>I.Production.P3Y2C9</t>
  </si>
  <si>
    <t>I.Production.P3Y3C9</t>
  </si>
  <si>
    <t>I.Production.P4Y1Quantity</t>
  </si>
  <si>
    <t>I.Production.P4Y2Quantity</t>
  </si>
  <si>
    <t>I.Production.P4Y3Quantity</t>
  </si>
  <si>
    <t>I.Production.P4Units</t>
  </si>
  <si>
    <t>I.Production.P4Y1C1</t>
  </si>
  <si>
    <t>I.Production.P4Y2C1</t>
  </si>
  <si>
    <t>I.Production.P4Y3C1</t>
  </si>
  <si>
    <t>I.Production.P4Y1C2</t>
  </si>
  <si>
    <t>I.Production.P4Y2C2</t>
  </si>
  <si>
    <t>I.Production.P4Y3C2</t>
  </si>
  <si>
    <t>I.Production.P4Y1C3</t>
  </si>
  <si>
    <t>I.Production.P4Y2C3</t>
  </si>
  <si>
    <t>I.Production.P4Y3C3</t>
  </si>
  <si>
    <t>I.Production.P4Y1C4</t>
  </si>
  <si>
    <t>I.Production.P4Y2C4</t>
  </si>
  <si>
    <t>I.Production.P4Y3C4</t>
  </si>
  <si>
    <t>I.Production.P4Y1C5</t>
  </si>
  <si>
    <t>I.Production.P4Y2C5</t>
  </si>
  <si>
    <t>I.Production.P4Y3C5</t>
  </si>
  <si>
    <t>I.Production.P4Y1C6</t>
  </si>
  <si>
    <t>I.Production.P4Y2C6</t>
  </si>
  <si>
    <t>I.Production.P4Y3C6</t>
  </si>
  <si>
    <t>I.Production.P4Y1C7</t>
  </si>
  <si>
    <t>I.Production.P4Y2C7</t>
  </si>
  <si>
    <t>I.Production.P4Y3C7</t>
  </si>
  <si>
    <t>I.Production.P4Y1C8</t>
  </si>
  <si>
    <t>I.Production.P4Y2C8</t>
  </si>
  <si>
    <t>I.Production.P4Y3C8</t>
  </si>
  <si>
    <t>I.Production.P4Y1C9</t>
  </si>
  <si>
    <t>I.Production.P4Y2C9</t>
  </si>
  <si>
    <t>I.Production.P4Y3C9</t>
  </si>
  <si>
    <t>I.Production.P5Y1Quantity</t>
  </si>
  <si>
    <t>I.Production.P5Y2Quantity</t>
  </si>
  <si>
    <t>I.Production.P5Y3Quantity</t>
  </si>
  <si>
    <t>I.Production.P5Units</t>
  </si>
  <si>
    <t>I.Production.P5Y1C1</t>
  </si>
  <si>
    <t>I.Production.P5Y2C1</t>
  </si>
  <si>
    <t>I.Production.P5Y3C1</t>
  </si>
  <si>
    <t>I.Production.P5Y1C2</t>
  </si>
  <si>
    <t>I.Production.P5Y2C2</t>
  </si>
  <si>
    <t>I.Production.P5Y3C2</t>
  </si>
  <si>
    <t>I.Production.P5Y1C3</t>
  </si>
  <si>
    <t>I.Production.P5Y2C3</t>
  </si>
  <si>
    <t>I.Production.P5Y3C3</t>
  </si>
  <si>
    <t>I.Production.P5Y1C4</t>
  </si>
  <si>
    <t>I.Production.P5Y2C4</t>
  </si>
  <si>
    <t>I.Production.P5Y3C4</t>
  </si>
  <si>
    <t>I.Production.P5Y1C5</t>
  </si>
  <si>
    <t>I.Production.P5Y2C5</t>
  </si>
  <si>
    <t>I.Production.P5Y3C5</t>
  </si>
  <si>
    <t>I.Production.P5Y1C6</t>
  </si>
  <si>
    <t>I.Production.P5Y2C6</t>
  </si>
  <si>
    <t>I.Production.P5Y3C6</t>
  </si>
  <si>
    <t>I.Production.P5Y1C7</t>
  </si>
  <si>
    <t>I.Production.P5Y2C7</t>
  </si>
  <si>
    <t>I.Production.P5Y3C7</t>
  </si>
  <si>
    <t>I.Production.P5Y1C8</t>
  </si>
  <si>
    <t>I.Production.P5Y2C8</t>
  </si>
  <si>
    <t>I.Production.P5Y3C8</t>
  </si>
  <si>
    <t>I.Production.P5Y1C9</t>
  </si>
  <si>
    <t>I.Production.P5Y2C9</t>
  </si>
  <si>
    <t>I.Production.P5Y3C9</t>
  </si>
  <si>
    <t>I.Gas.Y1Count</t>
  </si>
  <si>
    <t>I.Gas.Y1AssociatedGasEnergy</t>
  </si>
  <si>
    <t>I.Gas.Y1TotalGasEnergy</t>
  </si>
  <si>
    <t>I.Gas.Y1ElectricityGeneration</t>
  </si>
  <si>
    <t>I.Gas.Y1C1E1</t>
  </si>
  <si>
    <t>I.Gas.Y1C1E2</t>
  </si>
  <si>
    <t>I.Gas.Y1C1E3</t>
  </si>
  <si>
    <t>I.Gas.Y2Count</t>
  </si>
  <si>
    <t>I.Gas.Y2AssociatedGasEnergy</t>
  </si>
  <si>
    <t>I.Gas.Y2TotalGasEnergy</t>
  </si>
  <si>
    <t>I.Gas.Y2ElectricityGeneration</t>
  </si>
  <si>
    <t>I.Gas.Y2C1E1</t>
  </si>
  <si>
    <t>I.Gas.Y2C1E2</t>
  </si>
  <si>
    <t>I.Gas.Y2C1E3</t>
  </si>
  <si>
    <t>I.Declaration.Name</t>
  </si>
  <si>
    <t>I.Declaration.Date</t>
  </si>
  <si>
    <t>I.Developer.P1C1</t>
  </si>
  <si>
    <t>I.Developer.P1C2</t>
  </si>
  <si>
    <t>I.Developer.P1C3</t>
  </si>
  <si>
    <t>I.Developer.P1C4</t>
  </si>
  <si>
    <t>I.Developer.P1C5</t>
  </si>
  <si>
    <t>I.Developer.P1C6</t>
  </si>
  <si>
    <t>I.Developer.P1C7</t>
  </si>
  <si>
    <t>I.Developer.P1C8</t>
  </si>
  <si>
    <t>I.Developer.P1C9</t>
  </si>
  <si>
    <t>I.Developer.P2C1</t>
  </si>
  <si>
    <t>I.Developer.P2C2</t>
  </si>
  <si>
    <t>I.Developer.P2C3</t>
  </si>
  <si>
    <t>I.Developer.P2C4</t>
  </si>
  <si>
    <t>I.Developer.P2C5</t>
  </si>
  <si>
    <t>I.Developer.P2C6</t>
  </si>
  <si>
    <t>I.Developer.P2C7</t>
  </si>
  <si>
    <t>I.Developer.P2C8</t>
  </si>
  <si>
    <t>I.Developer.P2C9</t>
  </si>
  <si>
    <t>I.Developer.P3C1</t>
  </si>
  <si>
    <t>I.Developer.P3C2</t>
  </si>
  <si>
    <t>I.Developer.P3C3</t>
  </si>
  <si>
    <t>I.Developer.P3C4</t>
  </si>
  <si>
    <t>I.Developer.P3C5</t>
  </si>
  <si>
    <t>I.Developer.P3C6</t>
  </si>
  <si>
    <t>I.Developer.P3C7</t>
  </si>
  <si>
    <t>I.Developer.P3C8</t>
  </si>
  <si>
    <t>I.Developer.P3C9</t>
  </si>
  <si>
    <t>I.Developer.P4C1</t>
  </si>
  <si>
    <t>I.Developer.P4C2</t>
  </si>
  <si>
    <t>I.Developer.P4C3</t>
  </si>
  <si>
    <t>I.Developer.P4C4</t>
  </si>
  <si>
    <t>I.Developer.P4C5</t>
  </si>
  <si>
    <t>I.Developer.P4C6</t>
  </si>
  <si>
    <t>I.Developer.P4C7</t>
  </si>
  <si>
    <t>I.Developer.P4C8</t>
  </si>
  <si>
    <t>I.Developer.P4C9</t>
  </si>
  <si>
    <t>I.Developer.P5C1</t>
  </si>
  <si>
    <t>I.Developer.P5C2</t>
  </si>
  <si>
    <t>I.Developer.P5C3</t>
  </si>
  <si>
    <t>I.Developer.P5C4</t>
  </si>
  <si>
    <t>I.Developer.P5C5</t>
  </si>
  <si>
    <t>I.Developer.P5C6</t>
  </si>
  <si>
    <t>I.Developer.P5C7</t>
  </si>
  <si>
    <t>I.Developer.P5C8</t>
  </si>
  <si>
    <t>I.Developer.P5C9</t>
  </si>
  <si>
    <t>CO2</t>
  </si>
  <si>
    <t>CH4</t>
  </si>
  <si>
    <t>N2O</t>
  </si>
  <si>
    <t>SF6</t>
  </si>
  <si>
    <t>CF4</t>
  </si>
  <si>
    <t>C2F6</t>
  </si>
  <si>
    <t>C3F8</t>
  </si>
  <si>
    <t>C4F10</t>
  </si>
  <si>
    <t>c-C4F8</t>
  </si>
  <si>
    <t>C5F12</t>
  </si>
  <si>
    <t>C6F14</t>
  </si>
  <si>
    <t>CHF3</t>
  </si>
  <si>
    <t>CH2F2</t>
  </si>
  <si>
    <t>CH3F</t>
  </si>
  <si>
    <t>CF3CHFCHFCF2CF3</t>
  </si>
  <si>
    <t>CHF2CF3</t>
  </si>
  <si>
    <t>CHF2CHF2</t>
  </si>
  <si>
    <t>CH2FCF3</t>
  </si>
  <si>
    <t>CH2FCHF2</t>
  </si>
  <si>
    <t>CH3CF3</t>
  </si>
  <si>
    <t>CH3CHF2</t>
  </si>
  <si>
    <t>CF3CHFCF3</t>
  </si>
  <si>
    <t>CF3CH2CF3</t>
  </si>
  <si>
    <t>CH2FCF2CHF2</t>
  </si>
  <si>
    <t>R.Instructions.PrintArea</t>
  </si>
  <si>
    <t>R.Instructions.VersionNumber</t>
  </si>
  <si>
    <t>R.Instructions.VersionDate</t>
  </si>
  <si>
    <t>R.Facility.PrintArea</t>
  </si>
  <si>
    <t>R.Facility.Timestamp</t>
  </si>
  <si>
    <t>R.Product.PrintArea</t>
  </si>
  <si>
    <t>R.Product.Timestamp</t>
  </si>
  <si>
    <t>R.Production.PrintArea</t>
  </si>
  <si>
    <t>R.Production.Timestamp</t>
  </si>
  <si>
    <t>R.Electricity.PrintArea</t>
  </si>
  <si>
    <t>R.Electricity.Timestamp</t>
  </si>
  <si>
    <t>R.Gas.PrintArea</t>
  </si>
  <si>
    <t>R.Gas.Timestamp</t>
  </si>
  <si>
    <t>R.Summary.PrintArea</t>
  </si>
  <si>
    <t>R.Declaration.PrintArea</t>
  </si>
  <si>
    <t>R.Declaration.Timestamp</t>
  </si>
  <si>
    <t>R.Appendix.PrintArea</t>
  </si>
  <si>
    <t>R.Product.Dropdown</t>
  </si>
  <si>
    <t>S.Facility.OilGas</t>
  </si>
  <si>
    <t>S.Product.P1</t>
  </si>
  <si>
    <t>S.Product.P2</t>
  </si>
  <si>
    <t>S.Product.P3</t>
  </si>
  <si>
    <t>S.Product.P4</t>
  </si>
  <si>
    <t>S.Product.P5</t>
  </si>
  <si>
    <t>S.Product.GasToPower</t>
  </si>
  <si>
    <t>S.Production.P1</t>
  </si>
  <si>
    <t>S.Production.P1C1</t>
  </si>
  <si>
    <t>S.Production.P1C2</t>
  </si>
  <si>
    <t>S.Production.P1C3</t>
  </si>
  <si>
    <t>S.Production.P1C4</t>
  </si>
  <si>
    <t>S.Production.P1C5</t>
  </si>
  <si>
    <t>S.Production.P1C6</t>
  </si>
  <si>
    <t>S.Production.P1C7</t>
  </si>
  <si>
    <t>S.Production.P1C8</t>
  </si>
  <si>
    <t>S.Production.P1C9</t>
  </si>
  <si>
    <t>S.Production.P2</t>
  </si>
  <si>
    <t>S.Production.P2C1</t>
  </si>
  <si>
    <t>S.Production.P2C2</t>
  </si>
  <si>
    <t>S.Production.P2C3</t>
  </si>
  <si>
    <t>S.Production.P2C4</t>
  </si>
  <si>
    <t>S.Production.P2C5</t>
  </si>
  <si>
    <t>S.Production.P2C6</t>
  </si>
  <si>
    <t>S.Production.P2C7</t>
  </si>
  <si>
    <t>S.Production.P2C8</t>
  </si>
  <si>
    <t>S.Production.P2C9</t>
  </si>
  <si>
    <t>S.Production.P3</t>
  </si>
  <si>
    <t>S.Production.P3C1</t>
  </si>
  <si>
    <t>S.Production.P3C2</t>
  </si>
  <si>
    <t>S.Production.P3C3</t>
  </si>
  <si>
    <t>S.Production.P3C4</t>
  </si>
  <si>
    <t>S.Production.P3C5</t>
  </si>
  <si>
    <t>S.Production.P3C6</t>
  </si>
  <si>
    <t>S.Production.P3C7</t>
  </si>
  <si>
    <t>S.Production.P3C8</t>
  </si>
  <si>
    <t>S.Production.P3C9</t>
  </si>
  <si>
    <t>S.Production.P4</t>
  </si>
  <si>
    <t>S.Production.P4C1</t>
  </si>
  <si>
    <t>S.Production.P4C2</t>
  </si>
  <si>
    <t>S.Production.P4C3</t>
  </si>
  <si>
    <t>S.Production.P4C4</t>
  </si>
  <si>
    <t>S.Production.P4C5</t>
  </si>
  <si>
    <t>S.Production.P4C6</t>
  </si>
  <si>
    <t>S.Production.P4C7</t>
  </si>
  <si>
    <t>S.Production.P4C8</t>
  </si>
  <si>
    <t>S.Production.P4C9</t>
  </si>
  <si>
    <t>S.Production.P5</t>
  </si>
  <si>
    <t>S.Production.P5C1</t>
  </si>
  <si>
    <t>S.Production.P5C2</t>
  </si>
  <si>
    <t>S.Production.P5C3</t>
  </si>
  <si>
    <t>S.Production.P5C4</t>
  </si>
  <si>
    <t>S.Production.P5C5</t>
  </si>
  <si>
    <t>S.Production.P5C6</t>
  </si>
  <si>
    <t>S.Production.P5C7</t>
  </si>
  <si>
    <t>S.Production.P5C8</t>
  </si>
  <si>
    <t>S.Production.P5C9</t>
  </si>
  <si>
    <t>S.Electricity.P1</t>
  </si>
  <si>
    <t>S.Electricity.P2</t>
  </si>
  <si>
    <t>S.Electricity.P3</t>
  </si>
  <si>
    <t>S.Electricity.P4</t>
  </si>
  <si>
    <t>S.Electricity.P5</t>
  </si>
  <si>
    <t>S.Gas.Table1</t>
  </si>
  <si>
    <t>S.Gas.Table2</t>
  </si>
  <si>
    <t>S.Summary.P1</t>
  </si>
  <si>
    <t>S.Summary.P2</t>
  </si>
  <si>
    <t>S.Summary.P3</t>
  </si>
  <si>
    <t>S.Summary.P4</t>
  </si>
  <si>
    <t>S.Summary.P5</t>
  </si>
  <si>
    <t>S.Summary.GasToPower</t>
  </si>
  <si>
    <t>S.Developer.Inputs</t>
  </si>
  <si>
    <t>S.Developer.Sections</t>
  </si>
  <si>
    <t>S.Developer.Ranges</t>
  </si>
  <si>
    <t>Enter the facility name.</t>
  </si>
  <si>
    <t>Enter the OBPS registration number.</t>
  </si>
  <si>
    <t>Enter the number of products.</t>
  </si>
  <si>
    <t>Indicate if the facility produces products in the upstream oil and gas sector.</t>
  </si>
  <si>
    <t>Enter the registry ID number on row 1 of the table of registry ID numbers.</t>
  </si>
  <si>
    <t>Enter the registry ID number on row 2 of the table of registry ID numbers.</t>
  </si>
  <si>
    <t>Enter the registry ID number on row 3 of the table of registry ID numbers.</t>
  </si>
  <si>
    <t>Enter the registry ID number on row 4 of the table of registry ID numbers.</t>
  </si>
  <si>
    <t>Enter the registry ID number on row 5 of the table of registry ID numbers.</t>
  </si>
  <si>
    <t>Enter the registry ID number on row 6 of the table of registry ID numbers.</t>
  </si>
  <si>
    <t>Enter the registry ID number on row 7 of the table of registry ID numbers.</t>
  </si>
  <si>
    <t>Enter the registry ID number on row 8 of the table of registry ID numbers.</t>
  </si>
  <si>
    <t>Enter the registry ID number on row 9 of the table of registry ID numbers.</t>
  </si>
  <si>
    <t>Enter the registry ID number on row 10 of the table of registry ID numbers.</t>
  </si>
  <si>
    <t>Enter the registry ID number on row 11 of the table of registry ID numbers.</t>
  </si>
  <si>
    <t>Enter the registry ID number on row 12 of the table of registry ID numbers.</t>
  </si>
  <si>
    <t>Enter the registry ID number on row 13 of the table of registry ID numbers.</t>
  </si>
  <si>
    <t>Enter the registry ID number on row 14 of the table of registry ID numbers.</t>
  </si>
  <si>
    <t>Enter the registry ID number on row 15 of the table of registry ID numbers.</t>
  </si>
  <si>
    <t>Enter the registry ID number on row 16 of the table of registry ID numbers.</t>
  </si>
  <si>
    <t>Enter the registry ID number on row 17 of the table of registry ID numbers.</t>
  </si>
  <si>
    <t>Enter the registry ID number on row 18 of the table of registry ID numbers.</t>
  </si>
  <si>
    <t>Enter the registry ID number on row 19 of the table of registry ID numbers.</t>
  </si>
  <si>
    <t>Enter the registry ID number on row 20 of the table of registry ID numbers.</t>
  </si>
  <si>
    <t>Enter the registry ID number on row 21 of the table of registry ID numbers.</t>
  </si>
  <si>
    <t>Enter the registry ID number on row 22 of the table of registry ID numbers.</t>
  </si>
  <si>
    <t>Enter the registry ID number on row 23 of the table of registry ID numbers.</t>
  </si>
  <si>
    <t>Enter the registry ID number on row 24 of the table of registry ID numbers.</t>
  </si>
  <si>
    <t>Enter the registry ID number on row 25 of the table of registry ID numbers.</t>
  </si>
  <si>
    <t>Enter the registry ID number on row 26 of the table of registry ID numbers.</t>
  </si>
  <si>
    <t>Enter the registry ID number on row 27 of the table of registry ID numbers.</t>
  </si>
  <si>
    <t>Enter the registry ID number on row 28 of the table of registry ID numbers.</t>
  </si>
  <si>
    <t>Enter the registry ID number on row 29 of the table of registry ID numbers.</t>
  </si>
  <si>
    <t>Enter the registry ID number on row 30 of the table of registry ID numbers.</t>
  </si>
  <si>
    <t>Enter the registry ID number on row 31 of the table of registry ID numbers.</t>
  </si>
  <si>
    <t>Enter the registry ID number on row 32 of the table of registry ID numbers.</t>
  </si>
  <si>
    <t>Enter the registry ID number on row 33 of the table of registry ID numbers.</t>
  </si>
  <si>
    <t>Enter the registry ID number on row 34 of the table of registry ID numbers.</t>
  </si>
  <si>
    <t>Enter the registry ID number on row 35 of the table of registry ID numbers.</t>
  </si>
  <si>
    <t>Enter the registry ID number on row 36 of the table of registry ID numbers.</t>
  </si>
  <si>
    <t>Enter the registry ID number on row 37 of the table of registry ID numbers.</t>
  </si>
  <si>
    <t>Enter the registry ID number on row 38 of the table of registry ID numbers.</t>
  </si>
  <si>
    <t>Enter the registry ID number on row 39 of the table of registry ID numbers.</t>
  </si>
  <si>
    <t>Enter the registry ID number on row 40 of the table of registry ID numbers.</t>
  </si>
  <si>
    <t>Enter the registry ID number on row 41 of the table of registry ID numbers.</t>
  </si>
  <si>
    <t>Enter the registry ID number on row 42 of the table of registry ID numbers.</t>
  </si>
  <si>
    <t>Enter the registry ID number on row 43 of the table of registry ID numbers.</t>
  </si>
  <si>
    <t>Enter the registry ID number on row 44 of the table of registry ID numbers.</t>
  </si>
  <si>
    <t>Enter the registry ID number on row 45 of the table of registry ID numbers.</t>
  </si>
  <si>
    <t>Enter the registry ID number on row 46 of the table of registry ID numbers.</t>
  </si>
  <si>
    <t>Enter the registry ID number on row 47 of the table of registry ID numbers.</t>
  </si>
  <si>
    <t>Enter the registry ID number on row 48 of the table of registry ID numbers.</t>
  </si>
  <si>
    <t>Enter the registry ID number on row 49 of the table of registry ID numbers.</t>
  </si>
  <si>
    <t>Enter the registry ID number on row 50 of the table of registry ID numbers.</t>
  </si>
  <si>
    <t>Enter the registry ID number on row 51 of the table of registry ID numbers.</t>
  </si>
  <si>
    <t>Enter the registry ID number on row 52 of the table of registry ID numbers.</t>
  </si>
  <si>
    <t>Enter the registry ID number on row 53 of the table of registry ID numbers.</t>
  </si>
  <si>
    <t>Enter the registry ID number on row 54 of the table of registry ID numbers.</t>
  </si>
  <si>
    <t>Enter the registry ID number on row 55 of the table of registry ID numbers.</t>
  </si>
  <si>
    <t>Enter the registry ID number on row 56 of the table of registry ID numbers.</t>
  </si>
  <si>
    <t>Enter the registry ID number on row 57 of the table of registry ID numbers.</t>
  </si>
  <si>
    <t>Enter the registry ID number on row 58 of the table of registry ID numbers.</t>
  </si>
  <si>
    <t>Enter the registry ID number on row 59 of the table of registry ID numbers.</t>
  </si>
  <si>
    <t>Enter the registry ID number on row 60 of the table of registry ID numbers.</t>
  </si>
  <si>
    <t>Enter the registry ID number on row 61 of the table of registry ID numbers.</t>
  </si>
  <si>
    <t>Enter the registry ID number on row 62 of the table of registry ID numbers.</t>
  </si>
  <si>
    <t>Enter the registry ID number on row 63 of the table of registry ID numbers.</t>
  </si>
  <si>
    <t>Enter the registry ID number on row 64 of the table of registry ID numbers.</t>
  </si>
  <si>
    <t>Enter the registry ID number on row 65 of the table of registry ID numbers.</t>
  </si>
  <si>
    <t>Enter the registry ID number on row 66 of the table of registry ID numbers.</t>
  </si>
  <si>
    <t>Enter the registry ID number on row 67 of the table of registry ID numbers.</t>
  </si>
  <si>
    <t>Enter the registry ID number on row 68 of the table of registry ID numbers.</t>
  </si>
  <si>
    <t>Enter the registry ID number on row 69 of the table of registry ID numbers.</t>
  </si>
  <si>
    <t>Enter the registry ID number on row 70 of the table of registry ID numbers.</t>
  </si>
  <si>
    <t>Enter the registry ID number on row 71 of the table of registry ID numbers.</t>
  </si>
  <si>
    <t>Enter the registry ID number on row 72 of the table of registry ID numbers.</t>
  </si>
  <si>
    <t>Enter the registry ID number on row 73 of the table of registry ID numbers.</t>
  </si>
  <si>
    <t>Enter the registry ID number on row 74 of the table of registry ID numbers.</t>
  </si>
  <si>
    <t>Enter the registry ID number on row 75 of the table of registry ID numbers.</t>
  </si>
  <si>
    <t>Enter the registry ID number on row 76 of the table of registry ID numbers.</t>
  </si>
  <si>
    <t>Enter the registry ID number on row 77 of the table of registry ID numbers.</t>
  </si>
  <si>
    <t>Enter the registry ID number on row 78 of the table of registry ID numbers.</t>
  </si>
  <si>
    <t>Enter the registry ID number on row 79 of the table of registry ID numbers.</t>
  </si>
  <si>
    <t>Enter the registry ID number on row 80 of the table of registry ID numbers.</t>
  </si>
  <si>
    <t>Enter the registry ID number on row 81 of the table of registry ID numbers.</t>
  </si>
  <si>
    <t>Enter the registry ID number on row 82 of the table of registry ID numbers.</t>
  </si>
  <si>
    <t>Enter the registry ID number on row 83 of the table of registry ID numbers.</t>
  </si>
  <si>
    <t>Enter the registry ID number on row 84 of the table of registry ID numbers.</t>
  </si>
  <si>
    <t>Enter the registry ID number on row 85 of the table of registry ID numbers.</t>
  </si>
  <si>
    <t>Enter the registry ID number on row 86 of the table of registry ID numbers.</t>
  </si>
  <si>
    <t>Enter the registry ID number on row 87 of the table of registry ID numbers.</t>
  </si>
  <si>
    <t>Enter the registry ID number on row 88 of the table of registry ID numbers.</t>
  </si>
  <si>
    <t>Enter the registry ID number on row 89 of the table of registry ID numbers.</t>
  </si>
  <si>
    <t>Enter the registry ID number on row 90 of the table of registry ID numbers.</t>
  </si>
  <si>
    <t>Enter the registry ID number on row 91 of the table of registry ID numbers.</t>
  </si>
  <si>
    <t>Enter the registry ID number on row 92 of the table of registry ID numbers.</t>
  </si>
  <si>
    <t>Enter the registry ID number on row 93 of the table of registry ID numbers.</t>
  </si>
  <si>
    <t>Enter the registry ID number on row 94 of the table of registry ID numbers.</t>
  </si>
  <si>
    <t>Enter the registry ID number on row 95 of the table of registry ID numbers.</t>
  </si>
  <si>
    <t>Enter the registry ID number on row 96 of the table of registry ID numbers.</t>
  </si>
  <si>
    <t>Enter the registry ID number on row 97 of the table of registry ID numbers.</t>
  </si>
  <si>
    <t>Enter the registry ID number on row 98 of the table of registry ID numbers.</t>
  </si>
  <si>
    <t>Enter the registry ID number on row 99 of the table of registry ID numbers.</t>
  </si>
  <si>
    <t>Enter the registry ID number on row 100 of the table of registry ID numbers.</t>
  </si>
  <si>
    <t>Enter the registry ID number on row 101 of the table of registry ID numbers.</t>
  </si>
  <si>
    <t>Enter the registry ID number on row 102 of the table of registry ID numbers.</t>
  </si>
  <si>
    <t>Enter the registry ID number on row 103 of the table of registry ID numbers.</t>
  </si>
  <si>
    <t>Enter the registry ID number on row 104 of the table of registry ID numbers.</t>
  </si>
  <si>
    <t>Enter the registry ID number on row 105 of the table of registry ID numbers.</t>
  </si>
  <si>
    <t>Enter the registry ID number on row 106 of the table of registry ID numbers.</t>
  </si>
  <si>
    <t>Enter the registry ID number on row 107 of the table of registry ID numbers.</t>
  </si>
  <si>
    <t>Enter the registry ID number on row 108 of the table of registry ID numbers.</t>
  </si>
  <si>
    <t>Enter the registry ID number on row 109 of the table of registry ID numbers.</t>
  </si>
  <si>
    <t>Enter the registry ID number on row 110 of the table of registry ID numbers.</t>
  </si>
  <si>
    <t>Enter the registry ID number on row 111 of the table of registry ID numbers.</t>
  </si>
  <si>
    <t>Enter the registry ID number on row 112 of the table of registry ID numbers.</t>
  </si>
  <si>
    <t>Enter the registry ID number on row 113 of the table of registry ID numbers.</t>
  </si>
  <si>
    <t>Enter the registry ID number on row 114 of the table of registry ID numbers.</t>
  </si>
  <si>
    <t>Enter the registry ID number on row 115 of the table of registry ID numbers.</t>
  </si>
  <si>
    <t>Enter the registry ID number on row 116 of the table of registry ID numbers.</t>
  </si>
  <si>
    <t>Enter the registry ID number on row 117 of the table of registry ID numbers.</t>
  </si>
  <si>
    <t>Enter the registry ID number on row 118 of the table of registry ID numbers.</t>
  </si>
  <si>
    <t>Enter the registry ID number on row 119 of the table of registry ID numbers.</t>
  </si>
  <si>
    <t>Enter the registry ID number on row 120 of the table of registry ID numbers.</t>
  </si>
  <si>
    <t>Enter the registry ID number on row 121 of the table of registry ID numbers.</t>
  </si>
  <si>
    <t>Enter the registry ID number on row 122 of the table of registry ID numbers.</t>
  </si>
  <si>
    <t>Enter the registry ID number on row 123 of the table of registry ID numbers.</t>
  </si>
  <si>
    <t>Enter the registry ID number on row 124 of the table of registry ID numbers.</t>
  </si>
  <si>
    <t>Enter the registry ID number on row 125 of the table of registry ID numbers.</t>
  </si>
  <si>
    <t>Enter the registry ID number on row 126 of the table of registry ID numbers.</t>
  </si>
  <si>
    <t>Enter the registry ID number on row 127 of the table of registry ID numbers.</t>
  </si>
  <si>
    <t>Enter the registry ID number on row 128 of the table of registry ID numbers.</t>
  </si>
  <si>
    <t>Enter the registry ID number on row 129 of the table of registry ID numbers.</t>
  </si>
  <si>
    <t>Enter the registry ID number on row 130 of the table of registry ID numbers.</t>
  </si>
  <si>
    <t>Enter the registry ID number on row 131 of the table of registry ID numbers.</t>
  </si>
  <si>
    <t>Enter the registry ID number on row 132 of the table of registry ID numbers.</t>
  </si>
  <si>
    <t>Enter the registry ID number on row 133 of the table of registry ID numbers.</t>
  </si>
  <si>
    <t>Enter the registry ID number on row 134 of the table of registry ID numbers.</t>
  </si>
  <si>
    <t>Enter the registry ID number on row 135 of the table of registry ID numbers.</t>
  </si>
  <si>
    <t>Enter the registry ID number on row 136 of the table of registry ID numbers.</t>
  </si>
  <si>
    <t>Enter the registry ID number on row 137 of the table of registry ID numbers.</t>
  </si>
  <si>
    <t>Enter the registry ID number on row 138 of the table of registry ID numbers.</t>
  </si>
  <si>
    <t>Enter the registry ID number on row 139 of the table of registry ID numbers.</t>
  </si>
  <si>
    <t>Enter the registry ID number on row 140 of the table of registry ID numbers.</t>
  </si>
  <si>
    <t>Enter the registry ID number on row 141 of the table of registry ID numbers.</t>
  </si>
  <si>
    <t>Enter the registry ID number on row 142 of the table of registry ID numbers.</t>
  </si>
  <si>
    <t>Enter the registry ID number on row 143 of the table of registry ID numbers.</t>
  </si>
  <si>
    <t>Enter the registry ID number on row 144 of the table of registry ID numbers.</t>
  </si>
  <si>
    <t>Enter the registry ID number on row 145 of the table of registry ID numbers.</t>
  </si>
  <si>
    <t>Enter the registry ID number on row 146 of the table of registry ID numbers.</t>
  </si>
  <si>
    <t>Enter the registry ID number on row 147 of the table of registry ID numbers.</t>
  </si>
  <si>
    <t>Enter the registry ID number on row 148 of the table of registry ID numbers.</t>
  </si>
  <si>
    <t>Enter the registry ID number on row 149 of the table of registry ID numbers.</t>
  </si>
  <si>
    <t>Enter the registry ID number on row 150 of the table of registry ID numbers.</t>
  </si>
  <si>
    <t>Enter the registry ID number on row 151 of the table of registry ID numbers.</t>
  </si>
  <si>
    <t>Enter the registry ID number on row 152 of the table of registry ID numbers.</t>
  </si>
  <si>
    <t>Enter the registry ID number on row 153 of the table of registry ID numbers.</t>
  </si>
  <si>
    <t>Enter the registry ID number on row 154 of the table of registry ID numbers.</t>
  </si>
  <si>
    <t>Enter the registry ID number on row 155 of the table of registry ID numbers.</t>
  </si>
  <si>
    <t>Enter the registry ID number on row 156 of the table of registry ID numbers.</t>
  </si>
  <si>
    <t>Enter the registry ID number on row 157 of the table of registry ID numbers.</t>
  </si>
  <si>
    <t>Enter the registry ID number on row 158 of the table of registry ID numbers.</t>
  </si>
  <si>
    <t>Enter the registry ID number on row 159 of the table of registry ID numbers.</t>
  </si>
  <si>
    <t>Enter the registry ID number on row 160 of the table of registry ID numbers.</t>
  </si>
  <si>
    <t>Enter the registry ID number on row 161 of the table of registry ID numbers.</t>
  </si>
  <si>
    <t>Enter the registry ID number on row 162 of the table of registry ID numbers.</t>
  </si>
  <si>
    <t>Enter the registry ID number on row 163 of the table of registry ID numbers.</t>
  </si>
  <si>
    <t>Enter the registry ID number on row 164 of the table of registry ID numbers.</t>
  </si>
  <si>
    <t>Enter the registry ID number on row 165 of the table of registry ID numbers.</t>
  </si>
  <si>
    <t>Enter the registry ID number on row 166 of the table of registry ID numbers.</t>
  </si>
  <si>
    <t>Enter the registry ID number on row 167 of the table of registry ID numbers.</t>
  </si>
  <si>
    <t>Enter the registry ID number on row 168 of the table of registry ID numbers.</t>
  </si>
  <si>
    <t>Enter the registry ID number on row 169 of the table of registry ID numbers.</t>
  </si>
  <si>
    <t>Enter the registry ID number on row 170 of the table of registry ID numbers.</t>
  </si>
  <si>
    <t>Enter the registry ID number on row 171 of the table of registry ID numbers.</t>
  </si>
  <si>
    <t>Enter the registry ID number on row 172 of the table of registry ID numbers.</t>
  </si>
  <si>
    <t>Enter the registry ID number on row 173 of the table of registry ID numbers.</t>
  </si>
  <si>
    <t>Enter the registry ID number on row 174 of the table of registry ID numbers.</t>
  </si>
  <si>
    <t>Enter the registry ID number on row 175 of the table of registry ID numbers.</t>
  </si>
  <si>
    <t>Enter the registry ID number on row 176 of the table of registry ID numbers.</t>
  </si>
  <si>
    <t>Enter the registry ID number on row 177 of the table of registry ID numbers.</t>
  </si>
  <si>
    <t>Enter the registry ID number on row 178 of the table of registry ID numbers.</t>
  </si>
  <si>
    <t>Enter the registry ID number on row 179 of the table of registry ID numbers.</t>
  </si>
  <si>
    <t>Enter the registry ID number on row 180 of the table of registry ID numbers.</t>
  </si>
  <si>
    <t>Enter the registry ID number on row 181 of the table of registry ID numbers.</t>
  </si>
  <si>
    <t>Enter the registry ID number on row 182 of the table of registry ID numbers.</t>
  </si>
  <si>
    <t>Enter the registry ID number on row 183 of the table of registry ID numbers.</t>
  </si>
  <si>
    <t>Enter the registry ID number on row 184 of the table of registry ID numbers.</t>
  </si>
  <si>
    <t>Enter the registry ID number on row 185 of the table of registry ID numbers.</t>
  </si>
  <si>
    <t>Enter the registry ID number on row 186 of the table of registry ID numbers.</t>
  </si>
  <si>
    <t>Enter the registry ID number on row 187 of the table of registry ID numbers.</t>
  </si>
  <si>
    <t>Enter the registry ID number on row 188 of the table of registry ID numbers.</t>
  </si>
  <si>
    <t>Enter the registry ID number on row 189 of the table of registry ID numbers.</t>
  </si>
  <si>
    <t>Enter the registry ID number on row 190 of the table of registry ID numbers.</t>
  </si>
  <si>
    <t>Enter the registry ID number on row 191 of the table of registry ID numbers.</t>
  </si>
  <si>
    <t>Enter the registry ID number on row 192 of the table of registry ID numbers.</t>
  </si>
  <si>
    <t>Enter the registry ID number on row 193 of the table of registry ID numbers.</t>
  </si>
  <si>
    <t>Enter the registry ID number on row 194 of the table of registry ID numbers.</t>
  </si>
  <si>
    <t>Enter the registry ID number on row 195 of the table of registry ID numbers.</t>
  </si>
  <si>
    <t>Enter the registry ID number on row 196 of the table of registry ID numbers.</t>
  </si>
  <si>
    <t>Enter the registry ID number on row 197 of the table of registry ID numbers.</t>
  </si>
  <si>
    <t>Enter the registry ID number on row 198 of the table of registry ID numbers.</t>
  </si>
  <si>
    <t>Enter the registry ID number on row 199 of the table of registry ID numbers.</t>
  </si>
  <si>
    <t>Enter the registry ID number on row 200 of the table of registry ID numbers.</t>
  </si>
  <si>
    <t>Enter the registry ID number on row 201 of the table of registry ID numbers.</t>
  </si>
  <si>
    <t>Enter the registry ID number on row 202 of the table of registry ID numbers.</t>
  </si>
  <si>
    <t>Enter the registry ID number on row 203 of the table of registry ID numbers.</t>
  </si>
  <si>
    <t>Enter the registry ID number on row 204 of the table of registry ID numbers.</t>
  </si>
  <si>
    <t>Enter the registry ID number on row 205 of the table of registry ID numbers.</t>
  </si>
  <si>
    <t>Enter the registry ID number on row 206 of the table of registry ID numbers.</t>
  </si>
  <si>
    <t>Enter the registry ID number on row 207 of the table of registry ID numbers.</t>
  </si>
  <si>
    <t>Enter the registry ID number on row 208 of the table of registry ID numbers.</t>
  </si>
  <si>
    <t>Enter the registry ID number on row 209 of the table of registry ID numbers.</t>
  </si>
  <si>
    <t>Enter the registry ID number on row 210 of the table of registry ID numbers.</t>
  </si>
  <si>
    <t>Enter the registry ID number on row 211 of the table of registry ID numbers.</t>
  </si>
  <si>
    <t>Enter the registry ID number on row 212 of the table of registry ID numbers.</t>
  </si>
  <si>
    <t>Enter the registry ID number on row 213 of the table of registry ID numbers.</t>
  </si>
  <si>
    <t>Enter the registry ID number on row 214 of the table of registry ID numbers.</t>
  </si>
  <si>
    <t>Enter the registry ID number on row 215 of the table of registry ID numbers.</t>
  </si>
  <si>
    <t>Enter the registry ID number on row 216 of the table of registry ID numbers.</t>
  </si>
  <si>
    <t>Enter the registry ID number on row 217 of the table of registry ID numbers.</t>
  </si>
  <si>
    <t>Enter the registry ID number on row 218 of the table of registry ID numbers.</t>
  </si>
  <si>
    <t>Enter the registry ID number on row 219 of the table of registry ID numbers.</t>
  </si>
  <si>
    <t>Enter the registry ID number on row 220 of the table of registry ID numbers.</t>
  </si>
  <si>
    <t>Enter the registry ID number on row 221 of the table of registry ID numbers.</t>
  </si>
  <si>
    <t>Enter the registry ID number on row 222 of the table of registry ID numbers.</t>
  </si>
  <si>
    <t>Enter the registry ID number on row 223 of the table of registry ID numbers.</t>
  </si>
  <si>
    <t>Enter the registry ID number on row 224 of the table of registry ID numbers.</t>
  </si>
  <si>
    <t>Enter the registry ID number on row 225 of the table of registry ID numbers.</t>
  </si>
  <si>
    <t>Enter the registry ID number on row 226 of the table of registry ID numbers.</t>
  </si>
  <si>
    <t>Enter the registry ID number on row 227 of the table of registry ID numbers.</t>
  </si>
  <si>
    <t>Enter the registry ID number on row 228 of the table of registry ID numbers.</t>
  </si>
  <si>
    <t>Enter the registry ID number on row 229 of the table of registry ID numbers.</t>
  </si>
  <si>
    <t>Enter the registry ID number on row 230 of the table of registry ID numbers.</t>
  </si>
  <si>
    <t>Enter the registry ID number on row 231 of the table of registry ID numbers.</t>
  </si>
  <si>
    <t>Enter the registry ID number on row 232 of the table of registry ID numbers.</t>
  </si>
  <si>
    <t>Enter the registry ID number on row 233 of the table of registry ID numbers.</t>
  </si>
  <si>
    <t>Enter the registry ID number on row 234 of the table of registry ID numbers.</t>
  </si>
  <si>
    <t>Enter the registry ID number on row 235 of the table of registry ID numbers.</t>
  </si>
  <si>
    <t>Enter the registry ID number on row 236 of the table of registry ID numbers.</t>
  </si>
  <si>
    <t>Enter the registry ID number on row 237 of the table of registry ID numbers.</t>
  </si>
  <si>
    <t>Enter the registry ID number on row 238 of the table of registry ID numbers.</t>
  </si>
  <si>
    <t>Enter the registry ID number on row 239 of the table of registry ID numbers.</t>
  </si>
  <si>
    <t>Enter the registry ID number on row 240 of the table of registry ID numbers.</t>
  </si>
  <si>
    <t>Enter the registry ID number on row 241 of the table of registry ID numbers.</t>
  </si>
  <si>
    <t>Enter the registry ID number on row 242 of the table of registry ID numbers.</t>
  </si>
  <si>
    <t>Enter the registry ID number on row 243 of the table of registry ID numbers.</t>
  </si>
  <si>
    <t>Enter the registry ID number on row 244 of the table of registry ID numbers.</t>
  </si>
  <si>
    <t>Enter the registry ID number on row 245 of the table of registry ID numbers.</t>
  </si>
  <si>
    <t>Enter the registry ID number on row 246 of the table of registry ID numbers.</t>
  </si>
  <si>
    <t>Enter the registry ID number on row 247 of the table of registry ID numbers.</t>
  </si>
  <si>
    <t>Enter the registry ID number on row 248 of the table of registry ID numbers.</t>
  </si>
  <si>
    <t>Enter the registry ID number on row 249 of the table of registry ID numbers.</t>
  </si>
  <si>
    <t>Enter the registry ID number on row 250 of the table of registry ID numbers.</t>
  </si>
  <si>
    <t>Enter the registry ID number on row 251 of the table of registry ID numbers.</t>
  </si>
  <si>
    <t>Enter the registry ID number on row 252 of the table of registry ID numbers.</t>
  </si>
  <si>
    <t>Enter the registry ID number on row 253 of the table of registry ID numbers.</t>
  </si>
  <si>
    <t>Enter the registry ID number on row 254 of the table of registry ID numbers.</t>
  </si>
  <si>
    <t>Enter the registry ID number on row 255 of the table of registry ID numbers.</t>
  </si>
  <si>
    <t>Enter the registry ID number on row 256 of the table of registry ID numbers.</t>
  </si>
  <si>
    <t>Enter the registry ID number on row 257 of the table of registry ID numbers.</t>
  </si>
  <si>
    <t>Enter the registry ID number on row 258 of the table of registry ID numbers.</t>
  </si>
  <si>
    <t>Enter the registry ID number on row 259 of the table of registry ID numbers.</t>
  </si>
  <si>
    <t>Enter the registry ID number on row 260 of the table of registry ID numbers.</t>
  </si>
  <si>
    <t>Enter the registry ID number on row 261 of the table of registry ID numbers.</t>
  </si>
  <si>
    <t>Enter the registry ID number on row 262 of the table of registry ID numbers.</t>
  </si>
  <si>
    <t>Enter the registry ID number on row 263 of the table of registry ID numbers.</t>
  </si>
  <si>
    <t>Enter the registry ID number on row 264 of the table of registry ID numbers.</t>
  </si>
  <si>
    <t>Enter the registry ID number on row 265 of the table of registry ID numbers.</t>
  </si>
  <si>
    <t>Enter the registry ID number on row 266 of the table of registry ID numbers.</t>
  </si>
  <si>
    <t>Enter the registry ID number on row 267 of the table of registry ID numbers.</t>
  </si>
  <si>
    <t>Enter the registry ID number on row 268 of the table of registry ID numbers.</t>
  </si>
  <si>
    <t>Enter the registry ID number on row 269 of the table of registry ID numbers.</t>
  </si>
  <si>
    <t>Enter the registry ID number on row 270 of the table of registry ID numbers.</t>
  </si>
  <si>
    <t>Enter the registry ID number on row 271 of the table of registry ID numbers.</t>
  </si>
  <si>
    <t>Enter the registry ID number on row 272 of the table of registry ID numbers.</t>
  </si>
  <si>
    <t>Enter the registry ID number on row 273 of the table of registry ID numbers.</t>
  </si>
  <si>
    <t>Enter the registry ID number on row 274 of the table of registry ID numbers.</t>
  </si>
  <si>
    <t>Enter the registry ID number on row 275 of the table of registry ID numbers.</t>
  </si>
  <si>
    <t>Enter the registry ID number on row 276 of the table of registry ID numbers.</t>
  </si>
  <si>
    <t>Enter the registry ID number on row 277 of the table of registry ID numbers.</t>
  </si>
  <si>
    <t>Enter the registry ID number on row 278 of the table of registry ID numbers.</t>
  </si>
  <si>
    <t>Enter the registry ID number on row 279 of the table of registry ID numbers.</t>
  </si>
  <si>
    <t>Enter the registry ID number on row 280 of the table of registry ID numbers.</t>
  </si>
  <si>
    <t>Enter the registry ID number on row 281 of the table of registry ID numbers.</t>
  </si>
  <si>
    <t>Enter the registry ID number on row 282 of the table of registry ID numbers.</t>
  </si>
  <si>
    <t>Enter the registry ID number on row 283 of the table of registry ID numbers.</t>
  </si>
  <si>
    <t>Enter the registry ID number on row 284 of the table of registry ID numbers.</t>
  </si>
  <si>
    <t>Enter the registry ID number on row 285 of the table of registry ID numbers.</t>
  </si>
  <si>
    <t>Enter the registry ID number on row 286 of the table of registry ID numbers.</t>
  </si>
  <si>
    <t>Enter the registry ID number on row 287 of the table of registry ID numbers.</t>
  </si>
  <si>
    <t>Enter the registry ID number on row 288 of the table of registry ID numbers.</t>
  </si>
  <si>
    <t>Enter the registry ID number on row 289 of the table of registry ID numbers.</t>
  </si>
  <si>
    <t>Enter the registry ID number on row 290 of the table of registry ID numbers.</t>
  </si>
  <si>
    <t>Enter the registry ID number on row 291 of the table of registry ID numbers.</t>
  </si>
  <si>
    <t>Enter the registry ID number on row 292 of the table of registry ID numbers.</t>
  </si>
  <si>
    <t>Enter the registry ID number on row 293 of the table of registry ID numbers.</t>
  </si>
  <si>
    <t>Enter the registry ID number on row 294 of the table of registry ID numbers.</t>
  </si>
  <si>
    <t>Enter the registry ID number on row 295 of the table of registry ID numbers.</t>
  </si>
  <si>
    <t>Enter the registry ID number on row 296 of the table of registry ID numbers.</t>
  </si>
  <si>
    <t>Enter the registry ID number on row 297 of the table of registry ID numbers.</t>
  </si>
  <si>
    <t>Enter the registry ID number on row 298 of the table of registry ID numbers.</t>
  </si>
  <si>
    <t>Enter the registry ID number on row 299 of the table of registry ID numbers.</t>
  </si>
  <si>
    <t>Enter the registry ID number on row 300 of the table of registry ID numbers.</t>
  </si>
  <si>
    <t>Enter the registry ID number on row 301 of the table of registry ID numbers.</t>
  </si>
  <si>
    <t>Enter the registry ID number on row 302 of the table of registry ID numbers.</t>
  </si>
  <si>
    <t>Enter the registry ID number on row 303 of the table of registry ID numbers.</t>
  </si>
  <si>
    <t>Enter the registry ID number on row 304 of the table of registry ID numbers.</t>
  </si>
  <si>
    <t>Enter the registry ID number on row 305 of the table of registry ID numbers.</t>
  </si>
  <si>
    <t>Enter the registry ID number on row 306 of the table of registry ID numbers.</t>
  </si>
  <si>
    <t>Enter the registry ID number on row 307 of the table of registry ID numbers.</t>
  </si>
  <si>
    <t>Enter the registry ID number on row 308 of the table of registry ID numbers.</t>
  </si>
  <si>
    <t>Enter the registry ID number on row 309 of the table of registry ID numbers.</t>
  </si>
  <si>
    <t>Enter the registry ID number on row 310 of the table of registry ID numbers.</t>
  </si>
  <si>
    <t>Enter the registry ID number on row 311 of the table of registry ID numbers.</t>
  </si>
  <si>
    <t>Enter the registry ID number on row 312 of the table of registry ID numbers.</t>
  </si>
  <si>
    <t>Enter the registry ID number on row 313 of the table of registry ID numbers.</t>
  </si>
  <si>
    <t>Enter the registry ID number on row 314 of the table of registry ID numbers.</t>
  </si>
  <si>
    <t>Enter the registry ID number on row 315 of the table of registry ID numbers.</t>
  </si>
  <si>
    <t>Enter the registry ID number on row 316 of the table of registry ID numbers.</t>
  </si>
  <si>
    <t>Enter the registry ID number on row 317 of the table of registry ID numbers.</t>
  </si>
  <si>
    <t>Enter the registry ID number on row 318 of the table of registry ID numbers.</t>
  </si>
  <si>
    <t>Enter the registry ID number on row 319 of the table of registry ID numbers.</t>
  </si>
  <si>
    <t>Enter the registry ID number on row 320 of the table of registry ID numbers.</t>
  </si>
  <si>
    <t>Enter the registry ID number on row 321 of the table of registry ID numbers.</t>
  </si>
  <si>
    <t>Enter the registry ID number on row 322 of the table of registry ID numbers.</t>
  </si>
  <si>
    <t>Enter the registry ID number on row 323 of the table of registry ID numbers.</t>
  </si>
  <si>
    <t>Enter the registry ID number on row 324 of the table of registry ID numbers.</t>
  </si>
  <si>
    <t>Enter the registry ID number on row 325 of the table of registry ID numbers.</t>
  </si>
  <si>
    <t>Enter the registry ID number on row 326 of the table of registry ID numbers.</t>
  </si>
  <si>
    <t>Enter the registry ID number on row 327 of the table of registry ID numbers.</t>
  </si>
  <si>
    <t>Enter the registry ID number on row 328 of the table of registry ID numbers.</t>
  </si>
  <si>
    <t>Enter the registry ID number on row 329 of the table of registry ID numbers.</t>
  </si>
  <si>
    <t>Enter the registry ID number on row 330 of the table of registry ID numbers.</t>
  </si>
  <si>
    <t>Enter the registry ID number on row 331 of the table of registry ID numbers.</t>
  </si>
  <si>
    <t>Enter the registry ID number on row 332 of the table of registry ID numbers.</t>
  </si>
  <si>
    <t>Enter the registry ID number on row 333 of the table of registry ID numbers.</t>
  </si>
  <si>
    <t>Enter the registry ID number on row 334 of the table of registry ID numbers.</t>
  </si>
  <si>
    <t>Enter the registry ID number on row 335 of the table of registry ID numbers.</t>
  </si>
  <si>
    <t>Enter the registry ID number on row 336 of the table of registry ID numbers.</t>
  </si>
  <si>
    <t>Enter the registry ID number on row 337 of the table of registry ID numbers.</t>
  </si>
  <si>
    <t>Enter the registry ID number on row 338 of the table of registry ID numbers.</t>
  </si>
  <si>
    <t>Enter the registry ID number on row 339 of the table of registry ID numbers.</t>
  </si>
  <si>
    <t>Enter the registry ID number on row 340 of the table of registry ID numbers.</t>
  </si>
  <si>
    <t>Enter the registry ID number on row 341 of the table of registry ID numbers.</t>
  </si>
  <si>
    <t>Enter the registry ID number on row 342 of the table of registry ID numbers.</t>
  </si>
  <si>
    <t>Enter the registry ID number on row 343 of the table of registry ID numbers.</t>
  </si>
  <si>
    <t>Enter the registry ID number on row 344 of the table of registry ID numbers.</t>
  </si>
  <si>
    <t>Enter the registry ID number on row 345 of the table of registry ID numbers.</t>
  </si>
  <si>
    <t>Enter the registry ID number on row 346 of the table of registry ID numbers.</t>
  </si>
  <si>
    <t>Enter the registry ID number on row 347 of the table of registry ID numbers.</t>
  </si>
  <si>
    <t>Enter the registry ID number on row 348 of the table of registry ID numbers.</t>
  </si>
  <si>
    <t>Enter the registry ID number on row 349 of the table of registry ID numbers.</t>
  </si>
  <si>
    <t>Enter the registry ID number on row 350 of the table of registry ID numbers.</t>
  </si>
  <si>
    <t>Enter the registry ID number on row 351 of the table of registry ID numbers.</t>
  </si>
  <si>
    <t>Enter the registry ID number on row 352 of the table of registry ID numbers.</t>
  </si>
  <si>
    <t>Enter the registry ID number on row 353 of the table of registry ID numbers.</t>
  </si>
  <si>
    <t>Enter the registry ID number on row 354 of the table of registry ID numbers.</t>
  </si>
  <si>
    <t>Enter the registry ID number on row 355 of the table of registry ID numbers.</t>
  </si>
  <si>
    <t>Enter the registry ID number on row 356 of the table of registry ID numbers.</t>
  </si>
  <si>
    <t>Enter the registry ID number on row 357 of the table of registry ID numbers.</t>
  </si>
  <si>
    <t>Enter the registry ID number on row 358 of the table of registry ID numbers.</t>
  </si>
  <si>
    <t>Enter the registry ID number on row 359 of the table of registry ID numbers.</t>
  </si>
  <si>
    <t>Enter the registry ID number on row 360 of the table of registry ID numbers.</t>
  </si>
  <si>
    <t>Enter the registry ID number on row 361 of the table of registry ID numbers.</t>
  </si>
  <si>
    <t>Enter the registry ID number on row 362 of the table of registry ID numbers.</t>
  </si>
  <si>
    <t>Enter the registry ID number on row 363 of the table of registry ID numbers.</t>
  </si>
  <si>
    <t>Enter the registry ID number on row 364 of the table of registry ID numbers.</t>
  </si>
  <si>
    <t>Enter the registry ID number on row 365 of the table of registry ID numbers.</t>
  </si>
  <si>
    <t>Enter the registry ID number on row 366 of the table of registry ID numbers.</t>
  </si>
  <si>
    <t>Enter the registry ID number on row 367 of the table of registry ID numbers.</t>
  </si>
  <si>
    <t>Enter the registry ID number on row 368 of the table of registry ID numbers.</t>
  </si>
  <si>
    <t>Enter the registry ID number on row 369 of the table of registry ID numbers.</t>
  </si>
  <si>
    <t>Enter the registry ID number on row 370 of the table of registry ID numbers.</t>
  </si>
  <si>
    <t>Enter the registry ID number on row 371 of the table of registry ID numbers.</t>
  </si>
  <si>
    <t>Enter the registry ID number on row 372 of the table of registry ID numbers.</t>
  </si>
  <si>
    <t>Enter the registry ID number on row 373 of the table of registry ID numbers.</t>
  </si>
  <si>
    <t>Enter the registry ID number on row 374 of the table of registry ID numbers.</t>
  </si>
  <si>
    <t>Enter the registry ID number on row 375 of the table of registry ID numbers.</t>
  </si>
  <si>
    <t>Enter the registry ID number on row 376 of the table of registry ID numbers.</t>
  </si>
  <si>
    <t>Enter the registry ID number on row 377 of the table of registry ID numbers.</t>
  </si>
  <si>
    <t>Enter the registry ID number on row 378 of the table of registry ID numbers.</t>
  </si>
  <si>
    <t>Enter the registry ID number on row 379 of the table of registry ID numbers.</t>
  </si>
  <si>
    <t>Enter the registry ID number on row 380 of the table of registry ID numbers.</t>
  </si>
  <si>
    <t>Enter the registry ID number on row 381 of the table of registry ID numbers.</t>
  </si>
  <si>
    <t>Enter the registry ID number on row 382 of the table of registry ID numbers.</t>
  </si>
  <si>
    <t>Enter the registry ID number on row 383 of the table of registry ID numbers.</t>
  </si>
  <si>
    <t>Enter the registry ID number on row 384 of the table of registry ID numbers.</t>
  </si>
  <si>
    <t>Enter the registry ID number on row 385 of the table of registry ID numbers.</t>
  </si>
  <si>
    <t>Enter the registry ID number on row 386 of the table of registry ID numbers.</t>
  </si>
  <si>
    <t>Enter the registry ID number on row 387 of the table of registry ID numbers.</t>
  </si>
  <si>
    <t>Enter the registry ID number on row 388 of the table of registry ID numbers.</t>
  </si>
  <si>
    <t>Enter the registry ID number on row 389 of the table of registry ID numbers.</t>
  </si>
  <si>
    <t>Enter the registry ID number on row 390 of the table of registry ID numbers.</t>
  </si>
  <si>
    <t>Enter the registry ID number on row 391 of the table of registry ID numbers.</t>
  </si>
  <si>
    <t>Enter the registry ID number on row 392 of the table of registry ID numbers.</t>
  </si>
  <si>
    <t>Enter the registry ID number on row 393 of the table of registry ID numbers.</t>
  </si>
  <si>
    <t>Enter the registry ID number on row 394 of the table of registry ID numbers.</t>
  </si>
  <si>
    <t>Enter the registry ID number on row 395 of the table of registry ID numbers.</t>
  </si>
  <si>
    <t>Enter the registry ID number on row 396 of the table of registry ID numbers.</t>
  </si>
  <si>
    <t>Enter the registry ID number on row 397 of the table of registry ID numbers.</t>
  </si>
  <si>
    <t>Enter the registry ID number on row 398 of the table of registry ID numbers.</t>
  </si>
  <si>
    <t>Enter the registry ID number on row 399 of the table of registry ID numbers.</t>
  </si>
  <si>
    <t>Enter the registry ID number on row 400 of the table of registry ID numbers.</t>
  </si>
  <si>
    <t>Enter the registry ID number on row 401 of the table of registry ID numbers.</t>
  </si>
  <si>
    <t>Enter the registry ID number on row 402 of the table of registry ID numbers.</t>
  </si>
  <si>
    <t>Enter the registry ID number on row 403 of the table of registry ID numbers.</t>
  </si>
  <si>
    <t>Enter the registry ID number on row 404 of the table of registry ID numbers.</t>
  </si>
  <si>
    <t>Enter the registry ID number on row 405 of the table of registry ID numbers.</t>
  </si>
  <si>
    <t>Enter the registry ID number on row 406 of the table of registry ID numbers.</t>
  </si>
  <si>
    <t>Enter the registry ID number on row 407 of the table of registry ID numbers.</t>
  </si>
  <si>
    <t>Enter the registry ID number on row 408 of the table of registry ID numbers.</t>
  </si>
  <si>
    <t>Enter the registry ID number on row 409 of the table of registry ID numbers.</t>
  </si>
  <si>
    <t>Enter the registry ID number on row 410 of the table of registry ID numbers.</t>
  </si>
  <si>
    <t>Enter the registry ID number on row 411 of the table of registry ID numbers.</t>
  </si>
  <si>
    <t>Enter the registry ID number on row 412 of the table of registry ID numbers.</t>
  </si>
  <si>
    <t>Enter the registry ID number on row 413 of the table of registry ID numbers.</t>
  </si>
  <si>
    <t>Enter the registry ID number on row 414 of the table of registry ID numbers.</t>
  </si>
  <si>
    <t>Enter the registry ID number on row 415 of the table of registry ID numbers.</t>
  </si>
  <si>
    <t>Enter the registry ID number on row 416 of the table of registry ID numbers.</t>
  </si>
  <si>
    <t>Enter the registry ID number on row 417 of the table of registry ID numbers.</t>
  </si>
  <si>
    <t>Enter the registry ID number on row 418 of the table of registry ID numbers.</t>
  </si>
  <si>
    <t>Enter the registry ID number on row 419 of the table of registry ID numbers.</t>
  </si>
  <si>
    <t>Enter the registry ID number on row 420 of the table of registry ID numbers.</t>
  </si>
  <si>
    <t>Enter the registry ID number on row 421 of the table of registry ID numbers.</t>
  </si>
  <si>
    <t>Enter the registry ID number on row 422 of the table of registry ID numbers.</t>
  </si>
  <si>
    <t>Enter the registry ID number on row 423 of the table of registry ID numbers.</t>
  </si>
  <si>
    <t>Enter the registry ID number on row 424 of the table of registry ID numbers.</t>
  </si>
  <si>
    <t>Enter the registry ID number on row 425 of the table of registry ID numbers.</t>
  </si>
  <si>
    <t>Enter the registry ID number on row 426 of the table of registry ID numbers.</t>
  </si>
  <si>
    <t>Enter the registry ID number on row 427 of the table of registry ID numbers.</t>
  </si>
  <si>
    <t>Enter the registry ID number on row 428 of the table of registry ID numbers.</t>
  </si>
  <si>
    <t>Enter the registry ID number on row 429 of the table of registry ID numbers.</t>
  </si>
  <si>
    <t>Enter the registry ID number on row 430 of the table of registry ID numbers.</t>
  </si>
  <si>
    <t>Enter the registry ID number on row 431 of the table of registry ID numbers.</t>
  </si>
  <si>
    <t>Enter the registry ID number on row 432 of the table of registry ID numbers.</t>
  </si>
  <si>
    <t>Enter the registry ID number on row 433 of the table of registry ID numbers.</t>
  </si>
  <si>
    <t>Enter the registry ID number on row 434 of the table of registry ID numbers.</t>
  </si>
  <si>
    <t>Enter the registry ID number on row 435 of the table of registry ID numbers.</t>
  </si>
  <si>
    <t>Enter the registry ID number on row 436 of the table of registry ID numbers.</t>
  </si>
  <si>
    <t>Enter the registry ID number on row 437 of the table of registry ID numbers.</t>
  </si>
  <si>
    <t>Enter the registry ID number on row 438 of the table of registry ID numbers.</t>
  </si>
  <si>
    <t>Enter the registry ID number on row 439 of the table of registry ID numbers.</t>
  </si>
  <si>
    <t>Enter the registry ID number on row 440 of the table of registry ID numbers.</t>
  </si>
  <si>
    <t>Enter the registry ID number on row 441 of the table of registry ID numbers.</t>
  </si>
  <si>
    <t>Enter the registry ID number on row 442 of the table of registry ID numbers.</t>
  </si>
  <si>
    <t>Enter the registry ID number on row 443 of the table of registry ID numbers.</t>
  </si>
  <si>
    <t>Enter the registry ID number on row 444 of the table of registry ID numbers.</t>
  </si>
  <si>
    <t>Enter the registry ID number on row 445 of the table of registry ID numbers.</t>
  </si>
  <si>
    <t>Enter the registry ID number on row 446 of the table of registry ID numbers.</t>
  </si>
  <si>
    <t>Enter the registry ID number on row 447 of the table of registry ID numbers.</t>
  </si>
  <si>
    <t>Enter the registry ID number on row 448 of the table of registry ID numbers.</t>
  </si>
  <si>
    <t>Enter the registry ID number on row 449 of the table of registry ID numbers.</t>
  </si>
  <si>
    <t>Enter the registry ID number on row 450 of the table of registry ID numbers.</t>
  </si>
  <si>
    <t>Enter the registry ID number on row 451 of the table of registry ID numbers.</t>
  </si>
  <si>
    <t>Enter the registry ID number on row 452 of the table of registry ID numbers.</t>
  </si>
  <si>
    <t>Enter the registry ID number on row 453 of the table of registry ID numbers.</t>
  </si>
  <si>
    <t>Enter the registry ID number on row 454 of the table of registry ID numbers.</t>
  </si>
  <si>
    <t>Enter the registry ID number on row 455 of the table of registry ID numbers.</t>
  </si>
  <si>
    <t>Enter the registry ID number on row 456 of the table of registry ID numbers.</t>
  </si>
  <si>
    <t>Enter the registry ID number on row 457 of the table of registry ID numbers.</t>
  </si>
  <si>
    <t>Enter the registry ID number on row 458 of the table of registry ID numbers.</t>
  </si>
  <si>
    <t>Enter the registry ID number on row 459 of the table of registry ID numbers.</t>
  </si>
  <si>
    <t>Enter the registry ID number on row 460 of the table of registry ID numbers.</t>
  </si>
  <si>
    <t>Enter the registry ID number on row 461 of the table of registry ID numbers.</t>
  </si>
  <si>
    <t>Enter the registry ID number on row 462 of the table of registry ID numbers.</t>
  </si>
  <si>
    <t>Enter the registry ID number on row 463 of the table of registry ID numbers.</t>
  </si>
  <si>
    <t>Enter the registry ID number on row 464 of the table of registry ID numbers.</t>
  </si>
  <si>
    <t>Enter the registry ID number on row 465 of the table of registry ID numbers.</t>
  </si>
  <si>
    <t>Enter the registry ID number on row 466 of the table of registry ID numbers.</t>
  </si>
  <si>
    <t>Enter the registry ID number on row 467 of the table of registry ID numbers.</t>
  </si>
  <si>
    <t>Enter the registry ID number on row 468 of the table of registry ID numbers.</t>
  </si>
  <si>
    <t>Enter the registry ID number on row 469 of the table of registry ID numbers.</t>
  </si>
  <si>
    <t>Enter the registry ID number on row 470 of the table of registry ID numbers.</t>
  </si>
  <si>
    <t>Enter the registry ID number on row 471 of the table of registry ID numbers.</t>
  </si>
  <si>
    <t>Enter the registry ID number on row 472 of the table of registry ID numbers.</t>
  </si>
  <si>
    <t>Enter the registry ID number on row 473 of the table of registry ID numbers.</t>
  </si>
  <si>
    <t>Enter the registry ID number on row 474 of the table of registry ID numbers.</t>
  </si>
  <si>
    <t>Enter the registry ID number on row 475 of the table of registry ID numbers.</t>
  </si>
  <si>
    <t>Enter the registry ID number on row 476 of the table of registry ID numbers.</t>
  </si>
  <si>
    <t>Enter the registry ID number on row 477 of the table of registry ID numbers.</t>
  </si>
  <si>
    <t>Enter the registry ID number on row 478 of the table of registry ID numbers.</t>
  </si>
  <si>
    <t>Enter the registry ID number on row 479 of the table of registry ID numbers.</t>
  </si>
  <si>
    <t>Enter the registry ID number on row 480 of the table of registry ID numbers.</t>
  </si>
  <si>
    <t>Enter the registry ID number on row 481 of the table of registry ID numbers.</t>
  </si>
  <si>
    <t>Enter the registry ID number on row 482 of the table of registry ID numbers.</t>
  </si>
  <si>
    <t>Enter the registry ID number on row 483 of the table of registry ID numbers.</t>
  </si>
  <si>
    <t>Enter the registry ID number on row 484 of the table of registry ID numbers.</t>
  </si>
  <si>
    <t>Enter the registry ID number on row 485 of the table of registry ID numbers.</t>
  </si>
  <si>
    <t>Enter the registry ID number on row 486 of the table of registry ID numbers.</t>
  </si>
  <si>
    <t>Enter the registry ID number on row 487 of the table of registry ID numbers.</t>
  </si>
  <si>
    <t>Enter the registry ID number on row 488 of the table of registry ID numbers.</t>
  </si>
  <si>
    <t>Enter the registry ID number on row 489 of the table of registry ID numbers.</t>
  </si>
  <si>
    <t>Enter the registry ID number on row 490 of the table of registry ID numbers.</t>
  </si>
  <si>
    <t>Enter the registry ID number on row 491 of the table of registry ID numbers.</t>
  </si>
  <si>
    <t>Enter the registry ID number on row 492 of the table of registry ID numbers.</t>
  </si>
  <si>
    <t>Enter the registry ID number on row 493 of the table of registry ID numbers.</t>
  </si>
  <si>
    <t>Enter the registry ID number on row 494 of the table of registry ID numbers.</t>
  </si>
  <si>
    <t>Enter the registry ID number on row 495 of the table of registry ID numbers.</t>
  </si>
  <si>
    <t>Enter the registry ID number on row 496 of the table of registry ID numbers.</t>
  </si>
  <si>
    <t>Enter the registry ID number on row 497 of the table of registry ID numbers.</t>
  </si>
  <si>
    <t>Enter the registry ID number on row 498 of the table of registry ID numbers.</t>
  </si>
  <si>
    <t>Enter the registry ID number on row 499 of the table of registry ID numbers.</t>
  </si>
  <si>
    <t>Enter the registry ID number on row 500 of the table of registry ID numbers.</t>
  </si>
  <si>
    <t>Enter the name of the authorized signing officer.</t>
  </si>
  <si>
    <t>Enter the date of signature.</t>
  </si>
  <si>
    <t>S.Gas.P</t>
  </si>
  <si>
    <t>A baseline emissions intensity must be established for each product produced at the facility.</t>
  </si>
  <si>
    <t>Baseline submissions are due six months from the date of the registration approval letter for the facility.</t>
  </si>
  <si>
    <t>A simplified process flow diagram of the processes that produce regulated greenhouse gas emissions must be included with this submission. The diagram must be in PDF format.</t>
  </si>
  <si>
    <t>If the regulated facility contains electricity generating units, a simplified process flow diagram of each distinct unit must be included with this submission. The diagrams must be in PDF format.</t>
  </si>
  <si>
    <t>Commercial product</t>
  </si>
  <si>
    <t>Agricultural and industrial equipment manufacturing</t>
  </si>
  <si>
    <t>Chemical manufacturing</t>
  </si>
  <si>
    <t>Ethanol manufacturing</t>
  </si>
  <si>
    <t>Fertilizer manufacturing</t>
  </si>
  <si>
    <t>Food and beverage processing</t>
  </si>
  <si>
    <t>Grain and oilseed processing</t>
  </si>
  <si>
    <t>Iron and steel mills</t>
  </si>
  <si>
    <t>Mineral product manufacturing</t>
  </si>
  <si>
    <t>Mining</t>
  </si>
  <si>
    <t>Pulp mills</t>
  </si>
  <si>
    <t>Wood product manufacturing</t>
  </si>
  <si>
    <t>Natural gas transmission pipelines</t>
  </si>
  <si>
    <t>Refining and upgrading of petroleum</t>
  </si>
  <si>
    <t>Upstream oil and gas</t>
  </si>
  <si>
    <t>Other sectors</t>
  </si>
  <si>
    <t>Carbon dioxide emissions from the combustion of biomass must be excluded from the emissions reported on the Production Data tab. Methane and nitrous oxide emissions associated with the waste heat from the combustion of biomass must be included in the stationary fuel combustion emissions reported on the Production Data tab.</t>
  </si>
  <si>
    <t>Biomass</t>
  </si>
  <si>
    <t>Electricity</t>
  </si>
  <si>
    <t>Gas-to-power</t>
  </si>
  <si>
    <r>
      <t xml:space="preserve">Baseline Form for Regulated Emitters Subject to </t>
    </r>
    <r>
      <rPr>
        <b/>
        <i/>
        <sz val="18"/>
        <color rgb="FFFFFFFF"/>
        <rFont val="Calibri"/>
        <family val="2"/>
        <scheme val="minor"/>
      </rPr>
      <t xml:space="preserve">
The Industrial Facility Standard</t>
    </r>
  </si>
  <si>
    <r>
      <t xml:space="preserve">This form is for industrial facilities registered under </t>
    </r>
    <r>
      <rPr>
        <i/>
        <sz val="11"/>
        <color rgb="FF000000"/>
        <rFont val="Calibri"/>
        <family val="2"/>
        <scheme val="minor"/>
      </rPr>
      <t>The Industrial Facility Standard.</t>
    </r>
  </si>
  <si>
    <r>
      <t xml:space="preserve">Refer to </t>
    </r>
    <r>
      <rPr>
        <b/>
        <i/>
        <sz val="11"/>
        <color rgb="FF000000"/>
        <rFont val="Calibri"/>
        <family val="2"/>
        <scheme val="minor"/>
      </rPr>
      <t>The Industrial Facility Standard</t>
    </r>
    <r>
      <rPr>
        <b/>
        <sz val="11"/>
        <color rgb="FF000000"/>
        <rFont val="Calibri"/>
        <family val="2"/>
        <scheme val="minor"/>
      </rPr>
      <t xml:space="preserve"> for more information regarding the terms and calculations shown below.</t>
    </r>
  </si>
  <si>
    <t>S.Electricity.P1C1</t>
  </si>
  <si>
    <t>S.Electricity.P1C2</t>
  </si>
  <si>
    <t>S.Electricity.P1C3</t>
  </si>
  <si>
    <t>S.Electricity.P1C4</t>
  </si>
  <si>
    <t>S.Electricity.P1C5</t>
  </si>
  <si>
    <t>S.Electricity.P1C6</t>
  </si>
  <si>
    <t>S.Electricity.P1C7</t>
  </si>
  <si>
    <t>S.Electricity.P1C8</t>
  </si>
  <si>
    <t>S.Electricity.P1C9</t>
  </si>
  <si>
    <t>S.Electricity.P2C1</t>
  </si>
  <si>
    <t>S.Electricity.P2C2</t>
  </si>
  <si>
    <t>S.Electricity.P2C3</t>
  </si>
  <si>
    <t>S.Electricity.P2C4</t>
  </si>
  <si>
    <t>S.Electricity.P2C5</t>
  </si>
  <si>
    <t>S.Electricity.P2C6</t>
  </si>
  <si>
    <t>S.Electricity.P2C7</t>
  </si>
  <si>
    <t>S.Electricity.P2C8</t>
  </si>
  <si>
    <t>S.Electricity.P2C9</t>
  </si>
  <si>
    <t>S.Electricity.P3C1</t>
  </si>
  <si>
    <t>S.Electricity.P3C2</t>
  </si>
  <si>
    <t>S.Electricity.P3C3</t>
  </si>
  <si>
    <t>S.Electricity.P3C4</t>
  </si>
  <si>
    <t>S.Electricity.P3C5</t>
  </si>
  <si>
    <t>S.Electricity.P3C6</t>
  </si>
  <si>
    <t>S.Electricity.P3C7</t>
  </si>
  <si>
    <t>S.Electricity.P3C8</t>
  </si>
  <si>
    <t>S.Electricity.P3C9</t>
  </si>
  <si>
    <t>S.Electricity.P4C1</t>
  </si>
  <si>
    <t>S.Electricity.P4C2</t>
  </si>
  <si>
    <t>S.Electricity.P4C3</t>
  </si>
  <si>
    <t>S.Electricity.P4C4</t>
  </si>
  <si>
    <t>S.Electricity.P4C5</t>
  </si>
  <si>
    <t>S.Electricity.P4C6</t>
  </si>
  <si>
    <t>S.Electricity.P4C7</t>
  </si>
  <si>
    <t>S.Electricity.P4C8</t>
  </si>
  <si>
    <t>S.Electricity.P4C9</t>
  </si>
  <si>
    <t>S.Electricity.P5C1</t>
  </si>
  <si>
    <t>S.Electricity.P5C2</t>
  </si>
  <si>
    <t>S.Electricity.P5C3</t>
  </si>
  <si>
    <t>S.Electricity.P5C4</t>
  </si>
  <si>
    <t>S.Electricity.P5C5</t>
  </si>
  <si>
    <t>S.Electricity.P5C6</t>
  </si>
  <si>
    <t>S.Electricity.P5C7</t>
  </si>
  <si>
    <t>S.Electricity.P5C8</t>
  </si>
  <si>
    <t>S.Electricity.P5C9</t>
  </si>
  <si>
    <t>I.Electricity.P1Y1C1</t>
  </si>
  <si>
    <t>I.Electricity.P1Y2C1</t>
  </si>
  <si>
    <t>I.Electricity.P1Y3C1</t>
  </si>
  <si>
    <t>I.Electricity.P1Y1C2</t>
  </si>
  <si>
    <t>I.Electricity.P1Y2C2</t>
  </si>
  <si>
    <t>I.Electricity.P1Y3C2</t>
  </si>
  <si>
    <t>I.Electricity.P1Y1C3</t>
  </si>
  <si>
    <t>I.Electricity.P1Y2C3</t>
  </si>
  <si>
    <t>I.Electricity.P1Y3C3</t>
  </si>
  <si>
    <t>I.Electricity.P1Y1C4</t>
  </si>
  <si>
    <t>I.Electricity.P1Y2C4</t>
  </si>
  <si>
    <t>I.Electricity.P1Y3C4</t>
  </si>
  <si>
    <t>I.Electricity.P1Y1C5</t>
  </si>
  <si>
    <t>I.Electricity.P1Y2C5</t>
  </si>
  <si>
    <t>I.Electricity.P1Y3C5</t>
  </si>
  <si>
    <t>I.Electricity.P1Y1C6</t>
  </si>
  <si>
    <t>I.Electricity.P1Y2C6</t>
  </si>
  <si>
    <t>I.Electricity.P1Y3C6</t>
  </si>
  <si>
    <t>I.Electricity.P1Y1C7</t>
  </si>
  <si>
    <t>I.Electricity.P1Y2C7</t>
  </si>
  <si>
    <t>I.Electricity.P1Y3C7</t>
  </si>
  <si>
    <t>I.Electricity.P1Y1C8</t>
  </si>
  <si>
    <t>I.Electricity.P1Y2C8</t>
  </si>
  <si>
    <t>I.Electricity.P1Y3C8</t>
  </si>
  <si>
    <t>I.Electricity.P1Y1C9</t>
  </si>
  <si>
    <t>I.Electricity.P1Y2C9</t>
  </si>
  <si>
    <t>I.Electricity.P1Y3C9</t>
  </si>
  <si>
    <t>I.Electricity.P2Y1C1</t>
  </si>
  <si>
    <t>I.Electricity.P2Y2C1</t>
  </si>
  <si>
    <t>I.Electricity.P2Y3C1</t>
  </si>
  <si>
    <t>I.Electricity.P2Y1C2</t>
  </si>
  <si>
    <t>I.Electricity.P2Y2C2</t>
  </si>
  <si>
    <t>I.Electricity.P2Y3C2</t>
  </si>
  <si>
    <t>I.Electricity.P2Y1C3</t>
  </si>
  <si>
    <t>I.Electricity.P2Y2C3</t>
  </si>
  <si>
    <t>I.Electricity.P2Y3C3</t>
  </si>
  <si>
    <t>I.Electricity.P2Y1C4</t>
  </si>
  <si>
    <t>I.Electricity.P2Y2C4</t>
  </si>
  <si>
    <t>I.Electricity.P2Y3C4</t>
  </si>
  <si>
    <t>I.Electricity.P2Y1C5</t>
  </si>
  <si>
    <t>I.Electricity.P2Y2C5</t>
  </si>
  <si>
    <t>I.Electricity.P2Y3C5</t>
  </si>
  <si>
    <t>I.Electricity.P2Y1C6</t>
  </si>
  <si>
    <t>I.Electricity.P2Y2C6</t>
  </si>
  <si>
    <t>I.Electricity.P2Y3C6</t>
  </si>
  <si>
    <t>I.Electricity.P2Y1C7</t>
  </si>
  <si>
    <t>I.Electricity.P2Y2C7</t>
  </si>
  <si>
    <t>I.Electricity.P2Y3C7</t>
  </si>
  <si>
    <t>I.Electricity.P2Y1C8</t>
  </si>
  <si>
    <t>I.Electricity.P2Y2C8</t>
  </si>
  <si>
    <t>I.Electricity.P2Y3C8</t>
  </si>
  <si>
    <t>I.Electricity.P2Y1C9</t>
  </si>
  <si>
    <t>I.Electricity.P2Y2C9</t>
  </si>
  <si>
    <t>I.Electricity.P2Y3C9</t>
  </si>
  <si>
    <t>I.Electricity.P3Y1C1</t>
  </si>
  <si>
    <t>I.Electricity.P3Y2C1</t>
  </si>
  <si>
    <t>I.Electricity.P3Y3C1</t>
  </si>
  <si>
    <t>I.Electricity.P3Y1C2</t>
  </si>
  <si>
    <t>I.Electricity.P3Y2C2</t>
  </si>
  <si>
    <t>I.Electricity.P3Y3C2</t>
  </si>
  <si>
    <t>I.Electricity.P3Y1C3</t>
  </si>
  <si>
    <t>I.Electricity.P3Y2C3</t>
  </si>
  <si>
    <t>I.Electricity.P3Y3C3</t>
  </si>
  <si>
    <t>I.Electricity.P3Y1C4</t>
  </si>
  <si>
    <t>I.Electricity.P3Y2C4</t>
  </si>
  <si>
    <t>I.Electricity.P3Y3C4</t>
  </si>
  <si>
    <t>I.Electricity.P3Y1C5</t>
  </si>
  <si>
    <t>I.Electricity.P3Y2C5</t>
  </si>
  <si>
    <t>I.Electricity.P3Y3C5</t>
  </si>
  <si>
    <t>I.Electricity.P3Y1C6</t>
  </si>
  <si>
    <t>I.Electricity.P3Y2C6</t>
  </si>
  <si>
    <t>I.Electricity.P3Y3C6</t>
  </si>
  <si>
    <t>I.Electricity.P3Y1C7</t>
  </si>
  <si>
    <t>I.Electricity.P3Y2C7</t>
  </si>
  <si>
    <t>I.Electricity.P3Y3C7</t>
  </si>
  <si>
    <t>I.Electricity.P3Y1C8</t>
  </si>
  <si>
    <t>I.Electricity.P3Y2C8</t>
  </si>
  <si>
    <t>I.Electricity.P3Y3C8</t>
  </si>
  <si>
    <t>I.Electricity.P3Y1C9</t>
  </si>
  <si>
    <t>I.Electricity.P3Y2C9</t>
  </si>
  <si>
    <t>I.Electricity.P3Y3C9</t>
  </si>
  <si>
    <t>I.Electricity.P4Y1C1</t>
  </si>
  <si>
    <t>I.Electricity.P4Y2C1</t>
  </si>
  <si>
    <t>I.Electricity.P4Y3C1</t>
  </si>
  <si>
    <t>I.Electricity.P4Y1C2</t>
  </si>
  <si>
    <t>I.Electricity.P4Y2C2</t>
  </si>
  <si>
    <t>I.Electricity.P4Y3C2</t>
  </si>
  <si>
    <t>I.Electricity.P4Y1C3</t>
  </si>
  <si>
    <t>I.Electricity.P4Y2C3</t>
  </si>
  <si>
    <t>I.Electricity.P4Y3C3</t>
  </si>
  <si>
    <t>I.Electricity.P4Y1C4</t>
  </si>
  <si>
    <t>I.Electricity.P4Y2C4</t>
  </si>
  <si>
    <t>I.Electricity.P4Y3C4</t>
  </si>
  <si>
    <t>I.Electricity.P4Y1C5</t>
  </si>
  <si>
    <t>I.Electricity.P4Y2C5</t>
  </si>
  <si>
    <t>I.Electricity.P4Y3C5</t>
  </si>
  <si>
    <t>I.Electricity.P4Y1C6</t>
  </si>
  <si>
    <t>I.Electricity.P4Y2C6</t>
  </si>
  <si>
    <t>I.Electricity.P4Y3C6</t>
  </si>
  <si>
    <t>I.Electricity.P4Y1C7</t>
  </si>
  <si>
    <t>I.Electricity.P4Y2C7</t>
  </si>
  <si>
    <t>I.Electricity.P4Y3C7</t>
  </si>
  <si>
    <t>I.Electricity.P4Y1C8</t>
  </si>
  <si>
    <t>I.Electricity.P4Y2C8</t>
  </si>
  <si>
    <t>I.Electricity.P4Y3C8</t>
  </si>
  <si>
    <t>I.Electricity.P4Y1C9</t>
  </si>
  <si>
    <t>I.Electricity.P4Y2C9</t>
  </si>
  <si>
    <t>I.Electricity.P4Y3C9</t>
  </si>
  <si>
    <t>I.Electricity.P5Y1C1</t>
  </si>
  <si>
    <t>I.Electricity.P5Y2C1</t>
  </si>
  <si>
    <t>I.Electricity.P5Y3C1</t>
  </si>
  <si>
    <t>I.Electricity.P5Y1C2</t>
  </si>
  <si>
    <t>I.Electricity.P5Y2C2</t>
  </si>
  <si>
    <t>I.Electricity.P5Y3C2</t>
  </si>
  <si>
    <t>I.Electricity.P5Y1C3</t>
  </si>
  <si>
    <t>I.Electricity.P5Y2C3</t>
  </si>
  <si>
    <t>I.Electricity.P5Y3C3</t>
  </si>
  <si>
    <t>I.Electricity.P5Y1C4</t>
  </si>
  <si>
    <t>I.Electricity.P5Y2C4</t>
  </si>
  <si>
    <t>I.Electricity.P5Y3C4</t>
  </si>
  <si>
    <t>I.Electricity.P5Y1C5</t>
  </si>
  <si>
    <t>I.Electricity.P5Y2C5</t>
  </si>
  <si>
    <t>I.Electricity.P5Y3C5</t>
  </si>
  <si>
    <t>I.Electricity.P5Y1C6</t>
  </si>
  <si>
    <t>I.Electricity.P5Y2C6</t>
  </si>
  <si>
    <t>I.Electricity.P5Y3C6</t>
  </si>
  <si>
    <t>I.Electricity.P5Y1C7</t>
  </si>
  <si>
    <t>I.Electricity.P5Y2C7</t>
  </si>
  <si>
    <t>I.Electricity.P5Y3C7</t>
  </si>
  <si>
    <t>I.Electricity.P5Y1C8</t>
  </si>
  <si>
    <t>I.Electricity.P5Y2C8</t>
  </si>
  <si>
    <t>I.Electricity.P5Y3C8</t>
  </si>
  <si>
    <t>I.Electricity.P5Y1C9</t>
  </si>
  <si>
    <t>I.Electricity.P5Y2C9</t>
  </si>
  <si>
    <t>I.Electricity.P5Y3C9</t>
  </si>
  <si>
    <t>Number of individual facilities in the registry associated with this facility, including both active and suspended facilities</t>
  </si>
  <si>
    <t>Registry ID number for each individual facility in the registry associated with this facility</t>
  </si>
  <si>
    <t>Select the source categories that produced direct emissions for this product.</t>
  </si>
  <si>
    <t>I.Facility.FacilityCount</t>
  </si>
  <si>
    <t>Enter the number of individual facilities in the registry associated with the facility.</t>
  </si>
  <si>
    <t>S.Developer.LastEntry</t>
  </si>
  <si>
    <t>Enter the name of product 1.</t>
  </si>
  <si>
    <t>Select the sector that applies to product 1.</t>
  </si>
  <si>
    <t>It was indicated on the Facility Information tab that the facility does not produce products in the upstream oil and gas sector. Review the sector that applies to product 1.</t>
  </si>
  <si>
    <t>Enter the sector that applies to product 1.</t>
  </si>
  <si>
    <t>Select the first baseline year for product 1.</t>
  </si>
  <si>
    <t>Enter the name of product 2.</t>
  </si>
  <si>
    <t>Select the sector that applies to product 2.</t>
  </si>
  <si>
    <t>It was indicated on the Facility Information tab that the facility does not produce products in the upstream oil and gas sector. Review the sector that applies to product 2.</t>
  </si>
  <si>
    <t>Enter the sector that applies to product 2.</t>
  </si>
  <si>
    <t>Select the first baseline year for product 2.</t>
  </si>
  <si>
    <t>Enter the name of product 3.</t>
  </si>
  <si>
    <t>Select the sector that applies to product 3.</t>
  </si>
  <si>
    <t>It was indicated on the Facility Information tab that the facility does not produce products in the upstream oil and gas sector. Review the sector that applies to product 3.</t>
  </si>
  <si>
    <t>Enter the sector that applies to product 3.</t>
  </si>
  <si>
    <t>Select the first baseline year for product 3.</t>
  </si>
  <si>
    <t>Enter the name of product 4.</t>
  </si>
  <si>
    <t>Select the sector that applies to product 4.</t>
  </si>
  <si>
    <t>It was indicated on the Facility Information tab that the facility does not produce products in the upstream oil and gas sector. Review the sector that applies to product 4.</t>
  </si>
  <si>
    <t>Enter the sector that applies to product 4.</t>
  </si>
  <si>
    <t>Select the first baseline year for product 4.</t>
  </si>
  <si>
    <t>Enter the name of product 5.</t>
  </si>
  <si>
    <t>Select the sector that applies to product 5.</t>
  </si>
  <si>
    <t>It was indicated on the Facility Information tab that the facility does not produce products in the upstream oil and gas sector. Review the sector that applies to product 5.</t>
  </si>
  <si>
    <t>Enter the sector that applies to product 5.</t>
  </si>
  <si>
    <t>Select the first baseline year for product 5.</t>
  </si>
  <si>
    <t>Enter the production units for product 1.</t>
  </si>
  <si>
    <t>Enter the carbon dioxide emissions in the stationary fuel combustion source category for product 1 in baseline year 1.</t>
  </si>
  <si>
    <t>Enter the methane emissions in the stationary fuel combustion source category for product 1 in baseline year 1.</t>
  </si>
  <si>
    <t>Enter the nitrous oxide emissions in the stationary fuel combustion source category for product 1 in baseline year 1.</t>
  </si>
  <si>
    <t>Enter the carbon dioxide emissions in the stationary fuel combustion source category for product 1 in baseline year 2.</t>
  </si>
  <si>
    <t>Enter the methane emissions in the stationary fuel combustion source category for product 1 in baseline year 2.</t>
  </si>
  <si>
    <t>Enter the nitrous oxide emissions in the stationary fuel combustion source category for product 1 in baseline year 2.</t>
  </si>
  <si>
    <t>Enter the carbon dioxide emissions in the stationary fuel combustion source category for product 1 in baseline year 3.</t>
  </si>
  <si>
    <t>Enter the methane emissions in the stationary fuel combustion source category for product 1 in baseline year 3.</t>
  </si>
  <si>
    <t>Enter the nitrous oxide emissions in the stationary fuel combustion source category for product 1 in baseline year 3.</t>
  </si>
  <si>
    <t>Enter the carbon dioxide emissions in the industrial process source category for product 1 in baseline year 1.</t>
  </si>
  <si>
    <t>Enter the methane emissions in the industrial process source category for product 1 in baseline year 1.</t>
  </si>
  <si>
    <t>Enter the nitrous oxide emissions in the industrial process source category for product 1 in baseline year 1.</t>
  </si>
  <si>
    <t>Enter the sulphur hexafluoride emissions in the industrial process source category for product 1 in baseline year 1.</t>
  </si>
  <si>
    <t>Enter the perfluoromethane emissions in the industrial process source category for product 1 in baseline year 1.</t>
  </si>
  <si>
    <t>Enter the perfluoroethane emissions in the industrial process source category for product 1 in baseline year 1.</t>
  </si>
  <si>
    <t>Enter the perfluoropropane emissions in the industrial process source category for product 1 in baseline year 1.</t>
  </si>
  <si>
    <t>Enter the perfluorobutane emissions in the industrial process source category for product 1 in baseline year 1.</t>
  </si>
  <si>
    <t>Enter the perfluorocyclobutane emissions in the industrial process source category for product 1 in baseline year 1.</t>
  </si>
  <si>
    <t>Enter the perfluoropentane emissions in the industrial process source category for product 1 in baseline year 1.</t>
  </si>
  <si>
    <t>Enter the perfluorohexane emissions in the industrial process source category for product 1 in baseline year 1.</t>
  </si>
  <si>
    <t>Enter the HFC-23 emissions in the industrial process source category for product 1 in baseline year 1.</t>
  </si>
  <si>
    <t>Enter the HFC-32 emissions in the industrial process source category for product 1 in baseline year 1.</t>
  </si>
  <si>
    <t>Enter the HFC-41 emissions in the industrial process source category for product 1 in baseline year 1.</t>
  </si>
  <si>
    <t>Enter the HFC-43-10mee emissions in the industrial process source category for product 1 in baseline year 1.</t>
  </si>
  <si>
    <t>Enter the HFC-125 emissions in the industrial process source category for product 1 in baseline year 1.</t>
  </si>
  <si>
    <t>Enter the HFC-134 emissions in the industrial process source category for product 1 in baseline year 1.</t>
  </si>
  <si>
    <t>Enter the HFC-134a emissions in the industrial process source category for product 1 in baseline year 1.</t>
  </si>
  <si>
    <t>Enter the HFC-143 emissions in the industrial process source category for product 1 in baseline year 1.</t>
  </si>
  <si>
    <t>Enter the HFC-143a emissions in the industrial process source category for product 1 in baseline year 1.</t>
  </si>
  <si>
    <t>Enter the HFC-152a emissions in the industrial process source category for product 1 in baseline year 1.</t>
  </si>
  <si>
    <t>Enter the HFC-227ea emissions in the industrial process source category for product 1 in baseline year 1.</t>
  </si>
  <si>
    <t>Enter the HFC-236fa emissions in the industrial process source category for product 1 in baseline year 1.</t>
  </si>
  <si>
    <t>Enter the HFC-245ca emissions in the industrial process source category for product 1 in baseline year 1.</t>
  </si>
  <si>
    <t>Enter the carbon dioxide emissions in the industrial process source category for product 1 in baseline year 2.</t>
  </si>
  <si>
    <t>Enter the methane emissions in the industrial process source category for product 1 in baseline year 2.</t>
  </si>
  <si>
    <t>Enter the nitrous oxide emissions in the industrial process source category for product 1 in baseline year 2.</t>
  </si>
  <si>
    <t>Enter the sulphur hexafluoride emissions in the industrial process source category for product 1 in baseline year 2.</t>
  </si>
  <si>
    <t>Enter the perfluoromethane emissions in the industrial process source category for product 1 in baseline year 2.</t>
  </si>
  <si>
    <t>Enter the perfluoroethane emissions in the industrial process source category for product 1 in baseline year 2.</t>
  </si>
  <si>
    <t>Enter the perfluoropropane emissions in the industrial process source category for product 1 in baseline year 2.</t>
  </si>
  <si>
    <t>Enter the perfluorobutane emissions in the industrial process source category for product 1 in baseline year 2.</t>
  </si>
  <si>
    <t>Enter the perfluorocyclobutane emissions in the industrial process source category for product 1 in baseline year 2.</t>
  </si>
  <si>
    <t>Enter the perfluoropentane emissions in the industrial process source category for product 1 in baseline year 2.</t>
  </si>
  <si>
    <t>Enter the perfluorohexane emissions in the industrial process source category for product 1 in baseline year 2.</t>
  </si>
  <si>
    <t>Enter the HFC-23 emissions in the industrial process source category for product 1 in baseline year 2.</t>
  </si>
  <si>
    <t>Enter the HFC-32 emissions in the industrial process source category for product 1 in baseline year 2.</t>
  </si>
  <si>
    <t>Enter the HFC-41 emissions in the industrial process source category for product 1 in baseline year 2.</t>
  </si>
  <si>
    <t>Enter the HFC-43-10mee emissions in the industrial process source category for product 1 in baseline year 2.</t>
  </si>
  <si>
    <t>Enter the HFC-125 emissions in the industrial process source category for product 1 in baseline year 2.</t>
  </si>
  <si>
    <t>Enter the HFC-134 emissions in the industrial process source category for product 1 in baseline year 2.</t>
  </si>
  <si>
    <t>Enter the HFC-134a emissions in the industrial process source category for product 1 in baseline year 2.</t>
  </si>
  <si>
    <t>Enter the HFC-143 emissions in the industrial process source category for product 1 in baseline year 2.</t>
  </si>
  <si>
    <t>Enter the HFC-143a emissions in the industrial process source category for product 1 in baseline year 2.</t>
  </si>
  <si>
    <t>Enter the HFC-152a emissions in the industrial process source category for product 1 in baseline year 2.</t>
  </si>
  <si>
    <t>Enter the HFC-227ea emissions in the industrial process source category for product 1 in baseline year 2.</t>
  </si>
  <si>
    <t>Enter the HFC-236fa emissions in the industrial process source category for product 1 in baseline year 2.</t>
  </si>
  <si>
    <t>Enter the HFC-245ca emissions in the industrial process source category for product 1 in baseline year 2.</t>
  </si>
  <si>
    <t>Enter the carbon dioxide emissions in the industrial process source category for product 1 in baseline year 3.</t>
  </si>
  <si>
    <t>Enter the methane emissions in the industrial process source category for product 1 in baseline year 3.</t>
  </si>
  <si>
    <t>Enter the nitrous oxide emissions in the industrial process source category for product 1 in baseline year 3.</t>
  </si>
  <si>
    <t>Enter the sulphur hexafluoride emissions in the industrial process source category for product 1 in baseline year 3.</t>
  </si>
  <si>
    <t>Enter the perfluoromethane emissions in the industrial process source category for product 1 in baseline year 3.</t>
  </si>
  <si>
    <t>Enter the perfluoroethane emissions in the industrial process source category for product 1 in baseline year 3.</t>
  </si>
  <si>
    <t>Enter the perfluoropropane emissions in the industrial process source category for product 1 in baseline year 3.</t>
  </si>
  <si>
    <t>Enter the perfluorobutane emissions in the industrial process source category for product 1 in baseline year 3.</t>
  </si>
  <si>
    <t>Enter the perfluorocyclobutane emissions in the industrial process source category for product 1 in baseline year 3.</t>
  </si>
  <si>
    <t>Enter the perfluoropentane emissions in the industrial process source category for product 1 in baseline year 3.</t>
  </si>
  <si>
    <t>Enter the perfluorohexane emissions in the industrial process source category for product 1 in baseline year 3.</t>
  </si>
  <si>
    <t>Enter the HFC-23 emissions in the industrial process source category for product 1 in baseline year 3.</t>
  </si>
  <si>
    <t>Enter the HFC-32 emissions in the industrial process source category for product 1 in baseline year 3.</t>
  </si>
  <si>
    <t>Enter the HFC-41 emissions in the industrial process source category for product 1 in baseline year 3.</t>
  </si>
  <si>
    <t>Enter the HFC-43-10mee emissions in the industrial process source category for product 1 in baseline year 3.</t>
  </si>
  <si>
    <t>Enter the HFC-125 emissions in the industrial process source category for product 1 in baseline year 3.</t>
  </si>
  <si>
    <t>Enter the HFC-134 emissions in the industrial process source category for product 1 in baseline year 3.</t>
  </si>
  <si>
    <t>Enter the HFC-134a emissions in the industrial process source category for product 1 in baseline year 3.</t>
  </si>
  <si>
    <t>Enter the HFC-143 emissions in the industrial process source category for product 1 in baseline year 3.</t>
  </si>
  <si>
    <t>Enter the HFC-143a emissions in the industrial process source category for product 1 in baseline year 3.</t>
  </si>
  <si>
    <t>Enter the HFC-152a emissions in the industrial process source category for product 1 in baseline year 3.</t>
  </si>
  <si>
    <t>Enter the HFC-227ea emissions in the industrial process source category for product 1 in baseline year 3.</t>
  </si>
  <si>
    <t>Enter the HFC-236fa emissions in the industrial process source category for product 1 in baseline year 3.</t>
  </si>
  <si>
    <t>Enter the HFC-245ca emissions in the industrial process source category for product 1 in baseline year 3.</t>
  </si>
  <si>
    <t>Enter the sulphur hexafluoride emissions in the industrial product use source category for product 1 in baseline year 1.</t>
  </si>
  <si>
    <t>Enter the perfluoromethane emissions in the industrial product use source category for product 1 in baseline year 1.</t>
  </si>
  <si>
    <t>Enter the perfluoroethane emissions in the industrial product use source category for product 1 in baseline year 1.</t>
  </si>
  <si>
    <t>Enter the perfluoropropane emissions in the industrial product use source category for product 1 in baseline year 1.</t>
  </si>
  <si>
    <t>Enter the perfluorobutane emissions in the industrial product use source category for product 1 in baseline year 1.</t>
  </si>
  <si>
    <t>Enter the perfluorocyclobutane emissions in the industrial product use source category for product 1 in baseline year 1.</t>
  </si>
  <si>
    <t>Enter the perfluoropentane emissions in the industrial product use source category for product 1 in baseline year 1.</t>
  </si>
  <si>
    <t>Enter the perfluorohexane emissions in the industrial product use source category for product 1 in baseline year 1.</t>
  </si>
  <si>
    <t>Enter the HFC-23 emissions in the industrial product use source category for product 1 in baseline year 1.</t>
  </si>
  <si>
    <t>Enter the HFC-32 emissions in the industrial product use source category for product 1 in baseline year 1.</t>
  </si>
  <si>
    <t>Enter the HFC-41 emissions in the industrial product use source category for product 1 in baseline year 1.</t>
  </si>
  <si>
    <t>Enter the HFC-43-10mee emissions in the industrial product use source category for product 1 in baseline year 1.</t>
  </si>
  <si>
    <t>Enter the HFC-125 emissions in the industrial product use source category for product 1 in baseline year 1.</t>
  </si>
  <si>
    <t>Enter the HFC-134 emissions in the industrial product use source category for product 1 in baseline year 1.</t>
  </si>
  <si>
    <t>Enter the HFC-134a emissions in the industrial product use source category for product 1 in baseline year 1.</t>
  </si>
  <si>
    <t>Enter the HFC-143 emissions in the industrial product use source category for product 1 in baseline year 1.</t>
  </si>
  <si>
    <t>Enter the HFC-143a emissions in the industrial product use source category for product 1 in baseline year 1.</t>
  </si>
  <si>
    <t>Enter the HFC-152a emissions in the industrial product use source category for product 1 in baseline year 1.</t>
  </si>
  <si>
    <t>Enter the HFC-227ea emissions in the industrial product use source category for product 1 in baseline year 1.</t>
  </si>
  <si>
    <t>Enter the HFC-236fa emissions in the industrial product use source category for product 1 in baseline year 1.</t>
  </si>
  <si>
    <t>Enter the HFC-245ca emissions in the industrial product use source category for product 1 in baseline year 1.</t>
  </si>
  <si>
    <t>Enter the sulphur hexafluoride emissions in the industrial product use source category for product 1 in baseline year 2.</t>
  </si>
  <si>
    <t>Enter the perfluoromethane emissions in the industrial product use source category for product 1 in baseline year 2.</t>
  </si>
  <si>
    <t>Enter the perfluoroethane emissions in the industrial product use source category for product 1 in baseline year 2.</t>
  </si>
  <si>
    <t>Enter the perfluoropropane emissions in the industrial product use source category for product 1 in baseline year 2.</t>
  </si>
  <si>
    <t>Enter the perfluorobutane emissions in the industrial product use source category for product 1 in baseline year 2.</t>
  </si>
  <si>
    <t>Enter the perfluorocyclobutane emissions in the industrial product use source category for product 1 in baseline year 2.</t>
  </si>
  <si>
    <t>Enter the perfluoropentane emissions in the industrial product use source category for product 1 in baseline year 2.</t>
  </si>
  <si>
    <t>Enter the perfluorohexane emissions in the industrial product use source category for product 1 in baseline year 2.</t>
  </si>
  <si>
    <t>Enter the HFC-23 emissions in the industrial product use source category for product 1 in baseline year 2.</t>
  </si>
  <si>
    <t>Enter the HFC-32 emissions in the industrial product use source category for product 1 in baseline year 2.</t>
  </si>
  <si>
    <t>Enter the HFC-41 emissions in the industrial product use source category for product 1 in baseline year 2.</t>
  </si>
  <si>
    <t>Enter the HFC-43-10mee emissions in the industrial product use source category for product 1 in baseline year 2.</t>
  </si>
  <si>
    <t>Enter the HFC-125 emissions in the industrial product use source category for product 1 in baseline year 2.</t>
  </si>
  <si>
    <t>Enter the HFC-134 emissions in the industrial product use source category for product 1 in baseline year 2.</t>
  </si>
  <si>
    <t>Enter the HFC-134a emissions in the industrial product use source category for product 1 in baseline year 2.</t>
  </si>
  <si>
    <t>Enter the HFC-143 emissions in the industrial product use source category for product 1 in baseline year 2.</t>
  </si>
  <si>
    <t>Enter the HFC-143a emissions in the industrial product use source category for product 1 in baseline year 2.</t>
  </si>
  <si>
    <t>Enter the HFC-152a emissions in the industrial product use source category for product 1 in baseline year 2.</t>
  </si>
  <si>
    <t>Enter the HFC-227ea emissions in the industrial product use source category for product 1 in baseline year 2.</t>
  </si>
  <si>
    <t>Enter the HFC-236fa emissions in the industrial product use source category for product 1 in baseline year 2.</t>
  </si>
  <si>
    <t>Enter the HFC-245ca emissions in the industrial product use source category for product 1 in baseline year 2.</t>
  </si>
  <si>
    <t>Enter the sulphur hexafluoride emissions in the industrial product use source category for product 1 in baseline year 3.</t>
  </si>
  <si>
    <t>Enter the perfluoromethane emissions in the industrial product use source category for product 1 in baseline year 3.</t>
  </si>
  <si>
    <t>Enter the perfluoroethane emissions in the industrial product use source category for product 1 in baseline year 3.</t>
  </si>
  <si>
    <t>Enter the perfluoropropane emissions in the industrial product use source category for product 1 in baseline year 3.</t>
  </si>
  <si>
    <t>Enter the perfluorobutane emissions in the industrial product use source category for product 1 in baseline year 3.</t>
  </si>
  <si>
    <t>Enter the perfluorocyclobutane emissions in the industrial product use source category for product 1 in baseline year 3.</t>
  </si>
  <si>
    <t>Enter the perfluoropentane emissions in the industrial product use source category for product 1 in baseline year 3.</t>
  </si>
  <si>
    <t>Enter the perfluorohexane emissions in the industrial product use source category for product 1 in baseline year 3.</t>
  </si>
  <si>
    <t>Enter the HFC-23 emissions in the industrial product use source category for product 1 in baseline year 3.</t>
  </si>
  <si>
    <t>Enter the HFC-32 emissions in the industrial product use source category for product 1 in baseline year 3.</t>
  </si>
  <si>
    <t>Enter the HFC-41 emissions in the industrial product use source category for product 1 in baseline year 3.</t>
  </si>
  <si>
    <t>Enter the HFC-43-10mee emissions in the industrial product use source category for product 1 in baseline year 3.</t>
  </si>
  <si>
    <t>Enter the HFC-125 emissions in the industrial product use source category for product 1 in baseline year 3.</t>
  </si>
  <si>
    <t>Enter the HFC-134 emissions in the industrial product use source category for product 1 in baseline year 3.</t>
  </si>
  <si>
    <t>Enter the HFC-134a emissions in the industrial product use source category for product 1 in baseline year 3.</t>
  </si>
  <si>
    <t>Enter the HFC-143 emissions in the industrial product use source category for product 1 in baseline year 3.</t>
  </si>
  <si>
    <t>Enter the HFC-143a emissions in the industrial product use source category for product 1 in baseline year 3.</t>
  </si>
  <si>
    <t>Enter the HFC-152a emissions in the industrial product use source category for product 1 in baseline year 3.</t>
  </si>
  <si>
    <t>Enter the HFC-227ea emissions in the industrial product use source category for product 1 in baseline year 3.</t>
  </si>
  <si>
    <t>Enter the HFC-236fa emissions in the industrial product use source category for product 1 in baseline year 3.</t>
  </si>
  <si>
    <t>Enter the HFC-245ca emissions in the industrial product use source category for product 1 in baseline year 3.</t>
  </si>
  <si>
    <t>Enter the carbon dioxide emissions in the venting source category for product 1 in baseline year 1.</t>
  </si>
  <si>
    <t>Enter the methane emissions in the venting source category for product 1 in baseline year 1.</t>
  </si>
  <si>
    <t>Enter the nitrous oxide emissions in the venting source category for product 1 in baseline year 1.</t>
  </si>
  <si>
    <t>Enter the carbon dioxide emissions in the venting source category for product 1 in baseline year 2.</t>
  </si>
  <si>
    <t>Enter the methane emissions in the venting source category for product 1 in baseline year 2.</t>
  </si>
  <si>
    <t>Enter the nitrous oxide emissions in the venting source category for product 1 in baseline year 2.</t>
  </si>
  <si>
    <t>Enter the carbon dioxide emissions in the venting source category for product 1 in baseline year 3.</t>
  </si>
  <si>
    <t>Enter the methane emissions in the venting source category for product 1 in baseline year 3.</t>
  </si>
  <si>
    <t>Enter the nitrous oxide emissions in the venting source category for product 1 in baseline year 3.</t>
  </si>
  <si>
    <t>Enter the carbon dioxide emissions in the flaring source category for product 1 in baseline year 1.</t>
  </si>
  <si>
    <t>Enter the methane emissions in the flaring source category for product 1 in baseline year 1.</t>
  </si>
  <si>
    <t>Enter the nitrous oxide emissions in the flaring source category for product 1 in baseline year 1.</t>
  </si>
  <si>
    <t>Enter the carbon dioxide emissions in the flaring source category for product 1 in baseline year 2.</t>
  </si>
  <si>
    <t>Enter the methane emissions in the flaring source category for product 1 in baseline year 2.</t>
  </si>
  <si>
    <t>Enter the nitrous oxide emissions in the flaring source category for product 1 in baseline year 2.</t>
  </si>
  <si>
    <t>Enter the carbon dioxide emissions in the flaring source category for product 1 in baseline year 3.</t>
  </si>
  <si>
    <t>Enter the methane emissions in the flaring source category for product 1 in baseline year 3.</t>
  </si>
  <si>
    <t>Enter the nitrous oxide emissions in the flaring source category for product 1 in baseline year 3.</t>
  </si>
  <si>
    <t>Enter the carbon dioxide emissions in the leakage source category for product 1 in baseline year 1.</t>
  </si>
  <si>
    <t>Enter the methane emissions in the leakage source category for product 1 in baseline year 1.</t>
  </si>
  <si>
    <t>Enter the nitrous oxide emissions in the leakage source category for product 1 in baseline year 1.</t>
  </si>
  <si>
    <t>Enter the carbon dioxide emissions in the leakage source category for product 1 in baseline year 2.</t>
  </si>
  <si>
    <t>Enter the methane emissions in the leakage source category for product 1 in baseline year 2.</t>
  </si>
  <si>
    <t>Enter the nitrous oxide emissions in the leakage source category for product 1 in baseline year 2.</t>
  </si>
  <si>
    <t>Enter the carbon dioxide emissions in the leakage source category for product 1 in baseline year 3.</t>
  </si>
  <si>
    <t>Enter the methane emissions in the leakage source category for product 1 in baseline year 3.</t>
  </si>
  <si>
    <t>Enter the nitrous oxide emissions in the leakage source category for product 1 in baseline year 3.</t>
  </si>
  <si>
    <t>Enter the carbon dioxide emissions in the on-site transportation source category for product 1 in baseline year 1.</t>
  </si>
  <si>
    <t>Enter the methane emissions in the on-site transportation source category for product 1 in baseline year 1.</t>
  </si>
  <si>
    <t>Enter the nitrous oxide emissions in the on-site transportation source category for product 1 in baseline year 1.</t>
  </si>
  <si>
    <t>Enter the carbon dioxide emissions in the on-site transportation source category for product 1 in baseline year 2.</t>
  </si>
  <si>
    <t>Enter the methane emissions in the on-site transportation source category for product 1 in baseline year 2.</t>
  </si>
  <si>
    <t>Enter the nitrous oxide emissions in the on-site transportation source category for product 1 in baseline year 2.</t>
  </si>
  <si>
    <t>Enter the carbon dioxide emissions in the on-site transportation source category for product 1 in baseline year 3.</t>
  </si>
  <si>
    <t>Enter the methane emissions in the on-site transportation source category for product 1 in baseline year 3.</t>
  </si>
  <si>
    <t>Enter the nitrous oxide emissions in the on-site transportation source category for product 1 in baseline year 3.</t>
  </si>
  <si>
    <t>Enter the carbon dioxide emissions in the waste source category for product 1 in baseline year 1.</t>
  </si>
  <si>
    <t>Enter the methane emissions in the waste source category for product 1 in baseline year 1.</t>
  </si>
  <si>
    <t>Enter the nitrous oxide emissions in the waste source category for product 1 in baseline year 1.</t>
  </si>
  <si>
    <t>Enter the carbon dioxide emissions in the waste source category for product 1 in baseline year 2.</t>
  </si>
  <si>
    <t>Enter the methane emissions in the waste source category for product 1 in baseline year 2.</t>
  </si>
  <si>
    <t>Enter the nitrous oxide emissions in the waste source category for product 1 in baseline year 2.</t>
  </si>
  <si>
    <t>Enter the carbon dioxide emissions in the waste source category for product 1 in baseline year 3.</t>
  </si>
  <si>
    <t>Enter the methane emissions in the waste source category for product 1 in baseline year 3.</t>
  </si>
  <si>
    <t>Enter the nitrous oxide emissions in the waste source category for product 1 in baseline year 3.</t>
  </si>
  <si>
    <t>Enter the carbon dioxide emissions in the wastewater source category for product 1 in baseline year 1.</t>
  </si>
  <si>
    <t>Enter the methane emissions in the wastewater source category for product 1 in baseline year 1.</t>
  </si>
  <si>
    <t>Enter the nitrous oxide emissions in the wastewater source category for product 1 in baseline year 1.</t>
  </si>
  <si>
    <t>Enter the carbon dioxide emissions in the wastewater source category for product 1 in baseline year 2.</t>
  </si>
  <si>
    <t>Enter the methane emissions in the wastewater source category for product 1 in baseline year 2.</t>
  </si>
  <si>
    <t>Enter the nitrous oxide emissions in the wastewater source category for product 1 in baseline year 2.</t>
  </si>
  <si>
    <t>Enter the carbon dioxide emissions in the wastewater source category for product 1 in baseline year 3.</t>
  </si>
  <si>
    <t>Enter the methane emissions in the wastewater source category for product 1 in baseline year 3.</t>
  </si>
  <si>
    <t>Enter the nitrous oxide emissions in the wastewater source category for product 1 in baseline year 3.</t>
  </si>
  <si>
    <t>Enter the production units for product 2.</t>
  </si>
  <si>
    <t>Enter the carbon dioxide emissions in the stationary fuel combustion source category for product 2 in baseline year 1.</t>
  </si>
  <si>
    <t>Enter the methane emissions in the stationary fuel combustion source category for product 2 in baseline year 1.</t>
  </si>
  <si>
    <t>Enter the nitrous oxide emissions in the stationary fuel combustion source category for product 2 in baseline year 1.</t>
  </si>
  <si>
    <t>Enter the carbon dioxide emissions in the stationary fuel combustion source category for product 2 in baseline year 2.</t>
  </si>
  <si>
    <t>Enter the methane emissions in the stationary fuel combustion source category for product 2 in baseline year 2.</t>
  </si>
  <si>
    <t>Enter the nitrous oxide emissions in the stationary fuel combustion source category for product 2 in baseline year 2.</t>
  </si>
  <si>
    <t>Enter the carbon dioxide emissions in the stationary fuel combustion source category for product 2 in baseline year 3.</t>
  </si>
  <si>
    <t>Enter the methane emissions in the stationary fuel combustion source category for product 2 in baseline year 3.</t>
  </si>
  <si>
    <t>Enter the nitrous oxide emissions in the stationary fuel combustion source category for product 2 in baseline year 3.</t>
  </si>
  <si>
    <t>Enter the carbon dioxide emissions in the industrial process source category for product 2 in baseline year 1.</t>
  </si>
  <si>
    <t>Enter the methane emissions in the industrial process source category for product 2 in baseline year 1.</t>
  </si>
  <si>
    <t>Enter the nitrous oxide emissions in the industrial process source category for product 2 in baseline year 1.</t>
  </si>
  <si>
    <t>Enter the sulphur hexafluoride emissions in the industrial process source category for product 2 in baseline year 1.</t>
  </si>
  <si>
    <t>Enter the perfluoromethane emissions in the industrial process source category for product 2 in baseline year 1.</t>
  </si>
  <si>
    <t>Enter the perfluoroethane emissions in the industrial process source category for product 2 in baseline year 1.</t>
  </si>
  <si>
    <t>Enter the perfluoropropane emissions in the industrial process source category for product 2 in baseline year 1.</t>
  </si>
  <si>
    <t>Enter the perfluorobutane emissions in the industrial process source category for product 2 in baseline year 1.</t>
  </si>
  <si>
    <t>Enter the perfluorocyclobutane emissions in the industrial process source category for product 2 in baseline year 1.</t>
  </si>
  <si>
    <t>Enter the perfluoropentane emissions in the industrial process source category for product 2 in baseline year 1.</t>
  </si>
  <si>
    <t>Enter the perfluorohexane emissions in the industrial process source category for product 2 in baseline year 1.</t>
  </si>
  <si>
    <t>Enter the HFC-23 emissions in the industrial process source category for product 2 in baseline year 1.</t>
  </si>
  <si>
    <t>Enter the HFC-32 emissions in the industrial process source category for product 2 in baseline year 1.</t>
  </si>
  <si>
    <t>Enter the HFC-41 emissions in the industrial process source category for product 2 in baseline year 1.</t>
  </si>
  <si>
    <t>Enter the HFC-43-10mee emissions in the industrial process source category for product 2 in baseline year 1.</t>
  </si>
  <si>
    <t>Enter the HFC-125 emissions in the industrial process source category for product 2 in baseline year 1.</t>
  </si>
  <si>
    <t>Enter the HFC-134 emissions in the industrial process source category for product 2 in baseline year 1.</t>
  </si>
  <si>
    <t>Enter the HFC-134a emissions in the industrial process source category for product 2 in baseline year 1.</t>
  </si>
  <si>
    <t>Enter the HFC-143 emissions in the industrial process source category for product 2 in baseline year 1.</t>
  </si>
  <si>
    <t>Enter the HFC-143a emissions in the industrial process source category for product 2 in baseline year 1.</t>
  </si>
  <si>
    <t>Enter the HFC-152a emissions in the industrial process source category for product 2 in baseline year 1.</t>
  </si>
  <si>
    <t>Enter the HFC-227ea emissions in the industrial process source category for product 2 in baseline year 1.</t>
  </si>
  <si>
    <t>Enter the HFC-236fa emissions in the industrial process source category for product 2 in baseline year 1.</t>
  </si>
  <si>
    <t>Enter the HFC-245ca emissions in the industrial process source category for product 2 in baseline year 1.</t>
  </si>
  <si>
    <t>Enter the carbon dioxide emissions in the industrial process source category for product 2 in baseline year 2.</t>
  </si>
  <si>
    <t>Enter the methane emissions in the industrial process source category for product 2 in baseline year 2.</t>
  </si>
  <si>
    <t>Enter the nitrous oxide emissions in the industrial process source category for product 2 in baseline year 2.</t>
  </si>
  <si>
    <t>Enter the sulphur hexafluoride emissions in the industrial process source category for product 2 in baseline year 2.</t>
  </si>
  <si>
    <t>Enter the perfluoromethane emissions in the industrial process source category for product 2 in baseline year 2.</t>
  </si>
  <si>
    <t>Enter the perfluoroethane emissions in the industrial process source category for product 2 in baseline year 2.</t>
  </si>
  <si>
    <t>Enter the perfluoropropane emissions in the industrial process source category for product 2 in baseline year 2.</t>
  </si>
  <si>
    <t>Enter the perfluorobutane emissions in the industrial process source category for product 2 in baseline year 2.</t>
  </si>
  <si>
    <t>Enter the perfluorocyclobutane emissions in the industrial process source category for product 2 in baseline year 2.</t>
  </si>
  <si>
    <t>Enter the perfluoropentane emissions in the industrial process source category for product 2 in baseline year 2.</t>
  </si>
  <si>
    <t>Enter the perfluorohexane emissions in the industrial process source category for product 2 in baseline year 2.</t>
  </si>
  <si>
    <t>Enter the HFC-23 emissions in the industrial process source category for product 2 in baseline year 2.</t>
  </si>
  <si>
    <t>Enter the HFC-32 emissions in the industrial process source category for product 2 in baseline year 2.</t>
  </si>
  <si>
    <t>Enter the HFC-41 emissions in the industrial process source category for product 2 in baseline year 2.</t>
  </si>
  <si>
    <t>Enter the HFC-43-10mee emissions in the industrial process source category for product 2 in baseline year 2.</t>
  </si>
  <si>
    <t>Enter the HFC-125 emissions in the industrial process source category for product 2 in baseline year 2.</t>
  </si>
  <si>
    <t>Enter the HFC-134 emissions in the industrial process source category for product 2 in baseline year 2.</t>
  </si>
  <si>
    <t>Enter the HFC-134a emissions in the industrial process source category for product 2 in baseline year 2.</t>
  </si>
  <si>
    <t>Enter the HFC-143 emissions in the industrial process source category for product 2 in baseline year 2.</t>
  </si>
  <si>
    <t>Enter the HFC-143a emissions in the industrial process source category for product 2 in baseline year 2.</t>
  </si>
  <si>
    <t>Enter the HFC-152a emissions in the industrial process source category for product 2 in baseline year 2.</t>
  </si>
  <si>
    <t>Enter the HFC-227ea emissions in the industrial process source category for product 2 in baseline year 2.</t>
  </si>
  <si>
    <t>Enter the HFC-236fa emissions in the industrial process source category for product 2 in baseline year 2.</t>
  </si>
  <si>
    <t>Enter the HFC-245ca emissions in the industrial process source category for product 2 in baseline year 2.</t>
  </si>
  <si>
    <t>Enter the carbon dioxide emissions in the industrial process source category for product 2 in baseline year 3.</t>
  </si>
  <si>
    <t>Enter the methane emissions in the industrial process source category for product 2 in baseline year 3.</t>
  </si>
  <si>
    <t>Enter the nitrous oxide emissions in the industrial process source category for product 2 in baseline year 3.</t>
  </si>
  <si>
    <t>Enter the sulphur hexafluoride emissions in the industrial process source category for product 2 in baseline year 3.</t>
  </si>
  <si>
    <t>Enter the perfluoromethane emissions in the industrial process source category for product 2 in baseline year 3.</t>
  </si>
  <si>
    <t>Enter the perfluoroethane emissions in the industrial process source category for product 2 in baseline year 3.</t>
  </si>
  <si>
    <t>Enter the perfluoropropane emissions in the industrial process source category for product 2 in baseline year 3.</t>
  </si>
  <si>
    <t>Enter the perfluorobutane emissions in the industrial process source category for product 2 in baseline year 3.</t>
  </si>
  <si>
    <t>Enter the perfluorocyclobutane emissions in the industrial process source category for product 2 in baseline year 3.</t>
  </si>
  <si>
    <t>Enter the perfluoropentane emissions in the industrial process source category for product 2 in baseline year 3.</t>
  </si>
  <si>
    <t>Enter the perfluorohexane emissions in the industrial process source category for product 2 in baseline year 3.</t>
  </si>
  <si>
    <t>Enter the HFC-23 emissions in the industrial process source category for product 2 in baseline year 3.</t>
  </si>
  <si>
    <t>Enter the HFC-32 emissions in the industrial process source category for product 2 in baseline year 3.</t>
  </si>
  <si>
    <t>Enter the HFC-41 emissions in the industrial process source category for product 2 in baseline year 3.</t>
  </si>
  <si>
    <t>Enter the HFC-43-10mee emissions in the industrial process source category for product 2 in baseline year 3.</t>
  </si>
  <si>
    <t>Enter the HFC-125 emissions in the industrial process source category for product 2 in baseline year 3.</t>
  </si>
  <si>
    <t>Enter the HFC-134 emissions in the industrial process source category for product 2 in baseline year 3.</t>
  </si>
  <si>
    <t>Enter the HFC-134a emissions in the industrial process source category for product 2 in baseline year 3.</t>
  </si>
  <si>
    <t>Enter the HFC-143 emissions in the industrial process source category for product 2 in baseline year 3.</t>
  </si>
  <si>
    <t>Enter the HFC-143a emissions in the industrial process source category for product 2 in baseline year 3.</t>
  </si>
  <si>
    <t>Enter the HFC-152a emissions in the industrial process source category for product 2 in baseline year 3.</t>
  </si>
  <si>
    <t>Enter the HFC-227ea emissions in the industrial process source category for product 2 in baseline year 3.</t>
  </si>
  <si>
    <t>Enter the HFC-236fa emissions in the industrial process source category for product 2 in baseline year 3.</t>
  </si>
  <si>
    <t>Enter the HFC-245ca emissions in the industrial process source category for product 2 in baseline year 3.</t>
  </si>
  <si>
    <t>Enter the sulphur hexafluoride emissions in the industrial product use source category for product 2 in baseline year 1.</t>
  </si>
  <si>
    <t>Enter the perfluoromethane emissions in the industrial product use source category for product 2 in baseline year 1.</t>
  </si>
  <si>
    <t>Enter the perfluoroethane emissions in the industrial product use source category for product 2 in baseline year 1.</t>
  </si>
  <si>
    <t>Enter the perfluoropropane emissions in the industrial product use source category for product 2 in baseline year 1.</t>
  </si>
  <si>
    <t>Enter the perfluorobutane emissions in the industrial product use source category for product 2 in baseline year 1.</t>
  </si>
  <si>
    <t>Enter the perfluorocyclobutane emissions in the industrial product use source category for product 2 in baseline year 1.</t>
  </si>
  <si>
    <t>Enter the perfluoropentane emissions in the industrial product use source category for product 2 in baseline year 1.</t>
  </si>
  <si>
    <t>Enter the perfluorohexane emissions in the industrial product use source category for product 2 in baseline year 1.</t>
  </si>
  <si>
    <t>Enter the HFC-23 emissions in the industrial product use source category for product 2 in baseline year 1.</t>
  </si>
  <si>
    <t>Enter the HFC-32 emissions in the industrial product use source category for product 2 in baseline year 1.</t>
  </si>
  <si>
    <t>Enter the HFC-41 emissions in the industrial product use source category for product 2 in baseline year 1.</t>
  </si>
  <si>
    <t>Enter the HFC-43-10mee emissions in the industrial product use source category for product 2 in baseline year 1.</t>
  </si>
  <si>
    <t>Enter the HFC-125 emissions in the industrial product use source category for product 2 in baseline year 1.</t>
  </si>
  <si>
    <t>Enter the HFC-134 emissions in the industrial product use source category for product 2 in baseline year 1.</t>
  </si>
  <si>
    <t>Enter the HFC-134a emissions in the industrial product use source category for product 2 in baseline year 1.</t>
  </si>
  <si>
    <t>Enter the HFC-143 emissions in the industrial product use source category for product 2 in baseline year 1.</t>
  </si>
  <si>
    <t>Enter the HFC-143a emissions in the industrial product use source category for product 2 in baseline year 1.</t>
  </si>
  <si>
    <t>Enter the HFC-152a emissions in the industrial product use source category for product 2 in baseline year 1.</t>
  </si>
  <si>
    <t>Enter the HFC-227ea emissions in the industrial product use source category for product 2 in baseline year 1.</t>
  </si>
  <si>
    <t>Enter the HFC-236fa emissions in the industrial product use source category for product 2 in baseline year 1.</t>
  </si>
  <si>
    <t>Enter the HFC-245ca emissions in the industrial product use source category for product 2 in baseline year 1.</t>
  </si>
  <si>
    <t>Enter the sulphur hexafluoride emissions in the industrial product use source category for product 2 in baseline year 2.</t>
  </si>
  <si>
    <t>Enter the perfluoromethane emissions in the industrial product use source category for product 2 in baseline year 2.</t>
  </si>
  <si>
    <t>Enter the perfluoroethane emissions in the industrial product use source category for product 2 in baseline year 2.</t>
  </si>
  <si>
    <t>Enter the perfluoropropane emissions in the industrial product use source category for product 2 in baseline year 2.</t>
  </si>
  <si>
    <t>Enter the perfluorobutane emissions in the industrial product use source category for product 2 in baseline year 2.</t>
  </si>
  <si>
    <t>Enter the perfluorocyclobutane emissions in the industrial product use source category for product 2 in baseline year 2.</t>
  </si>
  <si>
    <t>Enter the perfluoropentane emissions in the industrial product use source category for product 2 in baseline year 2.</t>
  </si>
  <si>
    <t>Enter the perfluorohexane emissions in the industrial product use source category for product 2 in baseline year 2.</t>
  </si>
  <si>
    <t>Enter the HFC-23 emissions in the industrial product use source category for product 2 in baseline year 2.</t>
  </si>
  <si>
    <t>Enter the HFC-32 emissions in the industrial product use source category for product 2 in baseline year 2.</t>
  </si>
  <si>
    <t>Enter the HFC-41 emissions in the industrial product use source category for product 2 in baseline year 2.</t>
  </si>
  <si>
    <t>Enter the HFC-43-10mee emissions in the industrial product use source category for product 2 in baseline year 2.</t>
  </si>
  <si>
    <t>Enter the HFC-125 emissions in the industrial product use source category for product 2 in baseline year 2.</t>
  </si>
  <si>
    <t>Enter the HFC-134 emissions in the industrial product use source category for product 2 in baseline year 2.</t>
  </si>
  <si>
    <t>Enter the HFC-134a emissions in the industrial product use source category for product 2 in baseline year 2.</t>
  </si>
  <si>
    <t>Enter the HFC-143 emissions in the industrial product use source category for product 2 in baseline year 2.</t>
  </si>
  <si>
    <t>Enter the HFC-143a emissions in the industrial product use source category for product 2 in baseline year 2.</t>
  </si>
  <si>
    <t>Enter the HFC-152a emissions in the industrial product use source category for product 2 in baseline year 2.</t>
  </si>
  <si>
    <t>Enter the HFC-227ea emissions in the industrial product use source category for product 2 in baseline year 2.</t>
  </si>
  <si>
    <t>Enter the HFC-236fa emissions in the industrial product use source category for product 2 in baseline year 2.</t>
  </si>
  <si>
    <t>Enter the HFC-245ca emissions in the industrial product use source category for product 2 in baseline year 2.</t>
  </si>
  <si>
    <t>Enter the sulphur hexafluoride emissions in the industrial product use source category for product 2 in baseline year 3.</t>
  </si>
  <si>
    <t>Enter the perfluoromethane emissions in the industrial product use source category for product 2 in baseline year 3.</t>
  </si>
  <si>
    <t>Enter the perfluoroethane emissions in the industrial product use source category for product 2 in baseline year 3.</t>
  </si>
  <si>
    <t>Enter the perfluoropropane emissions in the industrial product use source category for product 2 in baseline year 3.</t>
  </si>
  <si>
    <t>Enter the perfluorobutane emissions in the industrial product use source category for product 2 in baseline year 3.</t>
  </si>
  <si>
    <t>Enter the perfluorocyclobutane emissions in the industrial product use source category for product 2 in baseline year 3.</t>
  </si>
  <si>
    <t>Enter the perfluoropentane emissions in the industrial product use source category for product 2 in baseline year 3.</t>
  </si>
  <si>
    <t>Enter the perfluorohexane emissions in the industrial product use source category for product 2 in baseline year 3.</t>
  </si>
  <si>
    <t>Enter the HFC-23 emissions in the industrial product use source category for product 2 in baseline year 3.</t>
  </si>
  <si>
    <t>Enter the HFC-32 emissions in the industrial product use source category for product 2 in baseline year 3.</t>
  </si>
  <si>
    <t>Enter the HFC-41 emissions in the industrial product use source category for product 2 in baseline year 3.</t>
  </si>
  <si>
    <t>Enter the HFC-43-10mee emissions in the industrial product use source category for product 2 in baseline year 3.</t>
  </si>
  <si>
    <t>Enter the HFC-125 emissions in the industrial product use source category for product 2 in baseline year 3.</t>
  </si>
  <si>
    <t>Enter the HFC-134 emissions in the industrial product use source category for product 2 in baseline year 3.</t>
  </si>
  <si>
    <t>Enter the HFC-134a emissions in the industrial product use source category for product 2 in baseline year 3.</t>
  </si>
  <si>
    <t>Enter the HFC-143 emissions in the industrial product use source category for product 2 in baseline year 3.</t>
  </si>
  <si>
    <t>Enter the HFC-143a emissions in the industrial product use source category for product 2 in baseline year 3.</t>
  </si>
  <si>
    <t>Enter the HFC-152a emissions in the industrial product use source category for product 2 in baseline year 3.</t>
  </si>
  <si>
    <t>Enter the HFC-227ea emissions in the industrial product use source category for product 2 in baseline year 3.</t>
  </si>
  <si>
    <t>Enter the HFC-236fa emissions in the industrial product use source category for product 2 in baseline year 3.</t>
  </si>
  <si>
    <t>Enter the HFC-245ca emissions in the industrial product use source category for product 2 in baseline year 3.</t>
  </si>
  <si>
    <t>Enter the carbon dioxide emissions in the venting source category for product 2 in baseline year 1.</t>
  </si>
  <si>
    <t>Enter the methane emissions in the venting source category for product 2 in baseline year 1.</t>
  </si>
  <si>
    <t>Enter the nitrous oxide emissions in the venting source category for product 2 in baseline year 1.</t>
  </si>
  <si>
    <t>Enter the carbon dioxide emissions in the venting source category for product 2 in baseline year 2.</t>
  </si>
  <si>
    <t>Enter the methane emissions in the venting source category for product 2 in baseline year 2.</t>
  </si>
  <si>
    <t>Enter the nitrous oxide emissions in the venting source category for product 2 in baseline year 2.</t>
  </si>
  <si>
    <t>Enter the carbon dioxide emissions in the venting source category for product 2 in baseline year 3.</t>
  </si>
  <si>
    <t>Enter the methane emissions in the venting source category for product 2 in baseline year 3.</t>
  </si>
  <si>
    <t>Enter the nitrous oxide emissions in the venting source category for product 2 in baseline year 3.</t>
  </si>
  <si>
    <t>Enter the carbon dioxide emissions in the flaring source category for product 2 in baseline year 1.</t>
  </si>
  <si>
    <t>Enter the methane emissions in the flaring source category for product 2 in baseline year 1.</t>
  </si>
  <si>
    <t>Enter the nitrous oxide emissions in the flaring source category for product 2 in baseline year 1.</t>
  </si>
  <si>
    <t>Enter the carbon dioxide emissions in the flaring source category for product 2 in baseline year 2.</t>
  </si>
  <si>
    <t>Enter the methane emissions in the flaring source category for product 2 in baseline year 2.</t>
  </si>
  <si>
    <t>Enter the nitrous oxide emissions in the flaring source category for product 2 in baseline year 2.</t>
  </si>
  <si>
    <t>Enter the carbon dioxide emissions in the flaring source category for product 2 in baseline year 3.</t>
  </si>
  <si>
    <t>Enter the methane emissions in the flaring source category for product 2 in baseline year 3.</t>
  </si>
  <si>
    <t>Enter the nitrous oxide emissions in the flaring source category for product 2 in baseline year 3.</t>
  </si>
  <si>
    <t>Enter the carbon dioxide emissions in the leakage source category for product 2 in baseline year 1.</t>
  </si>
  <si>
    <t>Enter the methane emissions in the leakage source category for product 2 in baseline year 1.</t>
  </si>
  <si>
    <t>Enter the nitrous oxide emissions in the leakage source category for product 2 in baseline year 1.</t>
  </si>
  <si>
    <t>Enter the carbon dioxide emissions in the leakage source category for product 2 in baseline year 2.</t>
  </si>
  <si>
    <t>Enter the methane emissions in the leakage source category for product 2 in baseline year 2.</t>
  </si>
  <si>
    <t>Enter the nitrous oxide emissions in the leakage source category for product 2 in baseline year 2.</t>
  </si>
  <si>
    <t>Enter the carbon dioxide emissions in the leakage source category for product 2 in baseline year 3.</t>
  </si>
  <si>
    <t>Enter the methane emissions in the leakage source category for product 2 in baseline year 3.</t>
  </si>
  <si>
    <t>Enter the nitrous oxide emissions in the leakage source category for product 2 in baseline year 3.</t>
  </si>
  <si>
    <t>Enter the carbon dioxide emissions in the on-site transportation source category for product 2 in baseline year 1.</t>
  </si>
  <si>
    <t>Enter the methane emissions in the on-site transportation source category for product 2 in baseline year 1.</t>
  </si>
  <si>
    <t>Enter the nitrous oxide emissions in the on-site transportation source category for product 2 in baseline year 1.</t>
  </si>
  <si>
    <t>Enter the carbon dioxide emissions in the on-site transportation source category for product 2 in baseline year 2.</t>
  </si>
  <si>
    <t>Enter the methane emissions in the on-site transportation source category for product 2 in baseline year 2.</t>
  </si>
  <si>
    <t>Enter the nitrous oxide emissions in the on-site transportation source category for product 2 in baseline year 2.</t>
  </si>
  <si>
    <t>Enter the carbon dioxide emissions in the on-site transportation source category for product 2 in baseline year 3.</t>
  </si>
  <si>
    <t>Enter the methane emissions in the on-site transportation source category for product 2 in baseline year 3.</t>
  </si>
  <si>
    <t>Enter the nitrous oxide emissions in the on-site transportation source category for product 2 in baseline year 3.</t>
  </si>
  <si>
    <t>Enter the carbon dioxide emissions in the waste source category for product 2 in baseline year 1.</t>
  </si>
  <si>
    <t>Enter the methane emissions in the waste source category for product 2 in baseline year 1.</t>
  </si>
  <si>
    <t>Enter the nitrous oxide emissions in the waste source category for product 2 in baseline year 1.</t>
  </si>
  <si>
    <t>Enter the carbon dioxide emissions in the waste source category for product 2 in baseline year 2.</t>
  </si>
  <si>
    <t>Enter the methane emissions in the waste source category for product 2 in baseline year 2.</t>
  </si>
  <si>
    <t>Enter the nitrous oxide emissions in the waste source category for product 2 in baseline year 2.</t>
  </si>
  <si>
    <t>Enter the carbon dioxide emissions in the waste source category for product 2 in baseline year 3.</t>
  </si>
  <si>
    <t>Enter the methane emissions in the waste source category for product 2 in baseline year 3.</t>
  </si>
  <si>
    <t>Enter the nitrous oxide emissions in the waste source category for product 2 in baseline year 3.</t>
  </si>
  <si>
    <t>Enter the carbon dioxide emissions in the wastewater source category for product 2 in baseline year 1.</t>
  </si>
  <si>
    <t>Enter the methane emissions in the wastewater source category for product 2 in baseline year 1.</t>
  </si>
  <si>
    <t>Enter the nitrous oxide emissions in the wastewater source category for product 2 in baseline year 1.</t>
  </si>
  <si>
    <t>Enter the carbon dioxide emissions in the wastewater source category for product 2 in baseline year 2.</t>
  </si>
  <si>
    <t>Enter the methane emissions in the wastewater source category for product 2 in baseline year 2.</t>
  </si>
  <si>
    <t>Enter the nitrous oxide emissions in the wastewater source category for product 2 in baseline year 2.</t>
  </si>
  <si>
    <t>Enter the carbon dioxide emissions in the wastewater source category for product 2 in baseline year 3.</t>
  </si>
  <si>
    <t>Enter the methane emissions in the wastewater source category for product 2 in baseline year 3.</t>
  </si>
  <si>
    <t>Enter the nitrous oxide emissions in the wastewater source category for product 2 in baseline year 3.</t>
  </si>
  <si>
    <t>Enter the production units for product 3.</t>
  </si>
  <si>
    <t>Enter the carbon dioxide emissions in the stationary fuel combustion source category for product 3 in baseline year 1.</t>
  </si>
  <si>
    <t>Enter the methane emissions in the stationary fuel combustion source category for product 3 in baseline year 1.</t>
  </si>
  <si>
    <t>Enter the nitrous oxide emissions in the stationary fuel combustion source category for product 3 in baseline year 1.</t>
  </si>
  <si>
    <t>Enter the carbon dioxide emissions in the stationary fuel combustion source category for product 3 in baseline year 2.</t>
  </si>
  <si>
    <t>Enter the methane emissions in the stationary fuel combustion source category for product 3 in baseline year 2.</t>
  </si>
  <si>
    <t>Enter the nitrous oxide emissions in the stationary fuel combustion source category for product 3 in baseline year 2.</t>
  </si>
  <si>
    <t>Enter the carbon dioxide emissions in the stationary fuel combustion source category for product 3 in baseline year 3.</t>
  </si>
  <si>
    <t>Enter the methane emissions in the stationary fuel combustion source category for product 3 in baseline year 3.</t>
  </si>
  <si>
    <t>Enter the nitrous oxide emissions in the stationary fuel combustion source category for product 3 in baseline year 3.</t>
  </si>
  <si>
    <t>Enter the carbon dioxide emissions in the industrial process source category for product 3 in baseline year 1.</t>
  </si>
  <si>
    <t>Enter the methane emissions in the industrial process source category for product 3 in baseline year 1.</t>
  </si>
  <si>
    <t>Enter the nitrous oxide emissions in the industrial process source category for product 3 in baseline year 1.</t>
  </si>
  <si>
    <t>Enter the sulphur hexafluoride emissions in the industrial process source category for product 3 in baseline year 1.</t>
  </si>
  <si>
    <t>Enter the perfluoromethane emissions in the industrial process source category for product 3 in baseline year 1.</t>
  </si>
  <si>
    <t>Enter the perfluoroethane emissions in the industrial process source category for product 3 in baseline year 1.</t>
  </si>
  <si>
    <t>Enter the perfluoropropane emissions in the industrial process source category for product 3 in baseline year 1.</t>
  </si>
  <si>
    <t>Enter the perfluorobutane emissions in the industrial process source category for product 3 in baseline year 1.</t>
  </si>
  <si>
    <t>Enter the perfluorocyclobutane emissions in the industrial process source category for product 3 in baseline year 1.</t>
  </si>
  <si>
    <t>Enter the perfluoropentane emissions in the industrial process source category for product 3 in baseline year 1.</t>
  </si>
  <si>
    <t>Enter the perfluorohexane emissions in the industrial process source category for product 3 in baseline year 1.</t>
  </si>
  <si>
    <t>Enter the HFC-23 emissions in the industrial process source category for product 3 in baseline year 1.</t>
  </si>
  <si>
    <t>Enter the HFC-32 emissions in the industrial process source category for product 3 in baseline year 1.</t>
  </si>
  <si>
    <t>Enter the HFC-41 emissions in the industrial process source category for product 3 in baseline year 1.</t>
  </si>
  <si>
    <t>Enter the HFC-43-10mee emissions in the industrial process source category for product 3 in baseline year 1.</t>
  </si>
  <si>
    <t>Enter the HFC-125 emissions in the industrial process source category for product 3 in baseline year 1.</t>
  </si>
  <si>
    <t>Enter the HFC-134 emissions in the industrial process source category for product 3 in baseline year 1.</t>
  </si>
  <si>
    <t>Enter the HFC-134a emissions in the industrial process source category for product 3 in baseline year 1.</t>
  </si>
  <si>
    <t>Enter the HFC-143 emissions in the industrial process source category for product 3 in baseline year 1.</t>
  </si>
  <si>
    <t>Enter the HFC-143a emissions in the industrial process source category for product 3 in baseline year 1.</t>
  </si>
  <si>
    <t>Enter the HFC-152a emissions in the industrial process source category for product 3 in baseline year 1.</t>
  </si>
  <si>
    <t>Enter the HFC-227ea emissions in the industrial process source category for product 3 in baseline year 1.</t>
  </si>
  <si>
    <t>Enter the HFC-236fa emissions in the industrial process source category for product 3 in baseline year 1.</t>
  </si>
  <si>
    <t>Enter the HFC-245ca emissions in the industrial process source category for product 3 in baseline year 1.</t>
  </si>
  <si>
    <t>Enter the carbon dioxide emissions in the industrial process source category for product 3 in baseline year 2.</t>
  </si>
  <si>
    <t>Enter the methane emissions in the industrial process source category for product 3 in baseline year 2.</t>
  </si>
  <si>
    <t>Enter the nitrous oxide emissions in the industrial process source category for product 3 in baseline year 2.</t>
  </si>
  <si>
    <t>Enter the sulphur hexafluoride emissions in the industrial process source category for product 3 in baseline year 2.</t>
  </si>
  <si>
    <t>Enter the perfluoromethane emissions in the industrial process source category for product 3 in baseline year 2.</t>
  </si>
  <si>
    <t>Enter the perfluoroethane emissions in the industrial process source category for product 3 in baseline year 2.</t>
  </si>
  <si>
    <t>Enter the perfluoropropane emissions in the industrial process source category for product 3 in baseline year 2.</t>
  </si>
  <si>
    <t>Enter the perfluorobutane emissions in the industrial process source category for product 3 in baseline year 2.</t>
  </si>
  <si>
    <t>Enter the perfluorocyclobutane emissions in the industrial process source category for product 3 in baseline year 2.</t>
  </si>
  <si>
    <t>Enter the perfluoropentane emissions in the industrial process source category for product 3 in baseline year 2.</t>
  </si>
  <si>
    <t>Enter the perfluorohexane emissions in the industrial process source category for product 3 in baseline year 2.</t>
  </si>
  <si>
    <t>Enter the HFC-23 emissions in the industrial process source category for product 3 in baseline year 2.</t>
  </si>
  <si>
    <t>Enter the HFC-32 emissions in the industrial process source category for product 3 in baseline year 2.</t>
  </si>
  <si>
    <t>Enter the HFC-41 emissions in the industrial process source category for product 3 in baseline year 2.</t>
  </si>
  <si>
    <t>Enter the HFC-43-10mee emissions in the industrial process source category for product 3 in baseline year 2.</t>
  </si>
  <si>
    <t>Enter the HFC-125 emissions in the industrial process source category for product 3 in baseline year 2.</t>
  </si>
  <si>
    <t>Enter the HFC-134 emissions in the industrial process source category for product 3 in baseline year 2.</t>
  </si>
  <si>
    <t>Enter the HFC-134a emissions in the industrial process source category for product 3 in baseline year 2.</t>
  </si>
  <si>
    <t>Enter the HFC-143 emissions in the industrial process source category for product 3 in baseline year 2.</t>
  </si>
  <si>
    <t>Enter the HFC-143a emissions in the industrial process source category for product 3 in baseline year 2.</t>
  </si>
  <si>
    <t>Enter the HFC-152a emissions in the industrial process source category for product 3 in baseline year 2.</t>
  </si>
  <si>
    <t>Enter the HFC-227ea emissions in the industrial process source category for product 3 in baseline year 2.</t>
  </si>
  <si>
    <t>Enter the HFC-236fa emissions in the industrial process source category for product 3 in baseline year 2.</t>
  </si>
  <si>
    <t>Enter the HFC-245ca emissions in the industrial process source category for product 3 in baseline year 2.</t>
  </si>
  <si>
    <t>Enter the carbon dioxide emissions in the industrial process source category for product 3 in baseline year 3.</t>
  </si>
  <si>
    <t>Enter the methane emissions in the industrial process source category for product 3 in baseline year 3.</t>
  </si>
  <si>
    <t>Enter the nitrous oxide emissions in the industrial process source category for product 3 in baseline year 3.</t>
  </si>
  <si>
    <t>Enter the sulphur hexafluoride emissions in the industrial process source category for product 3 in baseline year 3.</t>
  </si>
  <si>
    <t>Enter the perfluoromethane emissions in the industrial process source category for product 3 in baseline year 3.</t>
  </si>
  <si>
    <t>Enter the perfluoroethane emissions in the industrial process source category for product 3 in baseline year 3.</t>
  </si>
  <si>
    <t>Enter the perfluoropropane emissions in the industrial process source category for product 3 in baseline year 3.</t>
  </si>
  <si>
    <t>Enter the perfluorobutane emissions in the industrial process source category for product 3 in baseline year 3.</t>
  </si>
  <si>
    <t>Enter the perfluorocyclobutane emissions in the industrial process source category for product 3 in baseline year 3.</t>
  </si>
  <si>
    <t>Enter the perfluoropentane emissions in the industrial process source category for product 3 in baseline year 3.</t>
  </si>
  <si>
    <t>Enter the perfluorohexane emissions in the industrial process source category for product 3 in baseline year 3.</t>
  </si>
  <si>
    <t>Enter the HFC-23 emissions in the industrial process source category for product 3 in baseline year 3.</t>
  </si>
  <si>
    <t>Enter the HFC-32 emissions in the industrial process source category for product 3 in baseline year 3.</t>
  </si>
  <si>
    <t>Enter the HFC-41 emissions in the industrial process source category for product 3 in baseline year 3.</t>
  </si>
  <si>
    <t>Enter the HFC-43-10mee emissions in the industrial process source category for product 3 in baseline year 3.</t>
  </si>
  <si>
    <t>Enter the HFC-125 emissions in the industrial process source category for product 3 in baseline year 3.</t>
  </si>
  <si>
    <t>Enter the HFC-134 emissions in the industrial process source category for product 3 in baseline year 3.</t>
  </si>
  <si>
    <t>Enter the HFC-134a emissions in the industrial process source category for product 3 in baseline year 3.</t>
  </si>
  <si>
    <t>Enter the HFC-143 emissions in the industrial process source category for product 3 in baseline year 3.</t>
  </si>
  <si>
    <t>Enter the HFC-143a emissions in the industrial process source category for product 3 in baseline year 3.</t>
  </si>
  <si>
    <t>Enter the HFC-152a emissions in the industrial process source category for product 3 in baseline year 3.</t>
  </si>
  <si>
    <t>Enter the HFC-227ea emissions in the industrial process source category for product 3 in baseline year 3.</t>
  </si>
  <si>
    <t>Enter the HFC-236fa emissions in the industrial process source category for product 3 in baseline year 3.</t>
  </si>
  <si>
    <t>Enter the HFC-245ca emissions in the industrial process source category for product 3 in baseline year 3.</t>
  </si>
  <si>
    <t>Enter the sulphur hexafluoride emissions in the industrial product use source category for product 3 in baseline year 1.</t>
  </si>
  <si>
    <t>Enter the perfluoromethane emissions in the industrial product use source category for product 3 in baseline year 1.</t>
  </si>
  <si>
    <t>Enter the perfluoroethane emissions in the industrial product use source category for product 3 in baseline year 1.</t>
  </si>
  <si>
    <t>Enter the perfluoropropane emissions in the industrial product use source category for product 3 in baseline year 1.</t>
  </si>
  <si>
    <t>Enter the perfluorobutane emissions in the industrial product use source category for product 3 in baseline year 1.</t>
  </si>
  <si>
    <t>Enter the perfluorocyclobutane emissions in the industrial product use source category for product 3 in baseline year 1.</t>
  </si>
  <si>
    <t>Enter the perfluoropentane emissions in the industrial product use source category for product 3 in baseline year 1.</t>
  </si>
  <si>
    <t>Enter the perfluorohexane emissions in the industrial product use source category for product 3 in baseline year 1.</t>
  </si>
  <si>
    <t>Enter the HFC-23 emissions in the industrial product use source category for product 3 in baseline year 1.</t>
  </si>
  <si>
    <t>Enter the HFC-32 emissions in the industrial product use source category for product 3 in baseline year 1.</t>
  </si>
  <si>
    <t>Enter the HFC-41 emissions in the industrial product use source category for product 3 in baseline year 1.</t>
  </si>
  <si>
    <t>Enter the HFC-43-10mee emissions in the industrial product use source category for product 3 in baseline year 1.</t>
  </si>
  <si>
    <t>Enter the HFC-125 emissions in the industrial product use source category for product 3 in baseline year 1.</t>
  </si>
  <si>
    <t>Enter the HFC-134 emissions in the industrial product use source category for product 3 in baseline year 1.</t>
  </si>
  <si>
    <t>Enter the HFC-134a emissions in the industrial product use source category for product 3 in baseline year 1.</t>
  </si>
  <si>
    <t>Enter the HFC-143 emissions in the industrial product use source category for product 3 in baseline year 1.</t>
  </si>
  <si>
    <t>Enter the HFC-143a emissions in the industrial product use source category for product 3 in baseline year 1.</t>
  </si>
  <si>
    <t>Enter the HFC-152a emissions in the industrial product use source category for product 3 in baseline year 1.</t>
  </si>
  <si>
    <t>Enter the HFC-227ea emissions in the industrial product use source category for product 3 in baseline year 1.</t>
  </si>
  <si>
    <t>Enter the HFC-236fa emissions in the industrial product use source category for product 3 in baseline year 1.</t>
  </si>
  <si>
    <t>Enter the HFC-245ca emissions in the industrial product use source category for product 3 in baseline year 1.</t>
  </si>
  <si>
    <t>Enter the sulphur hexafluoride emissions in the industrial product use source category for product 3 in baseline year 2.</t>
  </si>
  <si>
    <t>Enter the perfluoromethane emissions in the industrial product use source category for product 3 in baseline year 2.</t>
  </si>
  <si>
    <t>Enter the perfluoroethane emissions in the industrial product use source category for product 3 in baseline year 2.</t>
  </si>
  <si>
    <t>Enter the perfluoropropane emissions in the industrial product use source category for product 3 in baseline year 2.</t>
  </si>
  <si>
    <t>Enter the perfluorobutane emissions in the industrial product use source category for product 3 in baseline year 2.</t>
  </si>
  <si>
    <t>Enter the perfluorocyclobutane emissions in the industrial product use source category for product 3 in baseline year 2.</t>
  </si>
  <si>
    <t>Enter the perfluoropentane emissions in the industrial product use source category for product 3 in baseline year 2.</t>
  </si>
  <si>
    <t>Enter the perfluorohexane emissions in the industrial product use source category for product 3 in baseline year 2.</t>
  </si>
  <si>
    <t>Enter the HFC-23 emissions in the industrial product use source category for product 3 in baseline year 2.</t>
  </si>
  <si>
    <t>Enter the HFC-32 emissions in the industrial product use source category for product 3 in baseline year 2.</t>
  </si>
  <si>
    <t>Enter the HFC-41 emissions in the industrial product use source category for product 3 in baseline year 2.</t>
  </si>
  <si>
    <t>Enter the HFC-43-10mee emissions in the industrial product use source category for product 3 in baseline year 2.</t>
  </si>
  <si>
    <t>Enter the HFC-125 emissions in the industrial product use source category for product 3 in baseline year 2.</t>
  </si>
  <si>
    <t>Enter the HFC-134 emissions in the industrial product use source category for product 3 in baseline year 2.</t>
  </si>
  <si>
    <t>Enter the HFC-134a emissions in the industrial product use source category for product 3 in baseline year 2.</t>
  </si>
  <si>
    <t>Enter the HFC-143 emissions in the industrial product use source category for product 3 in baseline year 2.</t>
  </si>
  <si>
    <t>Enter the HFC-143a emissions in the industrial product use source category for product 3 in baseline year 2.</t>
  </si>
  <si>
    <t>Enter the HFC-152a emissions in the industrial product use source category for product 3 in baseline year 2.</t>
  </si>
  <si>
    <t>Enter the HFC-227ea emissions in the industrial product use source category for product 3 in baseline year 2.</t>
  </si>
  <si>
    <t>Enter the HFC-236fa emissions in the industrial product use source category for product 3 in baseline year 2.</t>
  </si>
  <si>
    <t>Enter the HFC-245ca emissions in the industrial product use source category for product 3 in baseline year 2.</t>
  </si>
  <si>
    <t>Enter the sulphur hexafluoride emissions in the industrial product use source category for product 3 in baseline year 3.</t>
  </si>
  <si>
    <t>Enter the perfluoromethane emissions in the industrial product use source category for product 3 in baseline year 3.</t>
  </si>
  <si>
    <t>Enter the perfluoroethane emissions in the industrial product use source category for product 3 in baseline year 3.</t>
  </si>
  <si>
    <t>Enter the perfluoropropane emissions in the industrial product use source category for product 3 in baseline year 3.</t>
  </si>
  <si>
    <t>Enter the perfluorobutane emissions in the industrial product use source category for product 3 in baseline year 3.</t>
  </si>
  <si>
    <t>Enter the perfluorocyclobutane emissions in the industrial product use source category for product 3 in baseline year 3.</t>
  </si>
  <si>
    <t>Enter the perfluoropentane emissions in the industrial product use source category for product 3 in baseline year 3.</t>
  </si>
  <si>
    <t>Enter the perfluorohexane emissions in the industrial product use source category for product 3 in baseline year 3.</t>
  </si>
  <si>
    <t>Enter the HFC-23 emissions in the industrial product use source category for product 3 in baseline year 3.</t>
  </si>
  <si>
    <t>Enter the HFC-32 emissions in the industrial product use source category for product 3 in baseline year 3.</t>
  </si>
  <si>
    <t>Enter the HFC-41 emissions in the industrial product use source category for product 3 in baseline year 3.</t>
  </si>
  <si>
    <t>Enter the HFC-43-10mee emissions in the industrial product use source category for product 3 in baseline year 3.</t>
  </si>
  <si>
    <t>Enter the HFC-125 emissions in the industrial product use source category for product 3 in baseline year 3.</t>
  </si>
  <si>
    <t>Enter the HFC-134 emissions in the industrial product use source category for product 3 in baseline year 3.</t>
  </si>
  <si>
    <t>Enter the HFC-134a emissions in the industrial product use source category for product 3 in baseline year 3.</t>
  </si>
  <si>
    <t>Enter the HFC-143 emissions in the industrial product use source category for product 3 in baseline year 3.</t>
  </si>
  <si>
    <t>Enter the HFC-143a emissions in the industrial product use source category for product 3 in baseline year 3.</t>
  </si>
  <si>
    <t>Enter the HFC-152a emissions in the industrial product use source category for product 3 in baseline year 3.</t>
  </si>
  <si>
    <t>Enter the HFC-227ea emissions in the industrial product use source category for product 3 in baseline year 3.</t>
  </si>
  <si>
    <t>Enter the HFC-236fa emissions in the industrial product use source category for product 3 in baseline year 3.</t>
  </si>
  <si>
    <t>Enter the HFC-245ca emissions in the industrial product use source category for product 3 in baseline year 3.</t>
  </si>
  <si>
    <t>Enter the carbon dioxide emissions in the venting source category for product 3 in baseline year 1.</t>
  </si>
  <si>
    <t>Enter the methane emissions in the venting source category for product 3 in baseline year 1.</t>
  </si>
  <si>
    <t>Enter the nitrous oxide emissions in the venting source category for product 3 in baseline year 1.</t>
  </si>
  <si>
    <t>Enter the carbon dioxide emissions in the venting source category for product 3 in baseline year 2.</t>
  </si>
  <si>
    <t>Enter the methane emissions in the venting source category for product 3 in baseline year 2.</t>
  </si>
  <si>
    <t>Enter the nitrous oxide emissions in the venting source category for product 3 in baseline year 2.</t>
  </si>
  <si>
    <t>Enter the carbon dioxide emissions in the venting source category for product 3 in baseline year 3.</t>
  </si>
  <si>
    <t>Enter the methane emissions in the venting source category for product 3 in baseline year 3.</t>
  </si>
  <si>
    <t>Enter the nitrous oxide emissions in the venting source category for product 3 in baseline year 3.</t>
  </si>
  <si>
    <t>Enter the carbon dioxide emissions in the flaring source category for product 3 in baseline year 1.</t>
  </si>
  <si>
    <t>Enter the methane emissions in the flaring source category for product 3 in baseline year 1.</t>
  </si>
  <si>
    <t>Enter the nitrous oxide emissions in the flaring source category for product 3 in baseline year 1.</t>
  </si>
  <si>
    <t>Enter the carbon dioxide emissions in the flaring source category for product 3 in baseline year 2.</t>
  </si>
  <si>
    <t>Enter the methane emissions in the flaring source category for product 3 in baseline year 2.</t>
  </si>
  <si>
    <t>Enter the nitrous oxide emissions in the flaring source category for product 3 in baseline year 2.</t>
  </si>
  <si>
    <t>Enter the carbon dioxide emissions in the flaring source category for product 3 in baseline year 3.</t>
  </si>
  <si>
    <t>Enter the methane emissions in the flaring source category for product 3 in baseline year 3.</t>
  </si>
  <si>
    <t>Enter the nitrous oxide emissions in the flaring source category for product 3 in baseline year 3.</t>
  </si>
  <si>
    <t>Enter the carbon dioxide emissions in the leakage source category for product 3 in baseline year 1.</t>
  </si>
  <si>
    <t>Enter the methane emissions in the leakage source category for product 3 in baseline year 1.</t>
  </si>
  <si>
    <t>Enter the nitrous oxide emissions in the leakage source category for product 3 in baseline year 1.</t>
  </si>
  <si>
    <t>Enter the carbon dioxide emissions in the leakage source category for product 3 in baseline year 2.</t>
  </si>
  <si>
    <t>Enter the methane emissions in the leakage source category for product 3 in baseline year 2.</t>
  </si>
  <si>
    <t>Enter the nitrous oxide emissions in the leakage source category for product 3 in baseline year 2.</t>
  </si>
  <si>
    <t>Enter the carbon dioxide emissions in the leakage source category for product 3 in baseline year 3.</t>
  </si>
  <si>
    <t>Enter the methane emissions in the leakage source category for product 3 in baseline year 3.</t>
  </si>
  <si>
    <t>Enter the nitrous oxide emissions in the leakage source category for product 3 in baseline year 3.</t>
  </si>
  <si>
    <t>Enter the carbon dioxide emissions in the on-site transportation source category for product 3 in baseline year 1.</t>
  </si>
  <si>
    <t>Enter the methane emissions in the on-site transportation source category for product 3 in baseline year 1.</t>
  </si>
  <si>
    <t>Enter the nitrous oxide emissions in the on-site transportation source category for product 3 in baseline year 1.</t>
  </si>
  <si>
    <t>Enter the carbon dioxide emissions in the on-site transportation source category for product 3 in baseline year 2.</t>
  </si>
  <si>
    <t>Enter the methane emissions in the on-site transportation source category for product 3 in baseline year 2.</t>
  </si>
  <si>
    <t>Enter the nitrous oxide emissions in the on-site transportation source category for product 3 in baseline year 2.</t>
  </si>
  <si>
    <t>Enter the carbon dioxide emissions in the on-site transportation source category for product 3 in baseline year 3.</t>
  </si>
  <si>
    <t>Enter the methane emissions in the on-site transportation source category for product 3 in baseline year 3.</t>
  </si>
  <si>
    <t>Enter the nitrous oxide emissions in the on-site transportation source category for product 3 in baseline year 3.</t>
  </si>
  <si>
    <t>Enter the carbon dioxide emissions in the waste source category for product 3 in baseline year 1.</t>
  </si>
  <si>
    <t>Enter the methane emissions in the waste source category for product 3 in baseline year 1.</t>
  </si>
  <si>
    <t>Enter the nitrous oxide emissions in the waste source category for product 3 in baseline year 1.</t>
  </si>
  <si>
    <t>Enter the carbon dioxide emissions in the waste source category for product 3 in baseline year 2.</t>
  </si>
  <si>
    <t>Enter the methane emissions in the waste source category for product 3 in baseline year 2.</t>
  </si>
  <si>
    <t>Enter the nitrous oxide emissions in the waste source category for product 3 in baseline year 2.</t>
  </si>
  <si>
    <t>Enter the carbon dioxide emissions in the waste source category for product 3 in baseline year 3.</t>
  </si>
  <si>
    <t>Enter the methane emissions in the waste source category for product 3 in baseline year 3.</t>
  </si>
  <si>
    <t>Enter the nitrous oxide emissions in the waste source category for product 3 in baseline year 3.</t>
  </si>
  <si>
    <t>Enter the carbon dioxide emissions in the wastewater source category for product 3 in baseline year 1.</t>
  </si>
  <si>
    <t>Enter the methane emissions in the wastewater source category for product 3 in baseline year 1.</t>
  </si>
  <si>
    <t>Enter the nitrous oxide emissions in the wastewater source category for product 3 in baseline year 1.</t>
  </si>
  <si>
    <t>Enter the carbon dioxide emissions in the wastewater source category for product 3 in baseline year 2.</t>
  </si>
  <si>
    <t>Enter the methane emissions in the wastewater source category for product 3 in baseline year 2.</t>
  </si>
  <si>
    <t>Enter the nitrous oxide emissions in the wastewater source category for product 3 in baseline year 2.</t>
  </si>
  <si>
    <t>Enter the carbon dioxide emissions in the wastewater source category for product 3 in baseline year 3.</t>
  </si>
  <si>
    <t>Enter the methane emissions in the wastewater source category for product 3 in baseline year 3.</t>
  </si>
  <si>
    <t>Enter the nitrous oxide emissions in the wastewater source category for product 3 in baseline year 3.</t>
  </si>
  <si>
    <t>Enter the production units for product 4.</t>
  </si>
  <si>
    <t>Enter the carbon dioxide emissions in the stationary fuel combustion source category for product 4 in baseline year 1.</t>
  </si>
  <si>
    <t>Enter the methane emissions in the stationary fuel combustion source category for product 4 in baseline year 1.</t>
  </si>
  <si>
    <t>Enter the nitrous oxide emissions in the stationary fuel combustion source category for product 4 in baseline year 1.</t>
  </si>
  <si>
    <t>Enter the carbon dioxide emissions in the stationary fuel combustion source category for product 4 in baseline year 2.</t>
  </si>
  <si>
    <t>Enter the methane emissions in the stationary fuel combustion source category for product 4 in baseline year 2.</t>
  </si>
  <si>
    <t>Enter the nitrous oxide emissions in the stationary fuel combustion source category for product 4 in baseline year 2.</t>
  </si>
  <si>
    <t>Enter the carbon dioxide emissions in the stationary fuel combustion source category for product 4 in baseline year 3.</t>
  </si>
  <si>
    <t>Enter the methane emissions in the stationary fuel combustion source category for product 4 in baseline year 3.</t>
  </si>
  <si>
    <t>Enter the nitrous oxide emissions in the stationary fuel combustion source category for product 4 in baseline year 3.</t>
  </si>
  <si>
    <t>Enter the carbon dioxide emissions in the industrial process source category for product 4 in baseline year 1.</t>
  </si>
  <si>
    <t>Enter the methane emissions in the industrial process source category for product 4 in baseline year 1.</t>
  </si>
  <si>
    <t>Enter the nitrous oxide emissions in the industrial process source category for product 4 in baseline year 1.</t>
  </si>
  <si>
    <t>Enter the sulphur hexafluoride emissions in the industrial process source category for product 4 in baseline year 1.</t>
  </si>
  <si>
    <t>Enter the perfluoromethane emissions in the industrial process source category for product 4 in baseline year 1.</t>
  </si>
  <si>
    <t>Enter the perfluoroethane emissions in the industrial process source category for product 4 in baseline year 1.</t>
  </si>
  <si>
    <t>Enter the perfluoropropane emissions in the industrial process source category for product 4 in baseline year 1.</t>
  </si>
  <si>
    <t>Enter the perfluorobutane emissions in the industrial process source category for product 4 in baseline year 1.</t>
  </si>
  <si>
    <t>Enter the perfluorocyclobutane emissions in the industrial process source category for product 4 in baseline year 1.</t>
  </si>
  <si>
    <t>Enter the perfluoropentane emissions in the industrial process source category for product 4 in baseline year 1.</t>
  </si>
  <si>
    <t>Enter the perfluorohexane emissions in the industrial process source category for product 4 in baseline year 1.</t>
  </si>
  <si>
    <t>Enter the HFC-23 emissions in the industrial process source category for product 4 in baseline year 1.</t>
  </si>
  <si>
    <t>Enter the HFC-32 emissions in the industrial process source category for product 4 in baseline year 1.</t>
  </si>
  <si>
    <t>Enter the HFC-41 emissions in the industrial process source category for product 4 in baseline year 1.</t>
  </si>
  <si>
    <t>Enter the HFC-43-10mee emissions in the industrial process source category for product 4 in baseline year 1.</t>
  </si>
  <si>
    <t>Enter the HFC-125 emissions in the industrial process source category for product 4 in baseline year 1.</t>
  </si>
  <si>
    <t>Enter the HFC-134 emissions in the industrial process source category for product 4 in baseline year 1.</t>
  </si>
  <si>
    <t>Enter the HFC-134a emissions in the industrial process source category for product 4 in baseline year 1.</t>
  </si>
  <si>
    <t>Enter the HFC-143 emissions in the industrial process source category for product 4 in baseline year 1.</t>
  </si>
  <si>
    <t>Enter the HFC-143a emissions in the industrial process source category for product 4 in baseline year 1.</t>
  </si>
  <si>
    <t>Enter the HFC-152a emissions in the industrial process source category for product 4 in baseline year 1.</t>
  </si>
  <si>
    <t>Enter the HFC-227ea emissions in the industrial process source category for product 4 in baseline year 1.</t>
  </si>
  <si>
    <t>Enter the HFC-236fa emissions in the industrial process source category for product 4 in baseline year 1.</t>
  </si>
  <si>
    <t>Enter the HFC-245ca emissions in the industrial process source category for product 4 in baseline year 1.</t>
  </si>
  <si>
    <t>Enter the carbon dioxide emissions in the industrial process source category for product 4 in baseline year 2.</t>
  </si>
  <si>
    <t>Enter the methane emissions in the industrial process source category for product 4 in baseline year 2.</t>
  </si>
  <si>
    <t>Enter the nitrous oxide emissions in the industrial process source category for product 4 in baseline year 2.</t>
  </si>
  <si>
    <t>Enter the sulphur hexafluoride emissions in the industrial process source category for product 4 in baseline year 2.</t>
  </si>
  <si>
    <t>Enter the perfluoromethane emissions in the industrial process source category for product 4 in baseline year 2.</t>
  </si>
  <si>
    <t>Enter the perfluoroethane emissions in the industrial process source category for product 4 in baseline year 2.</t>
  </si>
  <si>
    <t>Enter the perfluoropropane emissions in the industrial process source category for product 4 in baseline year 2.</t>
  </si>
  <si>
    <t>Enter the perfluorobutane emissions in the industrial process source category for product 4 in baseline year 2.</t>
  </si>
  <si>
    <t>Enter the perfluorocyclobutane emissions in the industrial process source category for product 4 in baseline year 2.</t>
  </si>
  <si>
    <t>Enter the perfluoropentane emissions in the industrial process source category for product 4 in baseline year 2.</t>
  </si>
  <si>
    <t>Enter the perfluorohexane emissions in the industrial process source category for product 4 in baseline year 2.</t>
  </si>
  <si>
    <t>Enter the HFC-23 emissions in the industrial process source category for product 4 in baseline year 2.</t>
  </si>
  <si>
    <t>Enter the HFC-32 emissions in the industrial process source category for product 4 in baseline year 2.</t>
  </si>
  <si>
    <t>Enter the HFC-41 emissions in the industrial process source category for product 4 in baseline year 2.</t>
  </si>
  <si>
    <t>Enter the HFC-43-10mee emissions in the industrial process source category for product 4 in baseline year 2.</t>
  </si>
  <si>
    <t>Enter the HFC-125 emissions in the industrial process source category for product 4 in baseline year 2.</t>
  </si>
  <si>
    <t>Enter the HFC-134 emissions in the industrial process source category for product 4 in baseline year 2.</t>
  </si>
  <si>
    <t>Enter the HFC-134a emissions in the industrial process source category for product 4 in baseline year 2.</t>
  </si>
  <si>
    <t>Enter the HFC-143 emissions in the industrial process source category for product 4 in baseline year 2.</t>
  </si>
  <si>
    <t>Enter the HFC-143a emissions in the industrial process source category for product 4 in baseline year 2.</t>
  </si>
  <si>
    <t>Enter the HFC-152a emissions in the industrial process source category for product 4 in baseline year 2.</t>
  </si>
  <si>
    <t>Enter the HFC-227ea emissions in the industrial process source category for product 4 in baseline year 2.</t>
  </si>
  <si>
    <t>Enter the HFC-236fa emissions in the industrial process source category for product 4 in baseline year 2.</t>
  </si>
  <si>
    <t>Enter the HFC-245ca emissions in the industrial process source category for product 4 in baseline year 2.</t>
  </si>
  <si>
    <t>Enter the carbon dioxide emissions in the industrial process source category for product 4 in baseline year 3.</t>
  </si>
  <si>
    <t>Enter the methane emissions in the industrial process source category for product 4 in baseline year 3.</t>
  </si>
  <si>
    <t>Enter the nitrous oxide emissions in the industrial process source category for product 4 in baseline year 3.</t>
  </si>
  <si>
    <t>Enter the sulphur hexafluoride emissions in the industrial process source category for product 4 in baseline year 3.</t>
  </si>
  <si>
    <t>Enter the perfluoromethane emissions in the industrial process source category for product 4 in baseline year 3.</t>
  </si>
  <si>
    <t>Enter the perfluoroethane emissions in the industrial process source category for product 4 in baseline year 3.</t>
  </si>
  <si>
    <t>Enter the perfluoropropane emissions in the industrial process source category for product 4 in baseline year 3.</t>
  </si>
  <si>
    <t>Enter the perfluorobutane emissions in the industrial process source category for product 4 in baseline year 3.</t>
  </si>
  <si>
    <t>Enter the perfluorocyclobutane emissions in the industrial process source category for product 4 in baseline year 3.</t>
  </si>
  <si>
    <t>Enter the perfluoropentane emissions in the industrial process source category for product 4 in baseline year 3.</t>
  </si>
  <si>
    <t>Enter the perfluorohexane emissions in the industrial process source category for product 4 in baseline year 3.</t>
  </si>
  <si>
    <t>Enter the HFC-23 emissions in the industrial process source category for product 4 in baseline year 3.</t>
  </si>
  <si>
    <t>Enter the HFC-32 emissions in the industrial process source category for product 4 in baseline year 3.</t>
  </si>
  <si>
    <t>Enter the HFC-41 emissions in the industrial process source category for product 4 in baseline year 3.</t>
  </si>
  <si>
    <t>Enter the HFC-43-10mee emissions in the industrial process source category for product 4 in baseline year 3.</t>
  </si>
  <si>
    <t>Enter the HFC-125 emissions in the industrial process source category for product 4 in baseline year 3.</t>
  </si>
  <si>
    <t>Enter the HFC-134 emissions in the industrial process source category for product 4 in baseline year 3.</t>
  </si>
  <si>
    <t>Enter the HFC-134a emissions in the industrial process source category for product 4 in baseline year 3.</t>
  </si>
  <si>
    <t>Enter the HFC-143 emissions in the industrial process source category for product 4 in baseline year 3.</t>
  </si>
  <si>
    <t>Enter the HFC-143a emissions in the industrial process source category for product 4 in baseline year 3.</t>
  </si>
  <si>
    <t>Enter the HFC-152a emissions in the industrial process source category for product 4 in baseline year 3.</t>
  </si>
  <si>
    <t>Enter the HFC-227ea emissions in the industrial process source category for product 4 in baseline year 3.</t>
  </si>
  <si>
    <t>Enter the HFC-236fa emissions in the industrial process source category for product 4 in baseline year 3.</t>
  </si>
  <si>
    <t>Enter the HFC-245ca emissions in the industrial process source category for product 4 in baseline year 3.</t>
  </si>
  <si>
    <t>Enter the sulphur hexafluoride emissions in the industrial product use source category for product 4 in baseline year 1.</t>
  </si>
  <si>
    <t>Enter the perfluoromethane emissions in the industrial product use source category for product 4 in baseline year 1.</t>
  </si>
  <si>
    <t>Enter the perfluoroethane emissions in the industrial product use source category for product 4 in baseline year 1.</t>
  </si>
  <si>
    <t>Enter the perfluoropropane emissions in the industrial product use source category for product 4 in baseline year 1.</t>
  </si>
  <si>
    <t>Enter the perfluorobutane emissions in the industrial product use source category for product 4 in baseline year 1.</t>
  </si>
  <si>
    <t>Enter the perfluorocyclobutane emissions in the industrial product use source category for product 4 in baseline year 1.</t>
  </si>
  <si>
    <t>Enter the perfluoropentane emissions in the industrial product use source category for product 4 in baseline year 1.</t>
  </si>
  <si>
    <t>Enter the perfluorohexane emissions in the industrial product use source category for product 4 in baseline year 1.</t>
  </si>
  <si>
    <t>Enter the HFC-23 emissions in the industrial product use source category for product 4 in baseline year 1.</t>
  </si>
  <si>
    <t>Enter the HFC-32 emissions in the industrial product use source category for product 4 in baseline year 1.</t>
  </si>
  <si>
    <t>Enter the HFC-41 emissions in the industrial product use source category for product 4 in baseline year 1.</t>
  </si>
  <si>
    <t>Enter the HFC-43-10mee emissions in the industrial product use source category for product 4 in baseline year 1.</t>
  </si>
  <si>
    <t>Enter the HFC-125 emissions in the industrial product use source category for product 4 in baseline year 1.</t>
  </si>
  <si>
    <t>Enter the HFC-134 emissions in the industrial product use source category for product 4 in baseline year 1.</t>
  </si>
  <si>
    <t>Enter the HFC-134a emissions in the industrial product use source category for product 4 in baseline year 1.</t>
  </si>
  <si>
    <t>Enter the HFC-143 emissions in the industrial product use source category for product 4 in baseline year 1.</t>
  </si>
  <si>
    <t>Enter the HFC-143a emissions in the industrial product use source category for product 4 in baseline year 1.</t>
  </si>
  <si>
    <t>Enter the HFC-152a emissions in the industrial product use source category for product 4 in baseline year 1.</t>
  </si>
  <si>
    <t>Enter the HFC-227ea emissions in the industrial product use source category for product 4 in baseline year 1.</t>
  </si>
  <si>
    <t>Enter the HFC-236fa emissions in the industrial product use source category for product 4 in baseline year 1.</t>
  </si>
  <si>
    <t>Enter the HFC-245ca emissions in the industrial product use source category for product 4 in baseline year 1.</t>
  </si>
  <si>
    <t>Enter the sulphur hexafluoride emissions in the industrial product use source category for product 4 in baseline year 2.</t>
  </si>
  <si>
    <t>Enter the perfluoromethane emissions in the industrial product use source category for product 4 in baseline year 2.</t>
  </si>
  <si>
    <t>Enter the perfluoroethane emissions in the industrial product use source category for product 4 in baseline year 2.</t>
  </si>
  <si>
    <t>Enter the perfluoropropane emissions in the industrial product use source category for product 4 in baseline year 2.</t>
  </si>
  <si>
    <t>Enter the perfluorobutane emissions in the industrial product use source category for product 4 in baseline year 2.</t>
  </si>
  <si>
    <t>Enter the perfluorocyclobutane emissions in the industrial product use source category for product 4 in baseline year 2.</t>
  </si>
  <si>
    <t>Enter the perfluoropentane emissions in the industrial product use source category for product 4 in baseline year 2.</t>
  </si>
  <si>
    <t>Enter the perfluorohexane emissions in the industrial product use source category for product 4 in baseline year 2.</t>
  </si>
  <si>
    <t>Enter the HFC-23 emissions in the industrial product use source category for product 4 in baseline year 2.</t>
  </si>
  <si>
    <t>Enter the HFC-32 emissions in the industrial product use source category for product 4 in baseline year 2.</t>
  </si>
  <si>
    <t>Enter the HFC-41 emissions in the industrial product use source category for product 4 in baseline year 2.</t>
  </si>
  <si>
    <t>Enter the HFC-43-10mee emissions in the industrial product use source category for product 4 in baseline year 2.</t>
  </si>
  <si>
    <t>Enter the HFC-125 emissions in the industrial product use source category for product 4 in baseline year 2.</t>
  </si>
  <si>
    <t>Enter the HFC-134 emissions in the industrial product use source category for product 4 in baseline year 2.</t>
  </si>
  <si>
    <t>Enter the HFC-134a emissions in the industrial product use source category for product 4 in baseline year 2.</t>
  </si>
  <si>
    <t>Enter the HFC-143 emissions in the industrial product use source category for product 4 in baseline year 2.</t>
  </si>
  <si>
    <t>Enter the HFC-143a emissions in the industrial product use source category for product 4 in baseline year 2.</t>
  </si>
  <si>
    <t>Enter the HFC-152a emissions in the industrial product use source category for product 4 in baseline year 2.</t>
  </si>
  <si>
    <t>Enter the HFC-227ea emissions in the industrial product use source category for product 4 in baseline year 2.</t>
  </si>
  <si>
    <t>Enter the HFC-236fa emissions in the industrial product use source category for product 4 in baseline year 2.</t>
  </si>
  <si>
    <t>Enter the HFC-245ca emissions in the industrial product use source category for product 4 in baseline year 2.</t>
  </si>
  <si>
    <t>Enter the sulphur hexafluoride emissions in the industrial product use source category for product 4 in baseline year 3.</t>
  </si>
  <si>
    <t>Enter the perfluoromethane emissions in the industrial product use source category for product 4 in baseline year 3.</t>
  </si>
  <si>
    <t>Enter the perfluoroethane emissions in the industrial product use source category for product 4 in baseline year 3.</t>
  </si>
  <si>
    <t>Enter the perfluoropropane emissions in the industrial product use source category for product 4 in baseline year 3.</t>
  </si>
  <si>
    <t>Enter the perfluorobutane emissions in the industrial product use source category for product 4 in baseline year 3.</t>
  </si>
  <si>
    <t>Enter the perfluorocyclobutane emissions in the industrial product use source category for product 4 in baseline year 3.</t>
  </si>
  <si>
    <t>Enter the perfluoropentane emissions in the industrial product use source category for product 4 in baseline year 3.</t>
  </si>
  <si>
    <t>Enter the perfluorohexane emissions in the industrial product use source category for product 4 in baseline year 3.</t>
  </si>
  <si>
    <t>Enter the HFC-23 emissions in the industrial product use source category for product 4 in baseline year 3.</t>
  </si>
  <si>
    <t>Enter the HFC-32 emissions in the industrial product use source category for product 4 in baseline year 3.</t>
  </si>
  <si>
    <t>Enter the HFC-41 emissions in the industrial product use source category for product 4 in baseline year 3.</t>
  </si>
  <si>
    <t>Enter the HFC-43-10mee emissions in the industrial product use source category for product 4 in baseline year 3.</t>
  </si>
  <si>
    <t>Enter the HFC-125 emissions in the industrial product use source category for product 4 in baseline year 3.</t>
  </si>
  <si>
    <t>Enter the HFC-134 emissions in the industrial product use source category for product 4 in baseline year 3.</t>
  </si>
  <si>
    <t>Enter the HFC-134a emissions in the industrial product use source category for product 4 in baseline year 3.</t>
  </si>
  <si>
    <t>Enter the HFC-143 emissions in the industrial product use source category for product 4 in baseline year 3.</t>
  </si>
  <si>
    <t>Enter the HFC-143a emissions in the industrial product use source category for product 4 in baseline year 3.</t>
  </si>
  <si>
    <t>Enter the HFC-152a emissions in the industrial product use source category for product 4 in baseline year 3.</t>
  </si>
  <si>
    <t>Enter the HFC-227ea emissions in the industrial product use source category for product 4 in baseline year 3.</t>
  </si>
  <si>
    <t>Enter the HFC-236fa emissions in the industrial product use source category for product 4 in baseline year 3.</t>
  </si>
  <si>
    <t>Enter the HFC-245ca emissions in the industrial product use source category for product 4 in baseline year 3.</t>
  </si>
  <si>
    <t>Enter the carbon dioxide emissions in the venting source category for product 4 in baseline year 1.</t>
  </si>
  <si>
    <t>Enter the methane emissions in the venting source category for product 4 in baseline year 1.</t>
  </si>
  <si>
    <t>Enter the nitrous oxide emissions in the venting source category for product 4 in baseline year 1.</t>
  </si>
  <si>
    <t>Enter the carbon dioxide emissions in the venting source category for product 4 in baseline year 2.</t>
  </si>
  <si>
    <t>Enter the methane emissions in the venting source category for product 4 in baseline year 2.</t>
  </si>
  <si>
    <t>Enter the nitrous oxide emissions in the venting source category for product 4 in baseline year 2.</t>
  </si>
  <si>
    <t>Enter the carbon dioxide emissions in the venting source category for product 4 in baseline year 3.</t>
  </si>
  <si>
    <t>Enter the methane emissions in the venting source category for product 4 in baseline year 3.</t>
  </si>
  <si>
    <t>Enter the nitrous oxide emissions in the venting source category for product 4 in baseline year 3.</t>
  </si>
  <si>
    <t>Enter the carbon dioxide emissions in the flaring source category for product 4 in baseline year 1.</t>
  </si>
  <si>
    <t>Enter the methane emissions in the flaring source category for product 4 in baseline year 1.</t>
  </si>
  <si>
    <t>Enter the nitrous oxide emissions in the flaring source category for product 4 in baseline year 1.</t>
  </si>
  <si>
    <t>Enter the carbon dioxide emissions in the flaring source category for product 4 in baseline year 2.</t>
  </si>
  <si>
    <t>Enter the methane emissions in the flaring source category for product 4 in baseline year 2.</t>
  </si>
  <si>
    <t>Enter the nitrous oxide emissions in the flaring source category for product 4 in baseline year 2.</t>
  </si>
  <si>
    <t>Enter the carbon dioxide emissions in the flaring source category for product 4 in baseline year 3.</t>
  </si>
  <si>
    <t>Enter the methane emissions in the flaring source category for product 4 in baseline year 3.</t>
  </si>
  <si>
    <t>Enter the nitrous oxide emissions in the flaring source category for product 4 in baseline year 3.</t>
  </si>
  <si>
    <t>Enter the carbon dioxide emissions in the leakage source category for product 4 in baseline year 1.</t>
  </si>
  <si>
    <t>Enter the methane emissions in the leakage source category for product 4 in baseline year 1.</t>
  </si>
  <si>
    <t>Enter the nitrous oxide emissions in the leakage source category for product 4 in baseline year 1.</t>
  </si>
  <si>
    <t>Enter the carbon dioxide emissions in the leakage source category for product 4 in baseline year 2.</t>
  </si>
  <si>
    <t>Enter the methane emissions in the leakage source category for product 4 in baseline year 2.</t>
  </si>
  <si>
    <t>Enter the nitrous oxide emissions in the leakage source category for product 4 in baseline year 2.</t>
  </si>
  <si>
    <t>Enter the carbon dioxide emissions in the leakage source category for product 4 in baseline year 3.</t>
  </si>
  <si>
    <t>Enter the methane emissions in the leakage source category for product 4 in baseline year 3.</t>
  </si>
  <si>
    <t>Enter the nitrous oxide emissions in the leakage source category for product 4 in baseline year 3.</t>
  </si>
  <si>
    <t>Enter the carbon dioxide emissions in the on-site transportation source category for product 4 in baseline year 1.</t>
  </si>
  <si>
    <t>Enter the methane emissions in the on-site transportation source category for product 4 in baseline year 1.</t>
  </si>
  <si>
    <t>Enter the nitrous oxide emissions in the on-site transportation source category for product 4 in baseline year 1.</t>
  </si>
  <si>
    <t>Enter the carbon dioxide emissions in the on-site transportation source category for product 4 in baseline year 2.</t>
  </si>
  <si>
    <t>Enter the methane emissions in the on-site transportation source category for product 4 in baseline year 2.</t>
  </si>
  <si>
    <t>Enter the nitrous oxide emissions in the on-site transportation source category for product 4 in baseline year 2.</t>
  </si>
  <si>
    <t>Enter the carbon dioxide emissions in the on-site transportation source category for product 4 in baseline year 3.</t>
  </si>
  <si>
    <t>Enter the methane emissions in the on-site transportation source category for product 4 in baseline year 3.</t>
  </si>
  <si>
    <t>Enter the nitrous oxide emissions in the on-site transportation source category for product 4 in baseline year 3.</t>
  </si>
  <si>
    <t>Enter the carbon dioxide emissions in the waste source category for product 4 in baseline year 1.</t>
  </si>
  <si>
    <t>Enter the methane emissions in the waste source category for product 4 in baseline year 1.</t>
  </si>
  <si>
    <t>Enter the nitrous oxide emissions in the waste source category for product 4 in baseline year 1.</t>
  </si>
  <si>
    <t>Enter the carbon dioxide emissions in the waste source category for product 4 in baseline year 2.</t>
  </si>
  <si>
    <t>Enter the methane emissions in the waste source category for product 4 in baseline year 2.</t>
  </si>
  <si>
    <t>Enter the nitrous oxide emissions in the waste source category for product 4 in baseline year 2.</t>
  </si>
  <si>
    <t>Enter the carbon dioxide emissions in the waste source category for product 4 in baseline year 3.</t>
  </si>
  <si>
    <t>Enter the methane emissions in the waste source category for product 4 in baseline year 3.</t>
  </si>
  <si>
    <t>Enter the nitrous oxide emissions in the waste source category for product 4 in baseline year 3.</t>
  </si>
  <si>
    <t>Enter the carbon dioxide emissions in the wastewater source category for product 4 in baseline year 1.</t>
  </si>
  <si>
    <t>Enter the methane emissions in the wastewater source category for product 4 in baseline year 1.</t>
  </si>
  <si>
    <t>Enter the nitrous oxide emissions in the wastewater source category for product 4 in baseline year 1.</t>
  </si>
  <si>
    <t>Enter the carbon dioxide emissions in the wastewater source category for product 4 in baseline year 2.</t>
  </si>
  <si>
    <t>Enter the methane emissions in the wastewater source category for product 4 in baseline year 2.</t>
  </si>
  <si>
    <t>Enter the nitrous oxide emissions in the wastewater source category for product 4 in baseline year 2.</t>
  </si>
  <si>
    <t>Enter the carbon dioxide emissions in the wastewater source category for product 4 in baseline year 3.</t>
  </si>
  <si>
    <t>Enter the methane emissions in the wastewater source category for product 4 in baseline year 3.</t>
  </si>
  <si>
    <t>Enter the nitrous oxide emissions in the wastewater source category for product 4 in baseline year 3.</t>
  </si>
  <si>
    <t>Enter the production units for product 5.</t>
  </si>
  <si>
    <t>Enter the carbon dioxide emissions in the stationary fuel combustion source category for product 5 in baseline year 1.</t>
  </si>
  <si>
    <t>Enter the methane emissions in the stationary fuel combustion source category for product 5 in baseline year 1.</t>
  </si>
  <si>
    <t>Enter the nitrous oxide emissions in the stationary fuel combustion source category for product 5 in baseline year 1.</t>
  </si>
  <si>
    <t>Enter the carbon dioxide emissions in the stationary fuel combustion source category for product 5 in baseline year 2.</t>
  </si>
  <si>
    <t>Enter the methane emissions in the stationary fuel combustion source category for product 5 in baseline year 2.</t>
  </si>
  <si>
    <t>Enter the nitrous oxide emissions in the stationary fuel combustion source category for product 5 in baseline year 2.</t>
  </si>
  <si>
    <t>Enter the carbon dioxide emissions in the stationary fuel combustion source category for product 5 in baseline year 3.</t>
  </si>
  <si>
    <t>Enter the methane emissions in the stationary fuel combustion source category for product 5 in baseline year 3.</t>
  </si>
  <si>
    <t>Enter the nitrous oxide emissions in the stationary fuel combustion source category for product 5 in baseline year 3.</t>
  </si>
  <si>
    <t>Enter the carbon dioxide emissions in the industrial process source category for product 5 in baseline year 1.</t>
  </si>
  <si>
    <t>Enter the methane emissions in the industrial process source category for product 5 in baseline year 1.</t>
  </si>
  <si>
    <t>Enter the nitrous oxide emissions in the industrial process source category for product 5 in baseline year 1.</t>
  </si>
  <si>
    <t>Enter the sulphur hexafluoride emissions in the industrial process source category for product 5 in baseline year 1.</t>
  </si>
  <si>
    <t>Enter the perfluoromethane emissions in the industrial process source category for product 5 in baseline year 1.</t>
  </si>
  <si>
    <t>Enter the perfluoroethane emissions in the industrial process source category for product 5 in baseline year 1.</t>
  </si>
  <si>
    <t>Enter the perfluoropropane emissions in the industrial process source category for product 5 in baseline year 1.</t>
  </si>
  <si>
    <t>Enter the perfluorobutane emissions in the industrial process source category for product 5 in baseline year 1.</t>
  </si>
  <si>
    <t>Enter the perfluorocyclobutane emissions in the industrial process source category for product 5 in baseline year 1.</t>
  </si>
  <si>
    <t>Enter the perfluoropentane emissions in the industrial process source category for product 5 in baseline year 1.</t>
  </si>
  <si>
    <t>Enter the perfluorohexane emissions in the industrial process source category for product 5 in baseline year 1.</t>
  </si>
  <si>
    <t>Enter the HFC-23 emissions in the industrial process source category for product 5 in baseline year 1.</t>
  </si>
  <si>
    <t>Enter the HFC-32 emissions in the industrial process source category for product 5 in baseline year 1.</t>
  </si>
  <si>
    <t>Enter the HFC-41 emissions in the industrial process source category for product 5 in baseline year 1.</t>
  </si>
  <si>
    <t>Enter the HFC-43-10mee emissions in the industrial process source category for product 5 in baseline year 1.</t>
  </si>
  <si>
    <t>Enter the HFC-125 emissions in the industrial process source category for product 5 in baseline year 1.</t>
  </si>
  <si>
    <t>Enter the HFC-134 emissions in the industrial process source category for product 5 in baseline year 1.</t>
  </si>
  <si>
    <t>Enter the HFC-134a emissions in the industrial process source category for product 5 in baseline year 1.</t>
  </si>
  <si>
    <t>Enter the HFC-143 emissions in the industrial process source category for product 5 in baseline year 1.</t>
  </si>
  <si>
    <t>Enter the HFC-143a emissions in the industrial process source category for product 5 in baseline year 1.</t>
  </si>
  <si>
    <t>Enter the HFC-152a emissions in the industrial process source category for product 5 in baseline year 1.</t>
  </si>
  <si>
    <t>Enter the HFC-227ea emissions in the industrial process source category for product 5 in baseline year 1.</t>
  </si>
  <si>
    <t>Enter the HFC-236fa emissions in the industrial process source category for product 5 in baseline year 1.</t>
  </si>
  <si>
    <t>Enter the HFC-245ca emissions in the industrial process source category for product 5 in baseline year 1.</t>
  </si>
  <si>
    <t>Enter the carbon dioxide emissions in the industrial process source category for product 5 in baseline year 2.</t>
  </si>
  <si>
    <t>Enter the methane emissions in the industrial process source category for product 5 in baseline year 2.</t>
  </si>
  <si>
    <t>Enter the nitrous oxide emissions in the industrial process source category for product 5 in baseline year 2.</t>
  </si>
  <si>
    <t>Enter the sulphur hexafluoride emissions in the industrial process source category for product 5 in baseline year 2.</t>
  </si>
  <si>
    <t>Enter the perfluoromethane emissions in the industrial process source category for product 5 in baseline year 2.</t>
  </si>
  <si>
    <t>Enter the perfluoroethane emissions in the industrial process source category for product 5 in baseline year 2.</t>
  </si>
  <si>
    <t>Enter the perfluoropropane emissions in the industrial process source category for product 5 in baseline year 2.</t>
  </si>
  <si>
    <t>Enter the perfluorobutane emissions in the industrial process source category for product 5 in baseline year 2.</t>
  </si>
  <si>
    <t>Enter the perfluorocyclobutane emissions in the industrial process source category for product 5 in baseline year 2.</t>
  </si>
  <si>
    <t>Enter the perfluoropentane emissions in the industrial process source category for product 5 in baseline year 2.</t>
  </si>
  <si>
    <t>Enter the perfluorohexane emissions in the industrial process source category for product 5 in baseline year 2.</t>
  </si>
  <si>
    <t>Enter the HFC-23 emissions in the industrial process source category for product 5 in baseline year 2.</t>
  </si>
  <si>
    <t>Enter the HFC-32 emissions in the industrial process source category for product 5 in baseline year 2.</t>
  </si>
  <si>
    <t>Enter the HFC-41 emissions in the industrial process source category for product 5 in baseline year 2.</t>
  </si>
  <si>
    <t>Enter the HFC-43-10mee emissions in the industrial process source category for product 5 in baseline year 2.</t>
  </si>
  <si>
    <t>Enter the HFC-125 emissions in the industrial process source category for product 5 in baseline year 2.</t>
  </si>
  <si>
    <t>Enter the HFC-134 emissions in the industrial process source category for product 5 in baseline year 2.</t>
  </si>
  <si>
    <t>Enter the HFC-134a emissions in the industrial process source category for product 5 in baseline year 2.</t>
  </si>
  <si>
    <t>Enter the HFC-143 emissions in the industrial process source category for product 5 in baseline year 2.</t>
  </si>
  <si>
    <t>Enter the HFC-143a emissions in the industrial process source category for product 5 in baseline year 2.</t>
  </si>
  <si>
    <t>Enter the HFC-152a emissions in the industrial process source category for product 5 in baseline year 2.</t>
  </si>
  <si>
    <t>Enter the HFC-227ea emissions in the industrial process source category for product 5 in baseline year 2.</t>
  </si>
  <si>
    <t>Enter the HFC-236fa emissions in the industrial process source category for product 5 in baseline year 2.</t>
  </si>
  <si>
    <t>Enter the HFC-245ca emissions in the industrial process source category for product 5 in baseline year 2.</t>
  </si>
  <si>
    <t>Enter the carbon dioxide emissions in the industrial process source category for product 5 in baseline year 3.</t>
  </si>
  <si>
    <t>Enter the methane emissions in the industrial process source category for product 5 in baseline year 3.</t>
  </si>
  <si>
    <t>Enter the nitrous oxide emissions in the industrial process source category for product 5 in baseline year 3.</t>
  </si>
  <si>
    <t>Enter the sulphur hexafluoride emissions in the industrial process source category for product 5 in baseline year 3.</t>
  </si>
  <si>
    <t>Enter the perfluoromethane emissions in the industrial process source category for product 5 in baseline year 3.</t>
  </si>
  <si>
    <t>Enter the perfluoroethane emissions in the industrial process source category for product 5 in baseline year 3.</t>
  </si>
  <si>
    <t>Enter the perfluoropropane emissions in the industrial process source category for product 5 in baseline year 3.</t>
  </si>
  <si>
    <t>Enter the perfluorobutane emissions in the industrial process source category for product 5 in baseline year 3.</t>
  </si>
  <si>
    <t>Enter the perfluorocyclobutane emissions in the industrial process source category for product 5 in baseline year 3.</t>
  </si>
  <si>
    <t>Enter the perfluoropentane emissions in the industrial process source category for product 5 in baseline year 3.</t>
  </si>
  <si>
    <t>Enter the perfluorohexane emissions in the industrial process source category for product 5 in baseline year 3.</t>
  </si>
  <si>
    <t>Enter the HFC-23 emissions in the industrial process source category for product 5 in baseline year 3.</t>
  </si>
  <si>
    <t>Enter the HFC-32 emissions in the industrial process source category for product 5 in baseline year 3.</t>
  </si>
  <si>
    <t>Enter the HFC-41 emissions in the industrial process source category for product 5 in baseline year 3.</t>
  </si>
  <si>
    <t>Enter the HFC-43-10mee emissions in the industrial process source category for product 5 in baseline year 3.</t>
  </si>
  <si>
    <t>Enter the HFC-125 emissions in the industrial process source category for product 5 in baseline year 3.</t>
  </si>
  <si>
    <t>Enter the HFC-134 emissions in the industrial process source category for product 5 in baseline year 3.</t>
  </si>
  <si>
    <t>Enter the HFC-134a emissions in the industrial process source category for product 5 in baseline year 3.</t>
  </si>
  <si>
    <t>Enter the HFC-143 emissions in the industrial process source category for product 5 in baseline year 3.</t>
  </si>
  <si>
    <t>Enter the HFC-143a emissions in the industrial process source category for product 5 in baseline year 3.</t>
  </si>
  <si>
    <t>Enter the HFC-152a emissions in the industrial process source category for product 5 in baseline year 3.</t>
  </si>
  <si>
    <t>Enter the HFC-227ea emissions in the industrial process source category for product 5 in baseline year 3.</t>
  </si>
  <si>
    <t>Enter the HFC-236fa emissions in the industrial process source category for product 5 in baseline year 3.</t>
  </si>
  <si>
    <t>Enter the HFC-245ca emissions in the industrial process source category for product 5 in baseline year 3.</t>
  </si>
  <si>
    <t>Enter the sulphur hexafluoride emissions in the industrial product use source category for product 5 in baseline year 1.</t>
  </si>
  <si>
    <t>Enter the perfluoromethane emissions in the industrial product use source category for product 5 in baseline year 1.</t>
  </si>
  <si>
    <t>Enter the perfluoroethane emissions in the industrial product use source category for product 5 in baseline year 1.</t>
  </si>
  <si>
    <t>Enter the perfluoropropane emissions in the industrial product use source category for product 5 in baseline year 1.</t>
  </si>
  <si>
    <t>Enter the perfluorobutane emissions in the industrial product use source category for product 5 in baseline year 1.</t>
  </si>
  <si>
    <t>Enter the perfluorocyclobutane emissions in the industrial product use source category for product 5 in baseline year 1.</t>
  </si>
  <si>
    <t>Enter the perfluoropentane emissions in the industrial product use source category for product 5 in baseline year 1.</t>
  </si>
  <si>
    <t>Enter the perfluorohexane emissions in the industrial product use source category for product 5 in baseline year 1.</t>
  </si>
  <si>
    <t>Enter the HFC-23 emissions in the industrial product use source category for product 5 in baseline year 1.</t>
  </si>
  <si>
    <t>Enter the HFC-32 emissions in the industrial product use source category for product 5 in baseline year 1.</t>
  </si>
  <si>
    <t>Enter the HFC-41 emissions in the industrial product use source category for product 5 in baseline year 1.</t>
  </si>
  <si>
    <t>Enter the HFC-43-10mee emissions in the industrial product use source category for product 5 in baseline year 1.</t>
  </si>
  <si>
    <t>Enter the HFC-125 emissions in the industrial product use source category for product 5 in baseline year 1.</t>
  </si>
  <si>
    <t>Enter the HFC-134 emissions in the industrial product use source category for product 5 in baseline year 1.</t>
  </si>
  <si>
    <t>Enter the HFC-134a emissions in the industrial product use source category for product 5 in baseline year 1.</t>
  </si>
  <si>
    <t>Enter the HFC-143 emissions in the industrial product use source category for product 5 in baseline year 1.</t>
  </si>
  <si>
    <t>Enter the HFC-143a emissions in the industrial product use source category for product 5 in baseline year 1.</t>
  </si>
  <si>
    <t>Enter the HFC-152a emissions in the industrial product use source category for product 5 in baseline year 1.</t>
  </si>
  <si>
    <t>Enter the HFC-227ea emissions in the industrial product use source category for product 5 in baseline year 1.</t>
  </si>
  <si>
    <t>Enter the HFC-236fa emissions in the industrial product use source category for product 5 in baseline year 1.</t>
  </si>
  <si>
    <t>Enter the HFC-245ca emissions in the industrial product use source category for product 5 in baseline year 1.</t>
  </si>
  <si>
    <t>Enter the sulphur hexafluoride emissions in the industrial product use source category for product 5 in baseline year 2.</t>
  </si>
  <si>
    <t>Enter the perfluoromethane emissions in the industrial product use source category for product 5 in baseline year 2.</t>
  </si>
  <si>
    <t>Enter the perfluoroethane emissions in the industrial product use source category for product 5 in baseline year 2.</t>
  </si>
  <si>
    <t>Enter the perfluoropropane emissions in the industrial product use source category for product 5 in baseline year 2.</t>
  </si>
  <si>
    <t>Enter the perfluorobutane emissions in the industrial product use source category for product 5 in baseline year 2.</t>
  </si>
  <si>
    <t>Enter the perfluorocyclobutane emissions in the industrial product use source category for product 5 in baseline year 2.</t>
  </si>
  <si>
    <t>Enter the perfluoropentane emissions in the industrial product use source category for product 5 in baseline year 2.</t>
  </si>
  <si>
    <t>Enter the perfluorohexane emissions in the industrial product use source category for product 5 in baseline year 2.</t>
  </si>
  <si>
    <t>Enter the HFC-23 emissions in the industrial product use source category for product 5 in baseline year 2.</t>
  </si>
  <si>
    <t>Enter the HFC-32 emissions in the industrial product use source category for product 5 in baseline year 2.</t>
  </si>
  <si>
    <t>Enter the HFC-41 emissions in the industrial product use source category for product 5 in baseline year 2.</t>
  </si>
  <si>
    <t>Enter the HFC-43-10mee emissions in the industrial product use source category for product 5 in baseline year 2.</t>
  </si>
  <si>
    <t>Enter the HFC-125 emissions in the industrial product use source category for product 5 in baseline year 2.</t>
  </si>
  <si>
    <t>Enter the HFC-134 emissions in the industrial product use source category for product 5 in baseline year 2.</t>
  </si>
  <si>
    <t>Enter the HFC-134a emissions in the industrial product use source category for product 5 in baseline year 2.</t>
  </si>
  <si>
    <t>Enter the HFC-143 emissions in the industrial product use source category for product 5 in baseline year 2.</t>
  </si>
  <si>
    <t>Enter the HFC-143a emissions in the industrial product use source category for product 5 in baseline year 2.</t>
  </si>
  <si>
    <t>Enter the HFC-152a emissions in the industrial product use source category for product 5 in baseline year 2.</t>
  </si>
  <si>
    <t>Enter the HFC-227ea emissions in the industrial product use source category for product 5 in baseline year 2.</t>
  </si>
  <si>
    <t>Enter the HFC-236fa emissions in the industrial product use source category for product 5 in baseline year 2.</t>
  </si>
  <si>
    <t>Enter the HFC-245ca emissions in the industrial product use source category for product 5 in baseline year 2.</t>
  </si>
  <si>
    <t>Enter the sulphur hexafluoride emissions in the industrial product use source category for product 5 in baseline year 3.</t>
  </si>
  <si>
    <t>Enter the perfluoromethane emissions in the industrial product use source category for product 5 in baseline year 3.</t>
  </si>
  <si>
    <t>Enter the perfluoroethane emissions in the industrial product use source category for product 5 in baseline year 3.</t>
  </si>
  <si>
    <t>Enter the perfluoropropane emissions in the industrial product use source category for product 5 in baseline year 3.</t>
  </si>
  <si>
    <t>Enter the perfluorobutane emissions in the industrial product use source category for product 5 in baseline year 3.</t>
  </si>
  <si>
    <t>Enter the perfluorocyclobutane emissions in the industrial product use source category for product 5 in baseline year 3.</t>
  </si>
  <si>
    <t>Enter the perfluoropentane emissions in the industrial product use source category for product 5 in baseline year 3.</t>
  </si>
  <si>
    <t>Enter the perfluorohexane emissions in the industrial product use source category for product 5 in baseline year 3.</t>
  </si>
  <si>
    <t>Enter the HFC-23 emissions in the industrial product use source category for product 5 in baseline year 3.</t>
  </si>
  <si>
    <t>Enter the HFC-32 emissions in the industrial product use source category for product 5 in baseline year 3.</t>
  </si>
  <si>
    <t>Enter the HFC-41 emissions in the industrial product use source category for product 5 in baseline year 3.</t>
  </si>
  <si>
    <t>Enter the HFC-43-10mee emissions in the industrial product use source category for product 5 in baseline year 3.</t>
  </si>
  <si>
    <t>Enter the HFC-125 emissions in the industrial product use source category for product 5 in baseline year 3.</t>
  </si>
  <si>
    <t>Enter the HFC-134 emissions in the industrial product use source category for product 5 in baseline year 3.</t>
  </si>
  <si>
    <t>Enter the HFC-134a emissions in the industrial product use source category for product 5 in baseline year 3.</t>
  </si>
  <si>
    <t>Enter the HFC-143 emissions in the industrial product use source category for product 5 in baseline year 3.</t>
  </si>
  <si>
    <t>Enter the HFC-143a emissions in the industrial product use source category for product 5 in baseline year 3.</t>
  </si>
  <si>
    <t>Enter the HFC-152a emissions in the industrial product use source category for product 5 in baseline year 3.</t>
  </si>
  <si>
    <t>Enter the HFC-227ea emissions in the industrial product use source category for product 5 in baseline year 3.</t>
  </si>
  <si>
    <t>Enter the HFC-236fa emissions in the industrial product use source category for product 5 in baseline year 3.</t>
  </si>
  <si>
    <t>Enter the HFC-245ca emissions in the industrial product use source category for product 5 in baseline year 3.</t>
  </si>
  <si>
    <t>Enter the carbon dioxide emissions in the venting source category for product 5 in baseline year 1.</t>
  </si>
  <si>
    <t>Enter the methane emissions in the venting source category for product 5 in baseline year 1.</t>
  </si>
  <si>
    <t>Enter the nitrous oxide emissions in the venting source category for product 5 in baseline year 1.</t>
  </si>
  <si>
    <t>Enter the carbon dioxide emissions in the venting source category for product 5 in baseline year 2.</t>
  </si>
  <si>
    <t>Enter the methane emissions in the venting source category for product 5 in baseline year 2.</t>
  </si>
  <si>
    <t>Enter the nitrous oxide emissions in the venting source category for product 5 in baseline year 2.</t>
  </si>
  <si>
    <t>Enter the carbon dioxide emissions in the venting source category for product 5 in baseline year 3.</t>
  </si>
  <si>
    <t>Enter the methane emissions in the venting source category for product 5 in baseline year 3.</t>
  </si>
  <si>
    <t>Enter the nitrous oxide emissions in the venting source category for product 5 in baseline year 3.</t>
  </si>
  <si>
    <t>Enter the carbon dioxide emissions in the flaring source category for product 5 in baseline year 1.</t>
  </si>
  <si>
    <t>Enter the methane emissions in the flaring source category for product 5 in baseline year 1.</t>
  </si>
  <si>
    <t>Enter the nitrous oxide emissions in the flaring source category for product 5 in baseline year 1.</t>
  </si>
  <si>
    <t>Enter the carbon dioxide emissions in the flaring source category for product 5 in baseline year 2.</t>
  </si>
  <si>
    <t>Enter the methane emissions in the flaring source category for product 5 in baseline year 2.</t>
  </si>
  <si>
    <t>Enter the nitrous oxide emissions in the flaring source category for product 5 in baseline year 2.</t>
  </si>
  <si>
    <t>Enter the carbon dioxide emissions in the flaring source category for product 5 in baseline year 3.</t>
  </si>
  <si>
    <t>Enter the methane emissions in the flaring source category for product 5 in baseline year 3.</t>
  </si>
  <si>
    <t>Enter the nitrous oxide emissions in the flaring source category for product 5 in baseline year 3.</t>
  </si>
  <si>
    <t>Enter the carbon dioxide emissions in the leakage source category for product 5 in baseline year 1.</t>
  </si>
  <si>
    <t>Enter the methane emissions in the leakage source category for product 5 in baseline year 1.</t>
  </si>
  <si>
    <t>Enter the nitrous oxide emissions in the leakage source category for product 5 in baseline year 1.</t>
  </si>
  <si>
    <t>Enter the carbon dioxide emissions in the leakage source category for product 5 in baseline year 2.</t>
  </si>
  <si>
    <t>Enter the methane emissions in the leakage source category for product 5 in baseline year 2.</t>
  </si>
  <si>
    <t>Enter the nitrous oxide emissions in the leakage source category for product 5 in baseline year 2.</t>
  </si>
  <si>
    <t>Enter the carbon dioxide emissions in the leakage source category for product 5 in baseline year 3.</t>
  </si>
  <si>
    <t>Enter the methane emissions in the leakage source category for product 5 in baseline year 3.</t>
  </si>
  <si>
    <t>Enter the nitrous oxide emissions in the leakage source category for product 5 in baseline year 3.</t>
  </si>
  <si>
    <t>Enter the carbon dioxide emissions in the on-site transportation source category for product 5 in baseline year 1.</t>
  </si>
  <si>
    <t>Enter the methane emissions in the on-site transportation source category for product 5 in baseline year 1.</t>
  </si>
  <si>
    <t>Enter the nitrous oxide emissions in the on-site transportation source category for product 5 in baseline year 1.</t>
  </si>
  <si>
    <t>Enter the carbon dioxide emissions in the on-site transportation source category for product 5 in baseline year 2.</t>
  </si>
  <si>
    <t>Enter the methane emissions in the on-site transportation source category for product 5 in baseline year 2.</t>
  </si>
  <si>
    <t>Enter the nitrous oxide emissions in the on-site transportation source category for product 5 in baseline year 2.</t>
  </si>
  <si>
    <t>Enter the carbon dioxide emissions in the on-site transportation source category for product 5 in baseline year 3.</t>
  </si>
  <si>
    <t>Enter the methane emissions in the on-site transportation source category for product 5 in baseline year 3.</t>
  </si>
  <si>
    <t>Enter the nitrous oxide emissions in the on-site transportation source category for product 5 in baseline year 3.</t>
  </si>
  <si>
    <t>Enter the carbon dioxide emissions in the waste source category for product 5 in baseline year 1.</t>
  </si>
  <si>
    <t>Enter the methane emissions in the waste source category for product 5 in baseline year 1.</t>
  </si>
  <si>
    <t>Enter the nitrous oxide emissions in the waste source category for product 5 in baseline year 1.</t>
  </si>
  <si>
    <t>Enter the carbon dioxide emissions in the waste source category for product 5 in baseline year 2.</t>
  </si>
  <si>
    <t>Enter the methane emissions in the waste source category for product 5 in baseline year 2.</t>
  </si>
  <si>
    <t>Enter the nitrous oxide emissions in the waste source category for product 5 in baseline year 2.</t>
  </si>
  <si>
    <t>Enter the carbon dioxide emissions in the waste source category for product 5 in baseline year 3.</t>
  </si>
  <si>
    <t>Enter the methane emissions in the waste source category for product 5 in baseline year 3.</t>
  </si>
  <si>
    <t>Enter the nitrous oxide emissions in the waste source category for product 5 in baseline year 3.</t>
  </si>
  <si>
    <t>Enter the carbon dioxide emissions in the wastewater source category for product 5 in baseline year 1.</t>
  </si>
  <si>
    <t>Enter the methane emissions in the wastewater source category for product 5 in baseline year 1.</t>
  </si>
  <si>
    <t>Enter the nitrous oxide emissions in the wastewater source category for product 5 in baseline year 1.</t>
  </si>
  <si>
    <t>Enter the carbon dioxide emissions in the wastewater source category for product 5 in baseline year 2.</t>
  </si>
  <si>
    <t>Enter the methane emissions in the wastewater source category for product 5 in baseline year 2.</t>
  </si>
  <si>
    <t>Enter the nitrous oxide emissions in the wastewater source category for product 5 in baseline year 2.</t>
  </si>
  <si>
    <t>Enter the carbon dioxide emissions in the wastewater source category for product 5 in baseline year 3.</t>
  </si>
  <si>
    <t>Enter the methane emissions in the wastewater source category for product 5 in baseline year 3.</t>
  </si>
  <si>
    <t>Enter the nitrous oxide emissions in the wastewater source category for product 5 in baseline year 3.</t>
  </si>
  <si>
    <t>Enter the number of units within the gas-to-power operation in baseline year 1.</t>
  </si>
  <si>
    <t>Enter the energy in combusted associated gas on row 1 of the table in baseline year 1.</t>
  </si>
  <si>
    <t>Enter the energy in combusted associated gas on row 2 of the table in baseline year 1.</t>
  </si>
  <si>
    <t>Enter the energy in combusted associated gas on row 3 of the table in baseline year 1.</t>
  </si>
  <si>
    <t>Enter the energy in combusted associated gas on row 4 of the table in baseline year 1.</t>
  </si>
  <si>
    <t>Enter the energy in combusted associated gas on row 5 of the table in baseline year 1.</t>
  </si>
  <si>
    <t>Enter the energy in combusted associated gas on row 6 of the table in baseline year 1.</t>
  </si>
  <si>
    <t>Enter the energy in combusted associated gas on row 7 of the table in baseline year 1.</t>
  </si>
  <si>
    <t>Enter the energy in combusted associated gas on row 8 of the table in baseline year 1.</t>
  </si>
  <si>
    <t>Enter the energy in combusted associated gas on row 9 of the table in baseline year 1.</t>
  </si>
  <si>
    <t>Enter the energy in combusted associated gas on row 10 of the table in baseline year 1.</t>
  </si>
  <si>
    <t>Enter the energy in combusted associated gas on row 11 of the table in baseline year 1.</t>
  </si>
  <si>
    <t>Enter the energy in combusted associated gas on row 12 of the table in baseline year 1.</t>
  </si>
  <si>
    <t>Enter the energy in combusted associated gas on row 13 of the table in baseline year 1.</t>
  </si>
  <si>
    <t>Enter the energy in combusted associated gas on row 14 of the table in baseline year 1.</t>
  </si>
  <si>
    <t>Enter the energy in combusted associated gas on row 15 of the table in baseline year 1.</t>
  </si>
  <si>
    <t>Enter the energy in combusted associated gas on row 16 of the table in baseline year 1.</t>
  </si>
  <si>
    <t>Enter the energy in combusted associated gas on row 17 of the table in baseline year 1.</t>
  </si>
  <si>
    <t>Enter the energy in combusted associated gas on row 18 of the table in baseline year 1.</t>
  </si>
  <si>
    <t>Enter the energy in combusted associated gas on row 19 of the table in baseline year 1.</t>
  </si>
  <si>
    <t>Enter the energy in combusted associated gas on row 20 of the table in baseline year 1.</t>
  </si>
  <si>
    <t>Enter the energy in combusted associated gas on row 21 of the table in baseline year 1.</t>
  </si>
  <si>
    <t>Enter the energy in combusted associated gas on row 22 of the table in baseline year 1.</t>
  </si>
  <si>
    <t>Enter the energy in combusted associated gas on row 23 of the table in baseline year 1.</t>
  </si>
  <si>
    <t>Enter the energy in combusted associated gas on row 24 of the table in baseline year 1.</t>
  </si>
  <si>
    <t>Enter the energy in combusted associated gas on row 25 of the table in baseline year 1.</t>
  </si>
  <si>
    <t>Enter the energy in combusted associated gas on row 26 of the table in baseline year 1.</t>
  </si>
  <si>
    <t>Enter the energy in combusted associated gas on row 27 of the table in baseline year 1.</t>
  </si>
  <si>
    <t>Enter the energy in combusted associated gas on row 28 of the table in baseline year 1.</t>
  </si>
  <si>
    <t>Enter the energy in combusted associated gas on row 29 of the table in baseline year 1.</t>
  </si>
  <si>
    <t>Enter the energy in combusted associated gas on row 30 of the table in baseline year 1.</t>
  </si>
  <si>
    <t>Enter the energy in combusted associated gas on row 31 of the table in baseline year 1.</t>
  </si>
  <si>
    <t>Enter the energy in combusted associated gas on row 32 of the table in baseline year 1.</t>
  </si>
  <si>
    <t>Enter the energy in combusted associated gas on row 33 of the table in baseline year 1.</t>
  </si>
  <si>
    <t>Enter the energy in combusted associated gas on row 34 of the table in baseline year 1.</t>
  </si>
  <si>
    <t>Enter the energy in combusted associated gas on row 35 of the table in baseline year 1.</t>
  </si>
  <si>
    <t>Enter the energy in combusted associated gas on row 36 of the table in baseline year 1.</t>
  </si>
  <si>
    <t>Enter the energy in combusted associated gas on row 37 of the table in baseline year 1.</t>
  </si>
  <si>
    <t>Enter the energy in combusted associated gas on row 38 of the table in baseline year 1.</t>
  </si>
  <si>
    <t>Enter the energy in combusted associated gas on row 39 of the table in baseline year 1.</t>
  </si>
  <si>
    <t>Enter the energy in combusted associated gas on row 40 of the table in baseline year 1.</t>
  </si>
  <si>
    <t>Enter the energy in combusted associated gas on row 41 of the table in baseline year 1.</t>
  </si>
  <si>
    <t>Enter the energy in combusted associated gas on row 42 of the table in baseline year 1.</t>
  </si>
  <si>
    <t>Enter the energy in combusted associated gas on row 43 of the table in baseline year 1.</t>
  </si>
  <si>
    <t>Enter the energy in combusted associated gas on row 44 of the table in baseline year 1.</t>
  </si>
  <si>
    <t>Enter the energy in combusted associated gas on row 45 of the table in baseline year 1.</t>
  </si>
  <si>
    <t>Enter the energy in combusted associated gas on row 46 of the table in baseline year 1.</t>
  </si>
  <si>
    <t>Enter the energy in combusted associated gas on row 47 of the table in baseline year 1.</t>
  </si>
  <si>
    <t>Enter the energy in combusted associated gas on row 48 of the table in baseline year 1.</t>
  </si>
  <si>
    <t>Enter the energy in combusted associated gas on row 49 of the table in baseline year 1.</t>
  </si>
  <si>
    <t>Enter the energy in combusted associated gas on row 50 of the table in baseline year 1.</t>
  </si>
  <si>
    <t>Enter the total energy in all combusted fuel on row 1 of the table in baseline year 1.</t>
  </si>
  <si>
    <t>Enter the total energy in all combusted fuel on row 2 of the table in baseline year 1.</t>
  </si>
  <si>
    <t>Enter the total energy in all combusted fuel on row 3 of the table in baseline year 1.</t>
  </si>
  <si>
    <t>Enter the total energy in all combusted fuel on row 4 of the table in baseline year 1.</t>
  </si>
  <si>
    <t>Enter the total energy in all combusted fuel on row 5 of the table in baseline year 1.</t>
  </si>
  <si>
    <t>Enter the total energy in all combusted fuel on row 6 of the table in baseline year 1.</t>
  </si>
  <si>
    <t>Enter the total energy in all combusted fuel on row 7 of the table in baseline year 1.</t>
  </si>
  <si>
    <t>Enter the total energy in all combusted fuel on row 8 of the table in baseline year 1.</t>
  </si>
  <si>
    <t>Enter the total energy in all combusted fuel on row 9 of the table in baseline year 1.</t>
  </si>
  <si>
    <t>Enter the total energy in all combusted fuel on row 10 of the table in baseline year 1.</t>
  </si>
  <si>
    <t>Enter the total energy in all combusted fuel on row 11 of the table in baseline year 1.</t>
  </si>
  <si>
    <t>Enter the total energy in all combusted fuel on row 12 of the table in baseline year 1.</t>
  </si>
  <si>
    <t>Enter the total energy in all combusted fuel on row 13 of the table in baseline year 1.</t>
  </si>
  <si>
    <t>Enter the total energy in all combusted fuel on row 14 of the table in baseline year 1.</t>
  </si>
  <si>
    <t>Enter the total energy in all combusted fuel on row 15 of the table in baseline year 1.</t>
  </si>
  <si>
    <t>Enter the total energy in all combusted fuel on row 16 of the table in baseline year 1.</t>
  </si>
  <si>
    <t>Enter the total energy in all combusted fuel on row 17 of the table in baseline year 1.</t>
  </si>
  <si>
    <t>Enter the total energy in all combusted fuel on row 18 of the table in baseline year 1.</t>
  </si>
  <si>
    <t>Enter the total energy in all combusted fuel on row 19 of the table in baseline year 1.</t>
  </si>
  <si>
    <t>Enter the total energy in all combusted fuel on row 20 of the table in baseline year 1.</t>
  </si>
  <si>
    <t>Enter the total energy in all combusted fuel on row 21 of the table in baseline year 1.</t>
  </si>
  <si>
    <t>Enter the total energy in all combusted fuel on row 22 of the table in baseline year 1.</t>
  </si>
  <si>
    <t>Enter the total energy in all combusted fuel on row 23 of the table in baseline year 1.</t>
  </si>
  <si>
    <t>Enter the total energy in all combusted fuel on row 24 of the table in baseline year 1.</t>
  </si>
  <si>
    <t>Enter the total energy in all combusted fuel on row 25 of the table in baseline year 1.</t>
  </si>
  <si>
    <t>Enter the total energy in all combusted fuel on row 26 of the table in baseline year 1.</t>
  </si>
  <si>
    <t>Enter the total energy in all combusted fuel on row 27 of the table in baseline year 1.</t>
  </si>
  <si>
    <t>Enter the total energy in all combusted fuel on row 28 of the table in baseline year 1.</t>
  </si>
  <si>
    <t>Enter the total energy in all combusted fuel on row 29 of the table in baseline year 1.</t>
  </si>
  <si>
    <t>Enter the total energy in all combusted fuel on row 30 of the table in baseline year 1.</t>
  </si>
  <si>
    <t>Enter the total energy in all combusted fuel on row 31 of the table in baseline year 1.</t>
  </si>
  <si>
    <t>Enter the total energy in all combusted fuel on row 32 of the table in baseline year 1.</t>
  </si>
  <si>
    <t>Enter the total energy in all combusted fuel on row 33 of the table in baseline year 1.</t>
  </si>
  <si>
    <t>Enter the total energy in all combusted fuel on row 34 of the table in baseline year 1.</t>
  </si>
  <si>
    <t>Enter the total energy in all combusted fuel on row 35 of the table in baseline year 1.</t>
  </si>
  <si>
    <t>Enter the total energy in all combusted fuel on row 36 of the table in baseline year 1.</t>
  </si>
  <si>
    <t>Enter the total energy in all combusted fuel on row 37 of the table in baseline year 1.</t>
  </si>
  <si>
    <t>Enter the total energy in all combusted fuel on row 38 of the table in baseline year 1.</t>
  </si>
  <si>
    <t>Enter the total energy in all combusted fuel on row 39 of the table in baseline year 1.</t>
  </si>
  <si>
    <t>Enter the total energy in all combusted fuel on row 40 of the table in baseline year 1.</t>
  </si>
  <si>
    <t>Enter the total energy in all combusted fuel on row 41 of the table in baseline year 1.</t>
  </si>
  <si>
    <t>Enter the total energy in all combusted fuel on row 42 of the table in baseline year 1.</t>
  </si>
  <si>
    <t>Enter the total energy in all combusted fuel on row 43 of the table in baseline year 1.</t>
  </si>
  <si>
    <t>Enter the total energy in all combusted fuel on row 44 of the table in baseline year 1.</t>
  </si>
  <si>
    <t>Enter the total energy in all combusted fuel on row 45 of the table in baseline year 1.</t>
  </si>
  <si>
    <t>Enter the total energy in all combusted fuel on row 46 of the table in baseline year 1.</t>
  </si>
  <si>
    <t>Enter the total energy in all combusted fuel on row 47 of the table in baseline year 1.</t>
  </si>
  <si>
    <t>Enter the total energy in all combusted fuel on row 48 of the table in baseline year 1.</t>
  </si>
  <si>
    <t>Enter the total energy in all combusted fuel on row 49 of the table in baseline year 1.</t>
  </si>
  <si>
    <t>Enter the total energy in all combusted fuel on row 50 of the table in baseline year 1.</t>
  </si>
  <si>
    <t>Enter the total electricity generation from all combusted fuel on row 1 of the table in baseline year 1.</t>
  </si>
  <si>
    <t>Enter the total electricity generation from all combusted fuel on row 2 of the table in baseline year 1.</t>
  </si>
  <si>
    <t>Enter the total electricity generation from all combusted fuel on row 3 of the table in baseline year 1.</t>
  </si>
  <si>
    <t>Enter the total electricity generation from all combusted fuel on row 4 of the table in baseline year 1.</t>
  </si>
  <si>
    <t>Enter the total electricity generation from all combusted fuel on row 5 of the table in baseline year 1.</t>
  </si>
  <si>
    <t>Enter the total electricity generation from all combusted fuel on row 6 of the table in baseline year 1.</t>
  </si>
  <si>
    <t>Enter the total electricity generation from all combusted fuel on row 7 of the table in baseline year 1.</t>
  </si>
  <si>
    <t>Enter the total electricity generation from all combusted fuel on row 8 of the table in baseline year 1.</t>
  </si>
  <si>
    <t>Enter the total electricity generation from all combusted fuel on row 9 of the table in baseline year 1.</t>
  </si>
  <si>
    <t>Enter the total electricity generation from all combusted fuel on row 10 of the table in baseline year 1.</t>
  </si>
  <si>
    <t>Enter the total electricity generation from all combusted fuel on row 11 of the table in baseline year 1.</t>
  </si>
  <si>
    <t>Enter the total electricity generation from all combusted fuel on row 12 of the table in baseline year 1.</t>
  </si>
  <si>
    <t>Enter the total electricity generation from all combusted fuel on row 13 of the table in baseline year 1.</t>
  </si>
  <si>
    <t>Enter the total electricity generation from all combusted fuel on row 14 of the table in baseline year 1.</t>
  </si>
  <si>
    <t>Enter the total electricity generation from all combusted fuel on row 15 of the table in baseline year 1.</t>
  </si>
  <si>
    <t>Enter the total electricity generation from all combusted fuel on row 16 of the table in baseline year 1.</t>
  </si>
  <si>
    <t>Enter the total electricity generation from all combusted fuel on row 17 of the table in baseline year 1.</t>
  </si>
  <si>
    <t>Enter the total electricity generation from all combusted fuel on row 18 of the table in baseline year 1.</t>
  </si>
  <si>
    <t>Enter the total electricity generation from all combusted fuel on row 19 of the table in baseline year 1.</t>
  </si>
  <si>
    <t>Enter the total electricity generation from all combusted fuel on row 20 of the table in baseline year 1.</t>
  </si>
  <si>
    <t>Enter the total electricity generation from all combusted fuel on row 21 of the table in baseline year 1.</t>
  </si>
  <si>
    <t>Enter the total electricity generation from all combusted fuel on row 22 of the table in baseline year 1.</t>
  </si>
  <si>
    <t>Enter the total electricity generation from all combusted fuel on row 23 of the table in baseline year 1.</t>
  </si>
  <si>
    <t>Enter the total electricity generation from all combusted fuel on row 24 of the table in baseline year 1.</t>
  </si>
  <si>
    <t>Enter the total electricity generation from all combusted fuel on row 25 of the table in baseline year 1.</t>
  </si>
  <si>
    <t>Enter the total electricity generation from all combusted fuel on row 26 of the table in baseline year 1.</t>
  </si>
  <si>
    <t>Enter the total electricity generation from all combusted fuel on row 27 of the table in baseline year 1.</t>
  </si>
  <si>
    <t>Enter the total electricity generation from all combusted fuel on row 28 of the table in baseline year 1.</t>
  </si>
  <si>
    <t>Enter the total electricity generation from all combusted fuel on row 29 of the table in baseline year 1.</t>
  </si>
  <si>
    <t>Enter the total electricity generation from all combusted fuel on row 30 of the table in baseline year 1.</t>
  </si>
  <si>
    <t>Enter the total electricity generation from all combusted fuel on row 31 of the table in baseline year 1.</t>
  </si>
  <si>
    <t>Enter the total electricity generation from all combusted fuel on row 32 of the table in baseline year 1.</t>
  </si>
  <si>
    <t>Enter the total electricity generation from all combusted fuel on row 33 of the table in baseline year 1.</t>
  </si>
  <si>
    <t>Enter the total electricity generation from all combusted fuel on row 34 of the table in baseline year 1.</t>
  </si>
  <si>
    <t>Enter the total electricity generation from all combusted fuel on row 35 of the table in baseline year 1.</t>
  </si>
  <si>
    <t>Enter the total electricity generation from all combusted fuel on row 36 of the table in baseline year 1.</t>
  </si>
  <si>
    <t>Enter the total electricity generation from all combusted fuel on row 37 of the table in baseline year 1.</t>
  </si>
  <si>
    <t>Enter the total electricity generation from all combusted fuel on row 38 of the table in baseline year 1.</t>
  </si>
  <si>
    <t>Enter the total electricity generation from all combusted fuel on row 39 of the table in baseline year 1.</t>
  </si>
  <si>
    <t>Enter the total electricity generation from all combusted fuel on row 40 of the table in baseline year 1.</t>
  </si>
  <si>
    <t>Enter the total electricity generation from all combusted fuel on row 41 of the table in baseline year 1.</t>
  </si>
  <si>
    <t>Enter the total electricity generation from all combusted fuel on row 42 of the table in baseline year 1.</t>
  </si>
  <si>
    <t>Enter the total electricity generation from all combusted fuel on row 43 of the table in baseline year 1.</t>
  </si>
  <si>
    <t>Enter the total electricity generation from all combusted fuel on row 44 of the table in baseline year 1.</t>
  </si>
  <si>
    <t>Enter the total electricity generation from all combusted fuel on row 45 of the table in baseline year 1.</t>
  </si>
  <si>
    <t>Enter the total electricity generation from all combusted fuel on row 46 of the table in baseline year 1.</t>
  </si>
  <si>
    <t>Enter the total electricity generation from all combusted fuel on row 47 of the table in baseline year 1.</t>
  </si>
  <si>
    <t>Enter the total electricity generation from all combusted fuel on row 48 of the table in baseline year 1.</t>
  </si>
  <si>
    <t>Enter the total electricity generation from all combusted fuel on row 49 of the table in baseline year 1.</t>
  </si>
  <si>
    <t>Enter the total electricity generation from all combusted fuel on row 50 of the table in baseline year 1.</t>
  </si>
  <si>
    <t>Enter the carbon dioxide emissions from associated gas on row 1 of the table in baseline year 1.</t>
  </si>
  <si>
    <t>Enter the carbon dioxide emissions from associated gas on row 2 of the table in baseline year 1.</t>
  </si>
  <si>
    <t>Enter the carbon dioxide emissions from associated gas on row 3 of the table in baseline year 1.</t>
  </si>
  <si>
    <t>Enter the carbon dioxide emissions from associated gas on row 4 of the table in baseline year 1.</t>
  </si>
  <si>
    <t>Enter the carbon dioxide emissions from associated gas on row 5 of the table in baseline year 1.</t>
  </si>
  <si>
    <t>Enter the carbon dioxide emissions from associated gas on row 6 of the table in baseline year 1.</t>
  </si>
  <si>
    <t>Enter the carbon dioxide emissions from associated gas on row 7 of the table in baseline year 1.</t>
  </si>
  <si>
    <t>Enter the carbon dioxide emissions from associated gas on row 8 of the table in baseline year 1.</t>
  </si>
  <si>
    <t>Enter the carbon dioxide emissions from associated gas on row 9 of the table in baseline year 1.</t>
  </si>
  <si>
    <t>Enter the carbon dioxide emissions from associated gas on row 10 of the table in baseline year 1.</t>
  </si>
  <si>
    <t>Enter the carbon dioxide emissions from associated gas on row 11 of the table in baseline year 1.</t>
  </si>
  <si>
    <t>Enter the carbon dioxide emissions from associated gas on row 12 of the table in baseline year 1.</t>
  </si>
  <si>
    <t>Enter the carbon dioxide emissions from associated gas on row 13 of the table in baseline year 1.</t>
  </si>
  <si>
    <t>Enter the carbon dioxide emissions from associated gas on row 14 of the table in baseline year 1.</t>
  </si>
  <si>
    <t>Enter the carbon dioxide emissions from associated gas on row 15 of the table in baseline year 1.</t>
  </si>
  <si>
    <t>Enter the carbon dioxide emissions from associated gas on row 16 of the table in baseline year 1.</t>
  </si>
  <si>
    <t>Enter the carbon dioxide emissions from associated gas on row 17 of the table in baseline year 1.</t>
  </si>
  <si>
    <t>Enter the carbon dioxide emissions from associated gas on row 18 of the table in baseline year 1.</t>
  </si>
  <si>
    <t>Enter the carbon dioxide emissions from associated gas on row 19 of the table in baseline year 1.</t>
  </si>
  <si>
    <t>Enter the carbon dioxide emissions from associated gas on row 20 of the table in baseline year 1.</t>
  </si>
  <si>
    <t>Enter the carbon dioxide emissions from associated gas on row 21 of the table in baseline year 1.</t>
  </si>
  <si>
    <t>Enter the carbon dioxide emissions from associated gas on row 22 of the table in baseline year 1.</t>
  </si>
  <si>
    <t>Enter the carbon dioxide emissions from associated gas on row 23 of the table in baseline year 1.</t>
  </si>
  <si>
    <t>Enter the carbon dioxide emissions from associated gas on row 24 of the table in baseline year 1.</t>
  </si>
  <si>
    <t>Enter the carbon dioxide emissions from associated gas on row 25 of the table in baseline year 1.</t>
  </si>
  <si>
    <t>Enter the carbon dioxide emissions from associated gas on row 26 of the table in baseline year 1.</t>
  </si>
  <si>
    <t>Enter the carbon dioxide emissions from associated gas on row 27 of the table in baseline year 1.</t>
  </si>
  <si>
    <t>Enter the carbon dioxide emissions from associated gas on row 28 of the table in baseline year 1.</t>
  </si>
  <si>
    <t>Enter the carbon dioxide emissions from associated gas on row 29 of the table in baseline year 1.</t>
  </si>
  <si>
    <t>Enter the carbon dioxide emissions from associated gas on row 30 of the table in baseline year 1.</t>
  </si>
  <si>
    <t>Enter the carbon dioxide emissions from associated gas on row 31 of the table in baseline year 1.</t>
  </si>
  <si>
    <t>Enter the carbon dioxide emissions from associated gas on row 32 of the table in baseline year 1.</t>
  </si>
  <si>
    <t>Enter the carbon dioxide emissions from associated gas on row 33 of the table in baseline year 1.</t>
  </si>
  <si>
    <t>Enter the carbon dioxide emissions from associated gas on row 34 of the table in baseline year 1.</t>
  </si>
  <si>
    <t>Enter the carbon dioxide emissions from associated gas on row 35 of the table in baseline year 1.</t>
  </si>
  <si>
    <t>Enter the carbon dioxide emissions from associated gas on row 36 of the table in baseline year 1.</t>
  </si>
  <si>
    <t>Enter the carbon dioxide emissions from associated gas on row 37 of the table in baseline year 1.</t>
  </si>
  <si>
    <t>Enter the carbon dioxide emissions from associated gas on row 38 of the table in baseline year 1.</t>
  </si>
  <si>
    <t>Enter the carbon dioxide emissions from associated gas on row 39 of the table in baseline year 1.</t>
  </si>
  <si>
    <t>Enter the carbon dioxide emissions from associated gas on row 40 of the table in baseline year 1.</t>
  </si>
  <si>
    <t>Enter the carbon dioxide emissions from associated gas on row 41 of the table in baseline year 1.</t>
  </si>
  <si>
    <t>Enter the carbon dioxide emissions from associated gas on row 42 of the table in baseline year 1.</t>
  </si>
  <si>
    <t>Enter the carbon dioxide emissions from associated gas on row 43 of the table in baseline year 1.</t>
  </si>
  <si>
    <t>Enter the carbon dioxide emissions from associated gas on row 44 of the table in baseline year 1.</t>
  </si>
  <si>
    <t>Enter the carbon dioxide emissions from associated gas on row 45 of the table in baseline year 1.</t>
  </si>
  <si>
    <t>Enter the carbon dioxide emissions from associated gas on row 46 of the table in baseline year 1.</t>
  </si>
  <si>
    <t>Enter the carbon dioxide emissions from associated gas on row 47 of the table in baseline year 1.</t>
  </si>
  <si>
    <t>Enter the carbon dioxide emissions from associated gas on row 48 of the table in baseline year 1.</t>
  </si>
  <si>
    <t>Enter the carbon dioxide emissions from associated gas on row 49 of the table in baseline year 1.</t>
  </si>
  <si>
    <t>Enter the carbon dioxide emissions from associated gas on row 50 of the table in baseline year 1.</t>
  </si>
  <si>
    <t>Enter the methane emissions from associated gas on row 1 of the table in baseline year 1.</t>
  </si>
  <si>
    <t>Enter the methane emissions from associated gas on row 2 of the table in baseline year 1.</t>
  </si>
  <si>
    <t>Enter the methane emissions from associated gas on row 3 of the table in baseline year 1.</t>
  </si>
  <si>
    <t>Enter the methane emissions from associated gas on row 4 of the table in baseline year 1.</t>
  </si>
  <si>
    <t>Enter the methane emissions from associated gas on row 5 of the table in baseline year 1.</t>
  </si>
  <si>
    <t>Enter the methane emissions from associated gas on row 6 of the table in baseline year 1.</t>
  </si>
  <si>
    <t>Enter the methane emissions from associated gas on row 7 of the table in baseline year 1.</t>
  </si>
  <si>
    <t>Enter the methane emissions from associated gas on row 8 of the table in baseline year 1.</t>
  </si>
  <si>
    <t>Enter the methane emissions from associated gas on row 9 of the table in baseline year 1.</t>
  </si>
  <si>
    <t>Enter the methane emissions from associated gas on row 10 of the table in baseline year 1.</t>
  </si>
  <si>
    <t>Enter the methane emissions from associated gas on row 11 of the table in baseline year 1.</t>
  </si>
  <si>
    <t>Enter the methane emissions from associated gas on row 12 of the table in baseline year 1.</t>
  </si>
  <si>
    <t>Enter the methane emissions from associated gas on row 13 of the table in baseline year 1.</t>
  </si>
  <si>
    <t>Enter the methane emissions from associated gas on row 14 of the table in baseline year 1.</t>
  </si>
  <si>
    <t>Enter the methane emissions from associated gas on row 15 of the table in baseline year 1.</t>
  </si>
  <si>
    <t>Enter the methane emissions from associated gas on row 16 of the table in baseline year 1.</t>
  </si>
  <si>
    <t>Enter the methane emissions from associated gas on row 17 of the table in baseline year 1.</t>
  </si>
  <si>
    <t>Enter the methane emissions from associated gas on row 18 of the table in baseline year 1.</t>
  </si>
  <si>
    <t>Enter the methane emissions from associated gas on row 19 of the table in baseline year 1.</t>
  </si>
  <si>
    <t>Enter the methane emissions from associated gas on row 20 of the table in baseline year 1.</t>
  </si>
  <si>
    <t>Enter the methane emissions from associated gas on row 21 of the table in baseline year 1.</t>
  </si>
  <si>
    <t>Enter the methane emissions from associated gas on row 22 of the table in baseline year 1.</t>
  </si>
  <si>
    <t>Enter the methane emissions from associated gas on row 23 of the table in baseline year 1.</t>
  </si>
  <si>
    <t>Enter the methane emissions from associated gas on row 24 of the table in baseline year 1.</t>
  </si>
  <si>
    <t>Enter the methane emissions from associated gas on row 25 of the table in baseline year 1.</t>
  </si>
  <si>
    <t>Enter the methane emissions from associated gas on row 26 of the table in baseline year 1.</t>
  </si>
  <si>
    <t>Enter the methane emissions from associated gas on row 27 of the table in baseline year 1.</t>
  </si>
  <si>
    <t>Enter the methane emissions from associated gas on row 28 of the table in baseline year 1.</t>
  </si>
  <si>
    <t>Enter the methane emissions from associated gas on row 29 of the table in baseline year 1.</t>
  </si>
  <si>
    <t>Enter the methane emissions from associated gas on row 30 of the table in baseline year 1.</t>
  </si>
  <si>
    <t>Enter the methane emissions from associated gas on row 31 of the table in baseline year 1.</t>
  </si>
  <si>
    <t>Enter the methane emissions from associated gas on row 32 of the table in baseline year 1.</t>
  </si>
  <si>
    <t>Enter the methane emissions from associated gas on row 33 of the table in baseline year 1.</t>
  </si>
  <si>
    <t>Enter the methane emissions from associated gas on row 34 of the table in baseline year 1.</t>
  </si>
  <si>
    <t>Enter the methane emissions from associated gas on row 35 of the table in baseline year 1.</t>
  </si>
  <si>
    <t>Enter the methane emissions from associated gas on row 36 of the table in baseline year 1.</t>
  </si>
  <si>
    <t>Enter the methane emissions from associated gas on row 37 of the table in baseline year 1.</t>
  </si>
  <si>
    <t>Enter the methane emissions from associated gas on row 38 of the table in baseline year 1.</t>
  </si>
  <si>
    <t>Enter the methane emissions from associated gas on row 39 of the table in baseline year 1.</t>
  </si>
  <si>
    <t>Enter the methane emissions from associated gas on row 40 of the table in baseline year 1.</t>
  </si>
  <si>
    <t>Enter the methane emissions from associated gas on row 41 of the table in baseline year 1.</t>
  </si>
  <si>
    <t>Enter the methane emissions from associated gas on row 42 of the table in baseline year 1.</t>
  </si>
  <si>
    <t>Enter the methane emissions from associated gas on row 43 of the table in baseline year 1.</t>
  </si>
  <si>
    <t>Enter the methane emissions from associated gas on row 44 of the table in baseline year 1.</t>
  </si>
  <si>
    <t>Enter the methane emissions from associated gas on row 45 of the table in baseline year 1.</t>
  </si>
  <si>
    <t>Enter the methane emissions from associated gas on row 46 of the table in baseline year 1.</t>
  </si>
  <si>
    <t>Enter the methane emissions from associated gas on row 47 of the table in baseline year 1.</t>
  </si>
  <si>
    <t>Enter the methane emissions from associated gas on row 48 of the table in baseline year 1.</t>
  </si>
  <si>
    <t>Enter the methane emissions from associated gas on row 49 of the table in baseline year 1.</t>
  </si>
  <si>
    <t>Enter the methane emissions from associated gas on row 50 of the table in baseline year 1.</t>
  </si>
  <si>
    <t>Enter the nitrous oxide emissions from associated gas on row 1 of the table in baseline year 1.</t>
  </si>
  <si>
    <t>Enter the nitrous oxide emissions from associated gas on row 2 of the table in baseline year 1.</t>
  </si>
  <si>
    <t>Enter the nitrous oxide emissions from associated gas on row 3 of the table in baseline year 1.</t>
  </si>
  <si>
    <t>Enter the nitrous oxide emissions from associated gas on row 4 of the table in baseline year 1.</t>
  </si>
  <si>
    <t>Enter the nitrous oxide emissions from associated gas on row 5 of the table in baseline year 1.</t>
  </si>
  <si>
    <t>Enter the nitrous oxide emissions from associated gas on row 6 of the table in baseline year 1.</t>
  </si>
  <si>
    <t>Enter the nitrous oxide emissions from associated gas on row 7 of the table in baseline year 1.</t>
  </si>
  <si>
    <t>Enter the nitrous oxide emissions from associated gas on row 8 of the table in baseline year 1.</t>
  </si>
  <si>
    <t>Enter the nitrous oxide emissions from associated gas on row 9 of the table in baseline year 1.</t>
  </si>
  <si>
    <t>Enter the nitrous oxide emissions from associated gas on row 10 of the table in baseline year 1.</t>
  </si>
  <si>
    <t>Enter the nitrous oxide emissions from associated gas on row 11 of the table in baseline year 1.</t>
  </si>
  <si>
    <t>Enter the nitrous oxide emissions from associated gas on row 12 of the table in baseline year 1.</t>
  </si>
  <si>
    <t>Enter the nitrous oxide emissions from associated gas on row 13 of the table in baseline year 1.</t>
  </si>
  <si>
    <t>Enter the nitrous oxide emissions from associated gas on row 14 of the table in baseline year 1.</t>
  </si>
  <si>
    <t>Enter the nitrous oxide emissions from associated gas on row 15 of the table in baseline year 1.</t>
  </si>
  <si>
    <t>Enter the nitrous oxide emissions from associated gas on row 16 of the table in baseline year 1.</t>
  </si>
  <si>
    <t>Enter the nitrous oxide emissions from associated gas on row 17 of the table in baseline year 1.</t>
  </si>
  <si>
    <t>Enter the nitrous oxide emissions from associated gas on row 18 of the table in baseline year 1.</t>
  </si>
  <si>
    <t>Enter the nitrous oxide emissions from associated gas on row 19 of the table in baseline year 1.</t>
  </si>
  <si>
    <t>Enter the nitrous oxide emissions from associated gas on row 20 of the table in baseline year 1.</t>
  </si>
  <si>
    <t>Enter the nitrous oxide emissions from associated gas on row 21 of the table in baseline year 1.</t>
  </si>
  <si>
    <t>Enter the nitrous oxide emissions from associated gas on row 22 of the table in baseline year 1.</t>
  </si>
  <si>
    <t>Enter the nitrous oxide emissions from associated gas on row 23 of the table in baseline year 1.</t>
  </si>
  <si>
    <t>Enter the nitrous oxide emissions from associated gas on row 24 of the table in baseline year 1.</t>
  </si>
  <si>
    <t>Enter the nitrous oxide emissions from associated gas on row 25 of the table in baseline year 1.</t>
  </si>
  <si>
    <t>Enter the nitrous oxide emissions from associated gas on row 26 of the table in baseline year 1.</t>
  </si>
  <si>
    <t>Enter the nitrous oxide emissions from associated gas on row 27 of the table in baseline year 1.</t>
  </si>
  <si>
    <t>Enter the nitrous oxide emissions from associated gas on row 28 of the table in baseline year 1.</t>
  </si>
  <si>
    <t>Enter the nitrous oxide emissions from associated gas on row 29 of the table in baseline year 1.</t>
  </si>
  <si>
    <t>Enter the nitrous oxide emissions from associated gas on row 30 of the table in baseline year 1.</t>
  </si>
  <si>
    <t>Enter the nitrous oxide emissions from associated gas on row 31 of the table in baseline year 1.</t>
  </si>
  <si>
    <t>Enter the nitrous oxide emissions from associated gas on row 32 of the table in baseline year 1.</t>
  </si>
  <si>
    <t>Enter the nitrous oxide emissions from associated gas on row 33 of the table in baseline year 1.</t>
  </si>
  <si>
    <t>Enter the nitrous oxide emissions from associated gas on row 34 of the table in baseline year 1.</t>
  </si>
  <si>
    <t>Enter the nitrous oxide emissions from associated gas on row 35 of the table in baseline year 1.</t>
  </si>
  <si>
    <t>Enter the nitrous oxide emissions from associated gas on row 36 of the table in baseline year 1.</t>
  </si>
  <si>
    <t>Enter the nitrous oxide emissions from associated gas on row 37 of the table in baseline year 1.</t>
  </si>
  <si>
    <t>Enter the nitrous oxide emissions from associated gas on row 38 of the table in baseline year 1.</t>
  </si>
  <si>
    <t>Enter the nitrous oxide emissions from associated gas on row 39 of the table in baseline year 1.</t>
  </si>
  <si>
    <t>Enter the nitrous oxide emissions from associated gas on row 40 of the table in baseline year 1.</t>
  </si>
  <si>
    <t>Enter the nitrous oxide emissions from associated gas on row 41 of the table in baseline year 1.</t>
  </si>
  <si>
    <t>Enter the nitrous oxide emissions from associated gas on row 42 of the table in baseline year 1.</t>
  </si>
  <si>
    <t>Enter the nitrous oxide emissions from associated gas on row 43 of the table in baseline year 1.</t>
  </si>
  <si>
    <t>Enter the nitrous oxide emissions from associated gas on row 44 of the table in baseline year 1.</t>
  </si>
  <si>
    <t>Enter the nitrous oxide emissions from associated gas on row 45 of the table in baseline year 1.</t>
  </si>
  <si>
    <t>Enter the nitrous oxide emissions from associated gas on row 46 of the table in baseline year 1.</t>
  </si>
  <si>
    <t>Enter the nitrous oxide emissions from associated gas on row 47 of the table in baseline year 1.</t>
  </si>
  <si>
    <t>Enter the nitrous oxide emissions from associated gas on row 48 of the table in baseline year 1.</t>
  </si>
  <si>
    <t>Enter the nitrous oxide emissions from associated gas on row 49 of the table in baseline year 1.</t>
  </si>
  <si>
    <t>Enter the nitrous oxide emissions from associated gas on row 50 of the table in baseline year 1.</t>
  </si>
  <si>
    <t>Enter the number of units within the gas-to-power operation in baseline year 2.</t>
  </si>
  <si>
    <t>Enter the energy in combusted associated gas on row 1 of the table in baseline year 2.</t>
  </si>
  <si>
    <t>Enter the energy in combusted associated gas on row 2 of the table in baseline year 2.</t>
  </si>
  <si>
    <t>Enter the energy in combusted associated gas on row 3 of the table in baseline year 2.</t>
  </si>
  <si>
    <t>Enter the energy in combusted associated gas on row 4 of the table in baseline year 2.</t>
  </si>
  <si>
    <t>Enter the energy in combusted associated gas on row 5 of the table in baseline year 2.</t>
  </si>
  <si>
    <t>Enter the energy in combusted associated gas on row 6 of the table in baseline year 2.</t>
  </si>
  <si>
    <t>Enter the energy in combusted associated gas on row 7 of the table in baseline year 2.</t>
  </si>
  <si>
    <t>Enter the energy in combusted associated gas on row 8 of the table in baseline year 2.</t>
  </si>
  <si>
    <t>Enter the energy in combusted associated gas on row 9 of the table in baseline year 2.</t>
  </si>
  <si>
    <t>Enter the energy in combusted associated gas on row 10 of the table in baseline year 2.</t>
  </si>
  <si>
    <t>Enter the energy in combusted associated gas on row 11 of the table in baseline year 2.</t>
  </si>
  <si>
    <t>Enter the energy in combusted associated gas on row 12 of the table in baseline year 2.</t>
  </si>
  <si>
    <t>Enter the energy in combusted associated gas on row 13 of the table in baseline year 2.</t>
  </si>
  <si>
    <t>Enter the energy in combusted associated gas on row 14 of the table in baseline year 2.</t>
  </si>
  <si>
    <t>Enter the energy in combusted associated gas on row 15 of the table in baseline year 2.</t>
  </si>
  <si>
    <t>Enter the energy in combusted associated gas on row 16 of the table in baseline year 2.</t>
  </si>
  <si>
    <t>Enter the energy in combusted associated gas on row 17 of the table in baseline year 2.</t>
  </si>
  <si>
    <t>Enter the energy in combusted associated gas on row 18 of the table in baseline year 2.</t>
  </si>
  <si>
    <t>Enter the energy in combusted associated gas on row 19 of the table in baseline year 2.</t>
  </si>
  <si>
    <t>Enter the energy in combusted associated gas on row 20 of the table in baseline year 2.</t>
  </si>
  <si>
    <t>Enter the energy in combusted associated gas on row 21 of the table in baseline year 2.</t>
  </si>
  <si>
    <t>Enter the energy in combusted associated gas on row 22 of the table in baseline year 2.</t>
  </si>
  <si>
    <t>Enter the energy in combusted associated gas on row 23 of the table in baseline year 2.</t>
  </si>
  <si>
    <t>Enter the energy in combusted associated gas on row 24 of the table in baseline year 2.</t>
  </si>
  <si>
    <t>Enter the energy in combusted associated gas on row 25 of the table in baseline year 2.</t>
  </si>
  <si>
    <t>Enter the energy in combusted associated gas on row 26 of the table in baseline year 2.</t>
  </si>
  <si>
    <t>Enter the energy in combusted associated gas on row 27 of the table in baseline year 2.</t>
  </si>
  <si>
    <t>Enter the energy in combusted associated gas on row 28 of the table in baseline year 2.</t>
  </si>
  <si>
    <t>Enter the energy in combusted associated gas on row 29 of the table in baseline year 2.</t>
  </si>
  <si>
    <t>Enter the energy in combusted associated gas on row 30 of the table in baseline year 2.</t>
  </si>
  <si>
    <t>Enter the energy in combusted associated gas on row 31 of the table in baseline year 2.</t>
  </si>
  <si>
    <t>Enter the energy in combusted associated gas on row 32 of the table in baseline year 2.</t>
  </si>
  <si>
    <t>Enter the energy in combusted associated gas on row 33 of the table in baseline year 2.</t>
  </si>
  <si>
    <t>Enter the energy in combusted associated gas on row 34 of the table in baseline year 2.</t>
  </si>
  <si>
    <t>Enter the energy in combusted associated gas on row 35 of the table in baseline year 2.</t>
  </si>
  <si>
    <t>Enter the energy in combusted associated gas on row 36 of the table in baseline year 2.</t>
  </si>
  <si>
    <t>Enter the energy in combusted associated gas on row 37 of the table in baseline year 2.</t>
  </si>
  <si>
    <t>Enter the energy in combusted associated gas on row 38 of the table in baseline year 2.</t>
  </si>
  <si>
    <t>Enter the energy in combusted associated gas on row 39 of the table in baseline year 2.</t>
  </si>
  <si>
    <t>Enter the energy in combusted associated gas on row 40 of the table in baseline year 2.</t>
  </si>
  <si>
    <t>Enter the energy in combusted associated gas on row 41 of the table in baseline year 2.</t>
  </si>
  <si>
    <t>Enter the energy in combusted associated gas on row 42 of the table in baseline year 2.</t>
  </si>
  <si>
    <t>Enter the energy in combusted associated gas on row 43 of the table in baseline year 2.</t>
  </si>
  <si>
    <t>Enter the energy in combusted associated gas on row 44 of the table in baseline year 2.</t>
  </si>
  <si>
    <t>Enter the energy in combusted associated gas on row 45 of the table in baseline year 2.</t>
  </si>
  <si>
    <t>Enter the energy in combusted associated gas on row 46 of the table in baseline year 2.</t>
  </si>
  <si>
    <t>Enter the energy in combusted associated gas on row 47 of the table in baseline year 2.</t>
  </si>
  <si>
    <t>Enter the energy in combusted associated gas on row 48 of the table in baseline year 2.</t>
  </si>
  <si>
    <t>Enter the energy in combusted associated gas on row 49 of the table in baseline year 2.</t>
  </si>
  <si>
    <t>Enter the energy in combusted associated gas on row 50 of the table in baseline year 2.</t>
  </si>
  <si>
    <t>Enter the total energy in all combusted fuel on row 1 of the table in baseline year 2.</t>
  </si>
  <si>
    <t>Enter the total energy in all combusted fuel on row 2 of the table in baseline year 2.</t>
  </si>
  <si>
    <t>Enter the total energy in all combusted fuel on row 3 of the table in baseline year 2.</t>
  </si>
  <si>
    <t>Enter the total energy in all combusted fuel on row 4 of the table in baseline year 2.</t>
  </si>
  <si>
    <t>Enter the total energy in all combusted fuel on row 5 of the table in baseline year 2.</t>
  </si>
  <si>
    <t>Enter the total energy in all combusted fuel on row 6 of the table in baseline year 2.</t>
  </si>
  <si>
    <t>Enter the total energy in all combusted fuel on row 7 of the table in baseline year 2.</t>
  </si>
  <si>
    <t>Enter the total energy in all combusted fuel on row 8 of the table in baseline year 2.</t>
  </si>
  <si>
    <t>Enter the total energy in all combusted fuel on row 9 of the table in baseline year 2.</t>
  </si>
  <si>
    <t>Enter the total energy in all combusted fuel on row 10 of the table in baseline year 2.</t>
  </si>
  <si>
    <t>Enter the total energy in all combusted fuel on row 11 of the table in baseline year 2.</t>
  </si>
  <si>
    <t>Enter the total energy in all combusted fuel on row 12 of the table in baseline year 2.</t>
  </si>
  <si>
    <t>Enter the total energy in all combusted fuel on row 13 of the table in baseline year 2.</t>
  </si>
  <si>
    <t>Enter the total energy in all combusted fuel on row 14 of the table in baseline year 2.</t>
  </si>
  <si>
    <t>Enter the total energy in all combusted fuel on row 15 of the table in baseline year 2.</t>
  </si>
  <si>
    <t>Enter the total energy in all combusted fuel on row 16 of the table in baseline year 2.</t>
  </si>
  <si>
    <t>Enter the total energy in all combusted fuel on row 17 of the table in baseline year 2.</t>
  </si>
  <si>
    <t>Enter the total energy in all combusted fuel on row 18 of the table in baseline year 2.</t>
  </si>
  <si>
    <t>Enter the total energy in all combusted fuel on row 19 of the table in baseline year 2.</t>
  </si>
  <si>
    <t>Enter the total energy in all combusted fuel on row 20 of the table in baseline year 2.</t>
  </si>
  <si>
    <t>Enter the total energy in all combusted fuel on row 21 of the table in baseline year 2.</t>
  </si>
  <si>
    <t>Enter the total energy in all combusted fuel on row 22 of the table in baseline year 2.</t>
  </si>
  <si>
    <t>Enter the total energy in all combusted fuel on row 23 of the table in baseline year 2.</t>
  </si>
  <si>
    <t>Enter the total energy in all combusted fuel on row 24 of the table in baseline year 2.</t>
  </si>
  <si>
    <t>Enter the total energy in all combusted fuel on row 25 of the table in baseline year 2.</t>
  </si>
  <si>
    <t>Enter the total energy in all combusted fuel on row 26 of the table in baseline year 2.</t>
  </si>
  <si>
    <t>Enter the total energy in all combusted fuel on row 27 of the table in baseline year 2.</t>
  </si>
  <si>
    <t>Enter the total energy in all combusted fuel on row 28 of the table in baseline year 2.</t>
  </si>
  <si>
    <t>Enter the total energy in all combusted fuel on row 29 of the table in baseline year 2.</t>
  </si>
  <si>
    <t>Enter the total energy in all combusted fuel on row 30 of the table in baseline year 2.</t>
  </si>
  <si>
    <t>Enter the total energy in all combusted fuel on row 31 of the table in baseline year 2.</t>
  </si>
  <si>
    <t>Enter the total energy in all combusted fuel on row 32 of the table in baseline year 2.</t>
  </si>
  <si>
    <t>Enter the total energy in all combusted fuel on row 33 of the table in baseline year 2.</t>
  </si>
  <si>
    <t>Enter the total energy in all combusted fuel on row 34 of the table in baseline year 2.</t>
  </si>
  <si>
    <t>Enter the total energy in all combusted fuel on row 35 of the table in baseline year 2.</t>
  </si>
  <si>
    <t>Enter the total energy in all combusted fuel on row 36 of the table in baseline year 2.</t>
  </si>
  <si>
    <t>Enter the total energy in all combusted fuel on row 37 of the table in baseline year 2.</t>
  </si>
  <si>
    <t>Enter the total energy in all combusted fuel on row 38 of the table in baseline year 2.</t>
  </si>
  <si>
    <t>Enter the total energy in all combusted fuel on row 39 of the table in baseline year 2.</t>
  </si>
  <si>
    <t>Enter the total energy in all combusted fuel on row 40 of the table in baseline year 2.</t>
  </si>
  <si>
    <t>Enter the total energy in all combusted fuel on row 41 of the table in baseline year 2.</t>
  </si>
  <si>
    <t>Enter the total energy in all combusted fuel on row 42 of the table in baseline year 2.</t>
  </si>
  <si>
    <t>Enter the total energy in all combusted fuel on row 43 of the table in baseline year 2.</t>
  </si>
  <si>
    <t>Enter the total energy in all combusted fuel on row 44 of the table in baseline year 2.</t>
  </si>
  <si>
    <t>Enter the total energy in all combusted fuel on row 45 of the table in baseline year 2.</t>
  </si>
  <si>
    <t>Enter the total energy in all combusted fuel on row 46 of the table in baseline year 2.</t>
  </si>
  <si>
    <t>Enter the total energy in all combusted fuel on row 47 of the table in baseline year 2.</t>
  </si>
  <si>
    <t>Enter the total energy in all combusted fuel on row 48 of the table in baseline year 2.</t>
  </si>
  <si>
    <t>Enter the total energy in all combusted fuel on row 49 of the table in baseline year 2.</t>
  </si>
  <si>
    <t>Enter the total energy in all combusted fuel on row 50 of the table in baseline year 2.</t>
  </si>
  <si>
    <t>Enter the total electricity generation from all combusted fuel on row 1 of the table in baseline year 2.</t>
  </si>
  <si>
    <t>Enter the total electricity generation from all combusted fuel on row 2 of the table in baseline year 2.</t>
  </si>
  <si>
    <t>Enter the total electricity generation from all combusted fuel on row 3 of the table in baseline year 2.</t>
  </si>
  <si>
    <t>Enter the total electricity generation from all combusted fuel on row 4 of the table in baseline year 2.</t>
  </si>
  <si>
    <t>Enter the total electricity generation from all combusted fuel on row 5 of the table in baseline year 2.</t>
  </si>
  <si>
    <t>Enter the total electricity generation from all combusted fuel on row 6 of the table in baseline year 2.</t>
  </si>
  <si>
    <t>Enter the total electricity generation from all combusted fuel on row 7 of the table in baseline year 2.</t>
  </si>
  <si>
    <t>Enter the total electricity generation from all combusted fuel on row 8 of the table in baseline year 2.</t>
  </si>
  <si>
    <t>Enter the total electricity generation from all combusted fuel on row 9 of the table in baseline year 2.</t>
  </si>
  <si>
    <t>Enter the total electricity generation from all combusted fuel on row 10 of the table in baseline year 2.</t>
  </si>
  <si>
    <t>Enter the total electricity generation from all combusted fuel on row 11 of the table in baseline year 2.</t>
  </si>
  <si>
    <t>Enter the total electricity generation from all combusted fuel on row 12 of the table in baseline year 2.</t>
  </si>
  <si>
    <t>Enter the total electricity generation from all combusted fuel on row 13 of the table in baseline year 2.</t>
  </si>
  <si>
    <t>Enter the total electricity generation from all combusted fuel on row 14 of the table in baseline year 2.</t>
  </si>
  <si>
    <t>Enter the total electricity generation from all combusted fuel on row 15 of the table in baseline year 2.</t>
  </si>
  <si>
    <t>Enter the total electricity generation from all combusted fuel on row 16 of the table in baseline year 2.</t>
  </si>
  <si>
    <t>Enter the total electricity generation from all combusted fuel on row 17 of the table in baseline year 2.</t>
  </si>
  <si>
    <t>Enter the total electricity generation from all combusted fuel on row 18 of the table in baseline year 2.</t>
  </si>
  <si>
    <t>Enter the total electricity generation from all combusted fuel on row 19 of the table in baseline year 2.</t>
  </si>
  <si>
    <t>Enter the total electricity generation from all combusted fuel on row 20 of the table in baseline year 2.</t>
  </si>
  <si>
    <t>Enter the total electricity generation from all combusted fuel on row 21 of the table in baseline year 2.</t>
  </si>
  <si>
    <t>Enter the total electricity generation from all combusted fuel on row 22 of the table in baseline year 2.</t>
  </si>
  <si>
    <t>Enter the total electricity generation from all combusted fuel on row 23 of the table in baseline year 2.</t>
  </si>
  <si>
    <t>Enter the total electricity generation from all combusted fuel on row 24 of the table in baseline year 2.</t>
  </si>
  <si>
    <t>Enter the total electricity generation from all combusted fuel on row 25 of the table in baseline year 2.</t>
  </si>
  <si>
    <t>Enter the total electricity generation from all combusted fuel on row 26 of the table in baseline year 2.</t>
  </si>
  <si>
    <t>Enter the total electricity generation from all combusted fuel on row 27 of the table in baseline year 2.</t>
  </si>
  <si>
    <t>Enter the total electricity generation from all combusted fuel on row 28 of the table in baseline year 2.</t>
  </si>
  <si>
    <t>Enter the total electricity generation from all combusted fuel on row 29 of the table in baseline year 2.</t>
  </si>
  <si>
    <t>Enter the total electricity generation from all combusted fuel on row 30 of the table in baseline year 2.</t>
  </si>
  <si>
    <t>Enter the total electricity generation from all combusted fuel on row 31 of the table in baseline year 2.</t>
  </si>
  <si>
    <t>Enter the total electricity generation from all combusted fuel on row 32 of the table in baseline year 2.</t>
  </si>
  <si>
    <t>Enter the total electricity generation from all combusted fuel on row 33 of the table in baseline year 2.</t>
  </si>
  <si>
    <t>Enter the total electricity generation from all combusted fuel on row 34 of the table in baseline year 2.</t>
  </si>
  <si>
    <t>Enter the total electricity generation from all combusted fuel on row 35 of the table in baseline year 2.</t>
  </si>
  <si>
    <t>Enter the total electricity generation from all combusted fuel on row 36 of the table in baseline year 2.</t>
  </si>
  <si>
    <t>Enter the total electricity generation from all combusted fuel on row 37 of the table in baseline year 2.</t>
  </si>
  <si>
    <t>Enter the total electricity generation from all combusted fuel on row 38 of the table in baseline year 2.</t>
  </si>
  <si>
    <t>Enter the total electricity generation from all combusted fuel on row 39 of the table in baseline year 2.</t>
  </si>
  <si>
    <t>Enter the total electricity generation from all combusted fuel on row 40 of the table in baseline year 2.</t>
  </si>
  <si>
    <t>Enter the total electricity generation from all combusted fuel on row 41 of the table in baseline year 2.</t>
  </si>
  <si>
    <t>Enter the total electricity generation from all combusted fuel on row 42 of the table in baseline year 2.</t>
  </si>
  <si>
    <t>Enter the total electricity generation from all combusted fuel on row 43 of the table in baseline year 2.</t>
  </si>
  <si>
    <t>Enter the total electricity generation from all combusted fuel on row 44 of the table in baseline year 2.</t>
  </si>
  <si>
    <t>Enter the total electricity generation from all combusted fuel on row 45 of the table in baseline year 2.</t>
  </si>
  <si>
    <t>Enter the total electricity generation from all combusted fuel on row 46 of the table in baseline year 2.</t>
  </si>
  <si>
    <t>Enter the total electricity generation from all combusted fuel on row 47 of the table in baseline year 2.</t>
  </si>
  <si>
    <t>Enter the total electricity generation from all combusted fuel on row 48 of the table in baseline year 2.</t>
  </si>
  <si>
    <t>Enter the total electricity generation from all combusted fuel on row 49 of the table in baseline year 2.</t>
  </si>
  <si>
    <t>Enter the total electricity generation from all combusted fuel on row 50 of the table in baseline year 2.</t>
  </si>
  <si>
    <t>Enter the carbon dioxide emissions from associated gas on row 1 of the table in baseline year 2.</t>
  </si>
  <si>
    <t>Enter the carbon dioxide emissions from associated gas on row 2 of the table in baseline year 2.</t>
  </si>
  <si>
    <t>Enter the carbon dioxide emissions from associated gas on row 3 of the table in baseline year 2.</t>
  </si>
  <si>
    <t>Enter the carbon dioxide emissions from associated gas on row 4 of the table in baseline year 2.</t>
  </si>
  <si>
    <t>Enter the carbon dioxide emissions from associated gas on row 5 of the table in baseline year 2.</t>
  </si>
  <si>
    <t>Enter the carbon dioxide emissions from associated gas on row 6 of the table in baseline year 2.</t>
  </si>
  <si>
    <t>Enter the carbon dioxide emissions from associated gas on row 7 of the table in baseline year 2.</t>
  </si>
  <si>
    <t>Enter the carbon dioxide emissions from associated gas on row 8 of the table in baseline year 2.</t>
  </si>
  <si>
    <t>Enter the carbon dioxide emissions from associated gas on row 9 of the table in baseline year 2.</t>
  </si>
  <si>
    <t>Enter the carbon dioxide emissions from associated gas on row 10 of the table in baseline year 2.</t>
  </si>
  <si>
    <t>Enter the carbon dioxide emissions from associated gas on row 11 of the table in baseline year 2.</t>
  </si>
  <si>
    <t>Enter the carbon dioxide emissions from associated gas on row 12 of the table in baseline year 2.</t>
  </si>
  <si>
    <t>Enter the carbon dioxide emissions from associated gas on row 13 of the table in baseline year 2.</t>
  </si>
  <si>
    <t>Enter the carbon dioxide emissions from associated gas on row 14 of the table in baseline year 2.</t>
  </si>
  <si>
    <t>Enter the carbon dioxide emissions from associated gas on row 15 of the table in baseline year 2.</t>
  </si>
  <si>
    <t>Enter the carbon dioxide emissions from associated gas on row 16 of the table in baseline year 2.</t>
  </si>
  <si>
    <t>Enter the carbon dioxide emissions from associated gas on row 17 of the table in baseline year 2.</t>
  </si>
  <si>
    <t>Enter the carbon dioxide emissions from associated gas on row 18 of the table in baseline year 2.</t>
  </si>
  <si>
    <t>Enter the carbon dioxide emissions from associated gas on row 19 of the table in baseline year 2.</t>
  </si>
  <si>
    <t>Enter the carbon dioxide emissions from associated gas on row 20 of the table in baseline year 2.</t>
  </si>
  <si>
    <t>Enter the carbon dioxide emissions from associated gas on row 21 of the table in baseline year 2.</t>
  </si>
  <si>
    <t>Enter the carbon dioxide emissions from associated gas on row 22 of the table in baseline year 2.</t>
  </si>
  <si>
    <t>Enter the carbon dioxide emissions from associated gas on row 23 of the table in baseline year 2.</t>
  </si>
  <si>
    <t>Enter the carbon dioxide emissions from associated gas on row 24 of the table in baseline year 2.</t>
  </si>
  <si>
    <t>Enter the carbon dioxide emissions from associated gas on row 25 of the table in baseline year 2.</t>
  </si>
  <si>
    <t>Enter the carbon dioxide emissions from associated gas on row 26 of the table in baseline year 2.</t>
  </si>
  <si>
    <t>Enter the carbon dioxide emissions from associated gas on row 27 of the table in baseline year 2.</t>
  </si>
  <si>
    <t>Enter the carbon dioxide emissions from associated gas on row 28 of the table in baseline year 2.</t>
  </si>
  <si>
    <t>Enter the carbon dioxide emissions from associated gas on row 29 of the table in baseline year 2.</t>
  </si>
  <si>
    <t>Enter the carbon dioxide emissions from associated gas on row 30 of the table in baseline year 2.</t>
  </si>
  <si>
    <t>Enter the carbon dioxide emissions from associated gas on row 31 of the table in baseline year 2.</t>
  </si>
  <si>
    <t>Enter the carbon dioxide emissions from associated gas on row 32 of the table in baseline year 2.</t>
  </si>
  <si>
    <t>Enter the carbon dioxide emissions from associated gas on row 33 of the table in baseline year 2.</t>
  </si>
  <si>
    <t>Enter the carbon dioxide emissions from associated gas on row 34 of the table in baseline year 2.</t>
  </si>
  <si>
    <t>Enter the carbon dioxide emissions from associated gas on row 35 of the table in baseline year 2.</t>
  </si>
  <si>
    <t>Enter the carbon dioxide emissions from associated gas on row 36 of the table in baseline year 2.</t>
  </si>
  <si>
    <t>Enter the carbon dioxide emissions from associated gas on row 37 of the table in baseline year 2.</t>
  </si>
  <si>
    <t>Enter the carbon dioxide emissions from associated gas on row 38 of the table in baseline year 2.</t>
  </si>
  <si>
    <t>Enter the carbon dioxide emissions from associated gas on row 39 of the table in baseline year 2.</t>
  </si>
  <si>
    <t>Enter the carbon dioxide emissions from associated gas on row 40 of the table in baseline year 2.</t>
  </si>
  <si>
    <t>Enter the carbon dioxide emissions from associated gas on row 41 of the table in baseline year 2.</t>
  </si>
  <si>
    <t>Enter the carbon dioxide emissions from associated gas on row 42 of the table in baseline year 2.</t>
  </si>
  <si>
    <t>Enter the carbon dioxide emissions from associated gas on row 43 of the table in baseline year 2.</t>
  </si>
  <si>
    <t>Enter the carbon dioxide emissions from associated gas on row 44 of the table in baseline year 2.</t>
  </si>
  <si>
    <t>Enter the carbon dioxide emissions from associated gas on row 45 of the table in baseline year 2.</t>
  </si>
  <si>
    <t>Enter the carbon dioxide emissions from associated gas on row 46 of the table in baseline year 2.</t>
  </si>
  <si>
    <t>Enter the carbon dioxide emissions from associated gas on row 47 of the table in baseline year 2.</t>
  </si>
  <si>
    <t>Enter the carbon dioxide emissions from associated gas on row 48 of the table in baseline year 2.</t>
  </si>
  <si>
    <t>Enter the carbon dioxide emissions from associated gas on row 49 of the table in baseline year 2.</t>
  </si>
  <si>
    <t>Enter the carbon dioxide emissions from associated gas on row 50 of the table in baseline year 2.</t>
  </si>
  <si>
    <t>Enter the methane emissions from associated gas on row 1 of the table in baseline year 2.</t>
  </si>
  <si>
    <t>Enter the methane emissions from associated gas on row 2 of the table in baseline year 2.</t>
  </si>
  <si>
    <t>Enter the methane emissions from associated gas on row 3 of the table in baseline year 2.</t>
  </si>
  <si>
    <t>Enter the methane emissions from associated gas on row 4 of the table in baseline year 2.</t>
  </si>
  <si>
    <t>Enter the methane emissions from associated gas on row 5 of the table in baseline year 2.</t>
  </si>
  <si>
    <t>Enter the methane emissions from associated gas on row 6 of the table in baseline year 2.</t>
  </si>
  <si>
    <t>Enter the methane emissions from associated gas on row 7 of the table in baseline year 2.</t>
  </si>
  <si>
    <t>Enter the methane emissions from associated gas on row 8 of the table in baseline year 2.</t>
  </si>
  <si>
    <t>Enter the methane emissions from associated gas on row 9 of the table in baseline year 2.</t>
  </si>
  <si>
    <t>Enter the methane emissions from associated gas on row 10 of the table in baseline year 2.</t>
  </si>
  <si>
    <t>Enter the methane emissions from associated gas on row 11 of the table in baseline year 2.</t>
  </si>
  <si>
    <t>Enter the methane emissions from associated gas on row 12 of the table in baseline year 2.</t>
  </si>
  <si>
    <t>Enter the methane emissions from associated gas on row 13 of the table in baseline year 2.</t>
  </si>
  <si>
    <t>Enter the methane emissions from associated gas on row 14 of the table in baseline year 2.</t>
  </si>
  <si>
    <t>Enter the methane emissions from associated gas on row 15 of the table in baseline year 2.</t>
  </si>
  <si>
    <t>Enter the methane emissions from associated gas on row 16 of the table in baseline year 2.</t>
  </si>
  <si>
    <t>Enter the methane emissions from associated gas on row 17 of the table in baseline year 2.</t>
  </si>
  <si>
    <t>Enter the methane emissions from associated gas on row 18 of the table in baseline year 2.</t>
  </si>
  <si>
    <t>Enter the methane emissions from associated gas on row 19 of the table in baseline year 2.</t>
  </si>
  <si>
    <t>Enter the methane emissions from associated gas on row 20 of the table in baseline year 2.</t>
  </si>
  <si>
    <t>Enter the methane emissions from associated gas on row 21 of the table in baseline year 2.</t>
  </si>
  <si>
    <t>Enter the methane emissions from associated gas on row 22 of the table in baseline year 2.</t>
  </si>
  <si>
    <t>Enter the methane emissions from associated gas on row 23 of the table in baseline year 2.</t>
  </si>
  <si>
    <t>Enter the methane emissions from associated gas on row 24 of the table in baseline year 2.</t>
  </si>
  <si>
    <t>Enter the methane emissions from associated gas on row 25 of the table in baseline year 2.</t>
  </si>
  <si>
    <t>Enter the methane emissions from associated gas on row 26 of the table in baseline year 2.</t>
  </si>
  <si>
    <t>Enter the methane emissions from associated gas on row 27 of the table in baseline year 2.</t>
  </si>
  <si>
    <t>Enter the methane emissions from associated gas on row 28 of the table in baseline year 2.</t>
  </si>
  <si>
    <t>Enter the methane emissions from associated gas on row 29 of the table in baseline year 2.</t>
  </si>
  <si>
    <t>Enter the methane emissions from associated gas on row 30 of the table in baseline year 2.</t>
  </si>
  <si>
    <t>Enter the methane emissions from associated gas on row 31 of the table in baseline year 2.</t>
  </si>
  <si>
    <t>Enter the methane emissions from associated gas on row 32 of the table in baseline year 2.</t>
  </si>
  <si>
    <t>Enter the methane emissions from associated gas on row 33 of the table in baseline year 2.</t>
  </si>
  <si>
    <t>Enter the methane emissions from associated gas on row 34 of the table in baseline year 2.</t>
  </si>
  <si>
    <t>Enter the methane emissions from associated gas on row 35 of the table in baseline year 2.</t>
  </si>
  <si>
    <t>Enter the methane emissions from associated gas on row 36 of the table in baseline year 2.</t>
  </si>
  <si>
    <t>Enter the methane emissions from associated gas on row 37 of the table in baseline year 2.</t>
  </si>
  <si>
    <t>Enter the methane emissions from associated gas on row 38 of the table in baseline year 2.</t>
  </si>
  <si>
    <t>Enter the methane emissions from associated gas on row 39 of the table in baseline year 2.</t>
  </si>
  <si>
    <t>Enter the methane emissions from associated gas on row 40 of the table in baseline year 2.</t>
  </si>
  <si>
    <t>Enter the methane emissions from associated gas on row 41 of the table in baseline year 2.</t>
  </si>
  <si>
    <t>Enter the methane emissions from associated gas on row 42 of the table in baseline year 2.</t>
  </si>
  <si>
    <t>Enter the methane emissions from associated gas on row 43 of the table in baseline year 2.</t>
  </si>
  <si>
    <t>Enter the methane emissions from associated gas on row 44 of the table in baseline year 2.</t>
  </si>
  <si>
    <t>Enter the methane emissions from associated gas on row 45 of the table in baseline year 2.</t>
  </si>
  <si>
    <t>Enter the methane emissions from associated gas on row 46 of the table in baseline year 2.</t>
  </si>
  <si>
    <t>Enter the methane emissions from associated gas on row 47 of the table in baseline year 2.</t>
  </si>
  <si>
    <t>Enter the methane emissions from associated gas on row 48 of the table in baseline year 2.</t>
  </si>
  <si>
    <t>Enter the methane emissions from associated gas on row 49 of the table in baseline year 2.</t>
  </si>
  <si>
    <t>Enter the methane emissions from associated gas on row 50 of the table in baseline year 2.</t>
  </si>
  <si>
    <t>Enter the nitrous oxide emissions from associated gas on row 1 of the table in baseline year 2.</t>
  </si>
  <si>
    <t>Enter the nitrous oxide emissions from associated gas on row 2 of the table in baseline year 2.</t>
  </si>
  <si>
    <t>Enter the nitrous oxide emissions from associated gas on row 3 of the table in baseline year 2.</t>
  </si>
  <si>
    <t>Enter the nitrous oxide emissions from associated gas on row 4 of the table in baseline year 2.</t>
  </si>
  <si>
    <t>Enter the nitrous oxide emissions from associated gas on row 5 of the table in baseline year 2.</t>
  </si>
  <si>
    <t>Enter the nitrous oxide emissions from associated gas on row 6 of the table in baseline year 2.</t>
  </si>
  <si>
    <t>Enter the nitrous oxide emissions from associated gas on row 7 of the table in baseline year 2.</t>
  </si>
  <si>
    <t>Enter the nitrous oxide emissions from associated gas on row 8 of the table in baseline year 2.</t>
  </si>
  <si>
    <t>Enter the nitrous oxide emissions from associated gas on row 9 of the table in baseline year 2.</t>
  </si>
  <si>
    <t>Enter the nitrous oxide emissions from associated gas on row 10 of the table in baseline year 2.</t>
  </si>
  <si>
    <t>Enter the nitrous oxide emissions from associated gas on row 11 of the table in baseline year 2.</t>
  </si>
  <si>
    <t>Enter the nitrous oxide emissions from associated gas on row 12 of the table in baseline year 2.</t>
  </si>
  <si>
    <t>Enter the nitrous oxide emissions from associated gas on row 13 of the table in baseline year 2.</t>
  </si>
  <si>
    <t>Enter the nitrous oxide emissions from associated gas on row 14 of the table in baseline year 2.</t>
  </si>
  <si>
    <t>Enter the nitrous oxide emissions from associated gas on row 15 of the table in baseline year 2.</t>
  </si>
  <si>
    <t>Enter the nitrous oxide emissions from associated gas on row 16 of the table in baseline year 2.</t>
  </si>
  <si>
    <t>Enter the nitrous oxide emissions from associated gas on row 17 of the table in baseline year 2.</t>
  </si>
  <si>
    <t>Enter the nitrous oxide emissions from associated gas on row 18 of the table in baseline year 2.</t>
  </si>
  <si>
    <t>Enter the nitrous oxide emissions from associated gas on row 19 of the table in baseline year 2.</t>
  </si>
  <si>
    <t>Enter the nitrous oxide emissions from associated gas on row 20 of the table in baseline year 2.</t>
  </si>
  <si>
    <t>Enter the nitrous oxide emissions from associated gas on row 21 of the table in baseline year 2.</t>
  </si>
  <si>
    <t>Enter the nitrous oxide emissions from associated gas on row 22 of the table in baseline year 2.</t>
  </si>
  <si>
    <t>Enter the nitrous oxide emissions from associated gas on row 23 of the table in baseline year 2.</t>
  </si>
  <si>
    <t>Enter the nitrous oxide emissions from associated gas on row 24 of the table in baseline year 2.</t>
  </si>
  <si>
    <t>Enter the nitrous oxide emissions from associated gas on row 25 of the table in baseline year 2.</t>
  </si>
  <si>
    <t>Enter the nitrous oxide emissions from associated gas on row 26 of the table in baseline year 2.</t>
  </si>
  <si>
    <t>Enter the nitrous oxide emissions from associated gas on row 27 of the table in baseline year 2.</t>
  </si>
  <si>
    <t>Enter the nitrous oxide emissions from associated gas on row 28 of the table in baseline year 2.</t>
  </si>
  <si>
    <t>Enter the nitrous oxide emissions from associated gas on row 29 of the table in baseline year 2.</t>
  </si>
  <si>
    <t>Enter the nitrous oxide emissions from associated gas on row 30 of the table in baseline year 2.</t>
  </si>
  <si>
    <t>Enter the nitrous oxide emissions from associated gas on row 31 of the table in baseline year 2.</t>
  </si>
  <si>
    <t>Enter the nitrous oxide emissions from associated gas on row 32 of the table in baseline year 2.</t>
  </si>
  <si>
    <t>Enter the nitrous oxide emissions from associated gas on row 33 of the table in baseline year 2.</t>
  </si>
  <si>
    <t>Enter the nitrous oxide emissions from associated gas on row 34 of the table in baseline year 2.</t>
  </si>
  <si>
    <t>Enter the nitrous oxide emissions from associated gas on row 35 of the table in baseline year 2.</t>
  </si>
  <si>
    <t>Enter the nitrous oxide emissions from associated gas on row 36 of the table in baseline year 2.</t>
  </si>
  <si>
    <t>Enter the nitrous oxide emissions from associated gas on row 37 of the table in baseline year 2.</t>
  </si>
  <si>
    <t>Enter the nitrous oxide emissions from associated gas on row 38 of the table in baseline year 2.</t>
  </si>
  <si>
    <t>Enter the nitrous oxide emissions from associated gas on row 39 of the table in baseline year 2.</t>
  </si>
  <si>
    <t>Enter the nitrous oxide emissions from associated gas on row 40 of the table in baseline year 2.</t>
  </si>
  <si>
    <t>Enter the nitrous oxide emissions from associated gas on row 41 of the table in baseline year 2.</t>
  </si>
  <si>
    <t>Enter the nitrous oxide emissions from associated gas on row 42 of the table in baseline year 2.</t>
  </si>
  <si>
    <t>Enter the nitrous oxide emissions from associated gas on row 43 of the table in baseline year 2.</t>
  </si>
  <si>
    <t>Enter the nitrous oxide emissions from associated gas on row 44 of the table in baseline year 2.</t>
  </si>
  <si>
    <t>Enter the nitrous oxide emissions from associated gas on row 45 of the table in baseline year 2.</t>
  </si>
  <si>
    <t>Enter the nitrous oxide emissions from associated gas on row 46 of the table in baseline year 2.</t>
  </si>
  <si>
    <t>Enter the nitrous oxide emissions from associated gas on row 47 of the table in baseline year 2.</t>
  </si>
  <si>
    <t>Enter the nitrous oxide emissions from associated gas on row 48 of the table in baseline year 2.</t>
  </si>
  <si>
    <t>Enter the nitrous oxide emissions from associated gas on row 49 of the table in baseline year 2.</t>
  </si>
  <si>
    <t>Enter the nitrous oxide emissions from associated gas on row 50 of the table in baseline year 2.</t>
  </si>
  <si>
    <t>Select the source categories that produced direct emissions for product 1.</t>
  </si>
  <si>
    <t>Select the source categories that produced direct emissions for product 2.</t>
  </si>
  <si>
    <t>Select the source categories that produced direct emissions for product 3.</t>
  </si>
  <si>
    <t>Select the source categories that produced direct emissions for product 4.</t>
  </si>
  <si>
    <t>Select the source categories that produced direct emissions for product 5.</t>
  </si>
  <si>
    <t>R.Summary.P1Units</t>
  </si>
  <si>
    <t>R.Summary.P2Units</t>
  </si>
  <si>
    <t>R.Summary.P3Units</t>
  </si>
  <si>
    <t>R.Summary.P4Units</t>
  </si>
  <si>
    <t>R.Summary.P5Units</t>
  </si>
  <si>
    <r>
      <t>tonnes CO</t>
    </r>
    <r>
      <rPr>
        <vertAlign val="subscript"/>
        <sz val="11"/>
        <color rgb="FF000000"/>
        <rFont val="Calibri"/>
        <family val="2"/>
        <scheme val="minor"/>
      </rPr>
      <t>2</t>
    </r>
    <r>
      <rPr>
        <sz val="11"/>
        <color rgb="FF000000"/>
        <rFont val="Calibri"/>
        <family val="2"/>
        <scheme val="minor"/>
      </rPr>
      <t>e/</t>
    </r>
  </si>
  <si>
    <t>It was indicated on the Facility Information tab that the facility produces products in the upstream oil and gas sector. Review the sector that applies to each product.</t>
  </si>
  <si>
    <r>
      <t xml:space="preserve">Any electricity emissions produced during the baseline years for the barrel of oil equivalent (BOE) product that are not subject to </t>
    </r>
    <r>
      <rPr>
        <i/>
        <sz val="11"/>
        <color rgb="FF000000"/>
        <rFont val="Calibri"/>
        <family val="2"/>
        <scheme val="minor"/>
      </rPr>
      <t>The Electricity Facility Standard,</t>
    </r>
    <r>
      <rPr>
        <sz val="11"/>
        <color rgb="FF000000"/>
        <rFont val="Calibri"/>
        <family val="2"/>
        <scheme val="minor"/>
      </rPr>
      <t xml:space="preserve"> and not resulting from the combustion of associated gas in a gas-to-power operation, must be reported on the Electricity Data tab and excluded from the Production Data tab.</t>
    </r>
  </si>
  <si>
    <t>Refer to the Appendix tab for additional guidance.</t>
  </si>
  <si>
    <t>Refer to the Appendix tab for instructions on reporting electricity data.</t>
  </si>
  <si>
    <t>Refer to the Appendix tab for instructions on reporting gas-to-power data.</t>
  </si>
  <si>
    <t>This form can be used to establish or re-establish a baseline emissions intensity for products produced at the facility.</t>
  </si>
  <si>
    <r>
      <t xml:space="preserve">All information included in support of this submission is considered public in accordance with section 61(1) of </t>
    </r>
    <r>
      <rPr>
        <i/>
        <sz val="11"/>
        <color rgb="FF000000"/>
        <rFont val="Calibri"/>
        <family val="2"/>
        <scheme val="minor"/>
      </rPr>
      <t>The Management and Reduction of Greenhouse Gases Act.</t>
    </r>
    <r>
      <rPr>
        <sz val="11"/>
        <color rgb="FF000000"/>
        <rFont val="Calibri"/>
        <family val="2"/>
        <scheme val="minor"/>
      </rPr>
      <t xml:space="preserve"> A request to keep confidential all or any part of this submission for a period of five years must be made in writing and included with this submission per section 61(3) of </t>
    </r>
    <r>
      <rPr>
        <i/>
        <sz val="11"/>
        <color rgb="FF000000"/>
        <rFont val="Calibri"/>
        <family val="2"/>
        <scheme val="minor"/>
      </rPr>
      <t>The Management and Reduction of Greenhouse Gases Act</t>
    </r>
    <r>
      <rPr>
        <sz val="11"/>
        <color rgb="FF000000"/>
        <rFont val="Calibri"/>
        <family val="2"/>
        <scheme val="minor"/>
      </rPr>
      <t xml:space="preserve"> and section 32 of </t>
    </r>
    <r>
      <rPr>
        <i/>
        <sz val="11"/>
        <color rgb="FF000000"/>
        <rFont val="Calibri"/>
        <family val="2"/>
        <scheme val="minor"/>
      </rPr>
      <t>The Management and Reduction of Greenhouse Gases (Standards and Compliance) Regulations, 2023.</t>
    </r>
    <r>
      <rPr>
        <sz val="11"/>
        <color rgb="FF000000"/>
        <rFont val="Calibri"/>
        <family val="2"/>
        <scheme val="minor"/>
      </rPr>
      <t xml:space="preserve"> Subsequent requests may be made prior to the expiry period to extend confidentiality of all or any part of this submission on five-year intervals per section 61(4) of </t>
    </r>
    <r>
      <rPr>
        <i/>
        <sz val="11"/>
        <color rgb="FF000000"/>
        <rFont val="Calibri"/>
        <family val="2"/>
        <scheme val="minor"/>
      </rPr>
      <t>The Management and Reduction of Greenhouse Gases Act.</t>
    </r>
  </si>
  <si>
    <r>
      <t xml:space="preserve">The requirements in this form are administered under the authority of </t>
    </r>
    <r>
      <rPr>
        <i/>
        <sz val="11"/>
        <color rgb="FF000000"/>
        <rFont val="Calibri"/>
        <family val="2"/>
        <scheme val="minor"/>
      </rPr>
      <t>The Management and Reduction of Greenhouse Gases Act, The Management and Reduction of Greenhouse Gases (Standards and Compliance) Regulations, 2023</t>
    </r>
    <r>
      <rPr>
        <sz val="11"/>
        <color rgb="FF000000"/>
        <rFont val="Calibri"/>
        <family val="2"/>
        <scheme val="minor"/>
      </rPr>
      <t xml:space="preserve"> and </t>
    </r>
    <r>
      <rPr>
        <i/>
        <sz val="11"/>
        <color rgb="FF000000"/>
        <rFont val="Calibri"/>
        <family val="2"/>
        <scheme val="minor"/>
      </rPr>
      <t>The Industrial Facility Standard.</t>
    </r>
  </si>
  <si>
    <t>Number of commercial products, excluding electricity generated from the combustion of associated gas</t>
  </si>
  <si>
    <t>Does this facility produce products in the upstream oil and gas sector?</t>
  </si>
  <si>
    <t>Does this facility have a gas-to-power operation?</t>
  </si>
  <si>
    <t>Does this product have regulated electricity emissions?</t>
  </si>
  <si>
    <t>Number of units within the gas-to-power operation in the first baseline year</t>
  </si>
  <si>
    <t>Number of units within the gas-to-power operation in the second baseline year</t>
  </si>
  <si>
    <t>Indicate if the facility has a gas-to-power operation.</t>
  </si>
  <si>
    <t>Indicate if product 1 has been in commercial production for less than three years.</t>
  </si>
  <si>
    <t>Indicate if product 1 has regulated electricity emissions.</t>
  </si>
  <si>
    <t>Indicate if product 2 has been in commercial production for less than three years.</t>
  </si>
  <si>
    <t>Indicate if product 2 has regulated electricity emissions.</t>
  </si>
  <si>
    <t>Indicate if product 3 has been in commercial production for less than three years.</t>
  </si>
  <si>
    <t>Indicate if product 3 has regulated electricity emissions.</t>
  </si>
  <si>
    <t>Indicate if product 4 has been in commercial production for less than three years.</t>
  </si>
  <si>
    <t>Indicate if product 4 has regulated electricity emissions.</t>
  </si>
  <si>
    <t>Indicate if product 5 has been in commercial production for less than three years.</t>
  </si>
  <si>
    <t>Indicate if product 5 has regulated electricity emissions.</t>
  </si>
  <si>
    <t>Indicate if the gas-to-power operation has been in production for at least two years.</t>
  </si>
  <si>
    <t>Select the first baseline year for the gas-to-power operation.</t>
  </si>
  <si>
    <t>Enter the production amount for product 1 in baseline year 1.</t>
  </si>
  <si>
    <t>Enter the production amount for product 1 in baseline year 2.</t>
  </si>
  <si>
    <t>Enter the production amount for product 1 in baseline year 3.</t>
  </si>
  <si>
    <t>Enter the production amount for product 2 in baseline year 1.</t>
  </si>
  <si>
    <t>Enter the production amount for product 2 in baseline year 2.</t>
  </si>
  <si>
    <t>Enter the production amount for product 2 in baseline year 3.</t>
  </si>
  <si>
    <t>Enter the production amount for product 3 in baseline year 1.</t>
  </si>
  <si>
    <t>Enter the production amount for product 3 in baseline year 2.</t>
  </si>
  <si>
    <t>Enter the production amount for product 3 in baseline year 3.</t>
  </si>
  <si>
    <t>Enter the production amount for product 4 in baseline year 1.</t>
  </si>
  <si>
    <t>Enter the production amount for product 4 in baseline year 2.</t>
  </si>
  <si>
    <t>Enter the production amount for product 4 in baseline year 3.</t>
  </si>
  <si>
    <t>Enter the production amount for product 5 in baseline year 1.</t>
  </si>
  <si>
    <t>Enter the production amount for product 5 in baseline year 2.</t>
  </si>
  <si>
    <t>Enter the production amount for product 5 in baseline year 3.</t>
  </si>
  <si>
    <t>Amount of commercial product</t>
  </si>
  <si>
    <t>Product amount</t>
  </si>
  <si>
    <t>Has the gas-to-power operation been in production for at least two years?</t>
  </si>
  <si>
    <t>Once each tab is complete, ensure the notification at the bottom reads "Sheet complete." If it does not, follow the instructions to complete the tab.</t>
  </si>
  <si>
    <t>Reference</t>
  </si>
  <si>
    <t>='Facility Information'!$C$7</t>
  </si>
  <si>
    <t>='Facility Information'!$F$7</t>
  </si>
  <si>
    <t>='Facility Information'!$C$13</t>
  </si>
  <si>
    <t>='Facility Information'!$C$16</t>
  </si>
  <si>
    <t>='Facility Information'!$D$23:$D$522</t>
  </si>
  <si>
    <t>='Product Information'!$C$8</t>
  </si>
  <si>
    <t>='Product Information'!$C$11</t>
  </si>
  <si>
    <t>='Product Information'!$E$11</t>
  </si>
  <si>
    <t>='Product Information'!$C$25</t>
  </si>
  <si>
    <t>='Product Information'!$C$31</t>
  </si>
  <si>
    <t>='Product Information'!$C$36</t>
  </si>
  <si>
    <t>='Product Information'!$C$39</t>
  </si>
  <si>
    <t>='Product Information'!$E$39</t>
  </si>
  <si>
    <t>='Product Information'!$C$53</t>
  </si>
  <si>
    <t>='Product Information'!$C$59</t>
  </si>
  <si>
    <t>='Product Information'!$C$64</t>
  </si>
  <si>
    <t>='Product Information'!$C$67</t>
  </si>
  <si>
    <t>='Product Information'!$E$67</t>
  </si>
  <si>
    <t>='Product Information'!$C$81</t>
  </si>
  <si>
    <t>='Product Information'!$C$87</t>
  </si>
  <si>
    <t>='Product Information'!$C$92</t>
  </si>
  <si>
    <t>='Product Information'!$C$95</t>
  </si>
  <si>
    <t>='Product Information'!$E$95</t>
  </si>
  <si>
    <t>='Product Information'!$C$109</t>
  </si>
  <si>
    <t>='Product Information'!$C$115</t>
  </si>
  <si>
    <t>='Product Information'!$C$120</t>
  </si>
  <si>
    <t>='Product Information'!$C$123</t>
  </si>
  <si>
    <t>='Product Information'!$E$123</t>
  </si>
  <si>
    <t>='Product Information'!$C$137</t>
  </si>
  <si>
    <t>='Product Information'!$C$143</t>
  </si>
  <si>
    <t>='Product Information'!$C$148</t>
  </si>
  <si>
    <t>='Production Data'!$G$12</t>
  </si>
  <si>
    <t>='Production Data'!$G$114</t>
  </si>
  <si>
    <t>='Production Data'!$G$216</t>
  </si>
  <si>
    <t>='Production Data'!$G$318</t>
  </si>
  <si>
    <t>='Production Data'!$G$420</t>
  </si>
  <si>
    <t>=Declaration!$D$9</t>
  </si>
  <si>
    <t>=Developer!$E$4:$E$3201</t>
  </si>
  <si>
    <t>='Facility Information'!$C$10</t>
  </si>
  <si>
    <t>='Facility Information'!$C$19</t>
  </si>
  <si>
    <t>='Product Information'!$C$28</t>
  </si>
  <si>
    <t>='Product Information'!$C$56</t>
  </si>
  <si>
    <t>='Product Information'!$C$84</t>
  </si>
  <si>
    <t>='Product Information'!$C$112</t>
  </si>
  <si>
    <t>='Product Information'!$C$140</t>
  </si>
  <si>
    <t>='Product Information'!$C$151</t>
  </si>
  <si>
    <t>='Production Data'!$D$12</t>
  </si>
  <si>
    <t>='Production Data'!$E$12</t>
  </si>
  <si>
    <t>='Production Data'!$F$12</t>
  </si>
  <si>
    <t>='Production Data'!$D$16:$D$18</t>
  </si>
  <si>
    <t>='Production Data'!$E$16:$E$18</t>
  </si>
  <si>
    <t>='Production Data'!$F$16:$F$18</t>
  </si>
  <si>
    <t>='Production Data'!$D$22:$D$45</t>
  </si>
  <si>
    <t>='Production Data'!$E$22:$E$45</t>
  </si>
  <si>
    <t>='Production Data'!$F$22:$F$45</t>
  </si>
  <si>
    <t>='Production Data'!$D$49:$D$69</t>
  </si>
  <si>
    <t>='Production Data'!$E$49:$E$69</t>
  </si>
  <si>
    <t>='Production Data'!$F$49:$F$69</t>
  </si>
  <si>
    <t>='Production Data'!$D$73:$D$75</t>
  </si>
  <si>
    <t>='Production Data'!$E$73:$E$75</t>
  </si>
  <si>
    <t>='Production Data'!$F$73:$F$75</t>
  </si>
  <si>
    <t>='Production Data'!$D$79:$D$81</t>
  </si>
  <si>
    <t>='Production Data'!$E$79:$E$81</t>
  </si>
  <si>
    <t>='Production Data'!$F$79:$F$81</t>
  </si>
  <si>
    <t>='Production Data'!$D$85:$D$87</t>
  </si>
  <si>
    <t>='Production Data'!$E$85:$E$87</t>
  </si>
  <si>
    <t>='Production Data'!$F$85:$F$87</t>
  </si>
  <si>
    <t>='Production Data'!$D$91:$D$93</t>
  </si>
  <si>
    <t>='Production Data'!$E$91:$E$93</t>
  </si>
  <si>
    <t>='Production Data'!$F$91:$F$93</t>
  </si>
  <si>
    <t>='Production Data'!$D$97:$D$99</t>
  </si>
  <si>
    <t>='Production Data'!$E$97:$E$99</t>
  </si>
  <si>
    <t>='Production Data'!$F$97:$F$99</t>
  </si>
  <si>
    <t>='Production Data'!$D$103:$D$105</t>
  </si>
  <si>
    <t>='Production Data'!$E$103:$E$105</t>
  </si>
  <si>
    <t>='Production Data'!$F$103:$F$105</t>
  </si>
  <si>
    <t>='Production Data'!$D$114</t>
  </si>
  <si>
    <t>='Production Data'!$E$114</t>
  </si>
  <si>
    <t>='Production Data'!$F$114</t>
  </si>
  <si>
    <t>='Production Data'!$D$118:$D$120</t>
  </si>
  <si>
    <t>='Production Data'!$E$118:$E$120</t>
  </si>
  <si>
    <t>='Production Data'!$F$118:$F$120</t>
  </si>
  <si>
    <t>='Production Data'!$D$124:$D$147</t>
  </si>
  <si>
    <t>='Production Data'!$E$124:$E$147</t>
  </si>
  <si>
    <t>='Production Data'!$F$124:$F$147</t>
  </si>
  <si>
    <t>='Production Data'!$D$151:$D$171</t>
  </si>
  <si>
    <t>='Production Data'!$E$151:$E$171</t>
  </si>
  <si>
    <t>='Production Data'!$F$151:$F$171</t>
  </si>
  <si>
    <t>='Production Data'!$D$175:$D$177</t>
  </si>
  <si>
    <t>='Production Data'!$E$175:$E$177</t>
  </si>
  <si>
    <t>='Production Data'!$F$175:$F$177</t>
  </si>
  <si>
    <t>='Production Data'!$D$181:$D$183</t>
  </si>
  <si>
    <t>='Production Data'!$E$181:$E$183</t>
  </si>
  <si>
    <t>='Production Data'!$F$181:$F$183</t>
  </si>
  <si>
    <t>='Production Data'!$D$187:$D$189</t>
  </si>
  <si>
    <t>='Production Data'!$E$187:$E$189</t>
  </si>
  <si>
    <t>='Production Data'!$F$187:$F$189</t>
  </si>
  <si>
    <t>='Production Data'!$D$193:$D$195</t>
  </si>
  <si>
    <t>='Production Data'!$E$193:$E$195</t>
  </si>
  <si>
    <t>='Production Data'!$F$193:$F$195</t>
  </si>
  <si>
    <t>='Production Data'!$D$199:$D$201</t>
  </si>
  <si>
    <t>='Production Data'!$E$199:$E$201</t>
  </si>
  <si>
    <t>='Production Data'!$F$199:$F$201</t>
  </si>
  <si>
    <t>='Production Data'!$D$205:$D$207</t>
  </si>
  <si>
    <t>='Production Data'!$E$205:$E$207</t>
  </si>
  <si>
    <t>='Production Data'!$F$205:$F$207</t>
  </si>
  <si>
    <t>='Production Data'!$D$216</t>
  </si>
  <si>
    <t>='Production Data'!$E$216</t>
  </si>
  <si>
    <t>='Production Data'!$F$216</t>
  </si>
  <si>
    <t>='Production Data'!$D$220:$D$222</t>
  </si>
  <si>
    <t>='Production Data'!$E$220:$E$222</t>
  </si>
  <si>
    <t>='Production Data'!$F$220:$F$222</t>
  </si>
  <si>
    <t>='Production Data'!$D$226:$D$249</t>
  </si>
  <si>
    <t>='Production Data'!$E$226:$E$249</t>
  </si>
  <si>
    <t>='Production Data'!$F$226:$F$249</t>
  </si>
  <si>
    <t>='Production Data'!$D$253:$D$273</t>
  </si>
  <si>
    <t>='Production Data'!$E$253:$E$273</t>
  </si>
  <si>
    <t>='Production Data'!$F$253:$F$273</t>
  </si>
  <si>
    <t>='Production Data'!$D$277:$D$279</t>
  </si>
  <si>
    <t>='Production Data'!$E$277:$E$279</t>
  </si>
  <si>
    <t>='Production Data'!$F$277:$F$279</t>
  </si>
  <si>
    <t>='Production Data'!$D$283:$D$285</t>
  </si>
  <si>
    <t>='Production Data'!$E$283:$E$285</t>
  </si>
  <si>
    <t>='Production Data'!$F$283:$F$285</t>
  </si>
  <si>
    <t>='Production Data'!$D$289:$D$291</t>
  </si>
  <si>
    <t>='Production Data'!$E$289:$E$291</t>
  </si>
  <si>
    <t>='Production Data'!$F$289:$F$291</t>
  </si>
  <si>
    <t>='Production Data'!$D$295:$D$297</t>
  </si>
  <si>
    <t>='Production Data'!$E$295:$E$297</t>
  </si>
  <si>
    <t>='Production Data'!$F$295:$F$297</t>
  </si>
  <si>
    <t>='Production Data'!$D$301:$D$303</t>
  </si>
  <si>
    <t>='Production Data'!$E$301:$E$303</t>
  </si>
  <si>
    <t>='Production Data'!$F$301:$F$303</t>
  </si>
  <si>
    <t>='Production Data'!$D$307:$D$309</t>
  </si>
  <si>
    <t>='Production Data'!$E$307:$E$309</t>
  </si>
  <si>
    <t>='Production Data'!$F$307:$F$309</t>
  </si>
  <si>
    <t>='Production Data'!$D$318</t>
  </si>
  <si>
    <t>='Production Data'!$E$318</t>
  </si>
  <si>
    <t>='Production Data'!$F$318</t>
  </si>
  <si>
    <t>='Production Data'!$D$322:$D$324</t>
  </si>
  <si>
    <t>='Production Data'!$E$322:$E$324</t>
  </si>
  <si>
    <t>='Production Data'!$F$322:$F$324</t>
  </si>
  <si>
    <t>='Production Data'!$D$328:$D$351</t>
  </si>
  <si>
    <t>='Production Data'!$E$328:$E$351</t>
  </si>
  <si>
    <t>='Production Data'!$F$328:$F$351</t>
  </si>
  <si>
    <t>='Production Data'!$D$355:$D$375</t>
  </si>
  <si>
    <t>='Production Data'!$E$355:$E$375</t>
  </si>
  <si>
    <t>='Production Data'!$F$355:$F$375</t>
  </si>
  <si>
    <t>='Production Data'!$D$379:$D$381</t>
  </si>
  <si>
    <t>='Production Data'!$E$379:$E$381</t>
  </si>
  <si>
    <t>='Production Data'!$F$379:$F$381</t>
  </si>
  <si>
    <t>='Production Data'!$D$385:$D$387</t>
  </si>
  <si>
    <t>='Production Data'!$E$385:$E$387</t>
  </si>
  <si>
    <t>='Production Data'!$F$385:$F$387</t>
  </si>
  <si>
    <t>='Production Data'!$D$391:$D$393</t>
  </si>
  <si>
    <t>='Production Data'!$E$391:$E$393</t>
  </si>
  <si>
    <t>='Production Data'!$F$391:$F$393</t>
  </si>
  <si>
    <t>='Production Data'!$D$397:$D$399</t>
  </si>
  <si>
    <t>='Production Data'!$E$397:$E$399</t>
  </si>
  <si>
    <t>='Production Data'!$F$397:$F$399</t>
  </si>
  <si>
    <t>='Production Data'!$D$403:$D$405</t>
  </si>
  <si>
    <t>='Production Data'!$E$403:$E$405</t>
  </si>
  <si>
    <t>='Production Data'!$F$403:$F$405</t>
  </si>
  <si>
    <t>='Production Data'!$D$409:$D$411</t>
  </si>
  <si>
    <t>='Production Data'!$E$409:$E$411</t>
  </si>
  <si>
    <t>='Production Data'!$F$409:$F$411</t>
  </si>
  <si>
    <t>='Production Data'!$D$420</t>
  </si>
  <si>
    <t>='Production Data'!$E$420</t>
  </si>
  <si>
    <t>='Production Data'!$F$420</t>
  </si>
  <si>
    <t>='Production Data'!$D$424:$D$426</t>
  </si>
  <si>
    <t>='Production Data'!$E$424:$E$426</t>
  </si>
  <si>
    <t>='Production Data'!$F$424:$F$426</t>
  </si>
  <si>
    <t>='Production Data'!$D$430:$D$453</t>
  </si>
  <si>
    <t>='Production Data'!$E$430:$E$453</t>
  </si>
  <si>
    <t>='Production Data'!$F$430:$F$453</t>
  </si>
  <si>
    <t>='Production Data'!$D$457:$D$477</t>
  </si>
  <si>
    <t>='Production Data'!$E$457:$E$477</t>
  </si>
  <si>
    <t>='Production Data'!$F$457:$F$477</t>
  </si>
  <si>
    <t>='Production Data'!$D$481:$D$483</t>
  </si>
  <si>
    <t>='Production Data'!$E$481:$E$483</t>
  </si>
  <si>
    <t>='Production Data'!$F$481:$F$483</t>
  </si>
  <si>
    <t>='Production Data'!$D$487:$D$489</t>
  </si>
  <si>
    <t>='Production Data'!$E$487:$E$489</t>
  </si>
  <si>
    <t>='Production Data'!$F$487:$F$489</t>
  </si>
  <si>
    <t>='Production Data'!$D$493:$D$495</t>
  </si>
  <si>
    <t>='Production Data'!$E$493:$E$495</t>
  </si>
  <si>
    <t>='Production Data'!$F$493:$F$495</t>
  </si>
  <si>
    <t>='Production Data'!$D$499:$D$501</t>
  </si>
  <si>
    <t>='Production Data'!$E$499:$E$501</t>
  </si>
  <si>
    <t>='Production Data'!$F$499:$F$501</t>
  </si>
  <si>
    <t>='Production Data'!$D$505:$D$507</t>
  </si>
  <si>
    <t>='Production Data'!$E$505:$E$507</t>
  </si>
  <si>
    <t>='Production Data'!$F$505:$F$507</t>
  </si>
  <si>
    <t>='Production Data'!$D$511:$D$513</t>
  </si>
  <si>
    <t>='Production Data'!$E$511:$E$513</t>
  </si>
  <si>
    <t>='Production Data'!$F$511:$F$513</t>
  </si>
  <si>
    <t>='Electricity Data'!$D$15:$D$17</t>
  </si>
  <si>
    <t>='Electricity Data'!$E$15:$E$17</t>
  </si>
  <si>
    <t>='Electricity Data'!$F$15:$F$17</t>
  </si>
  <si>
    <t>='Electricity Data'!$D$21:$D$44</t>
  </si>
  <si>
    <t>='Electricity Data'!$E$21:$E$44</t>
  </si>
  <si>
    <t>='Electricity Data'!$F$21:$F$44</t>
  </si>
  <si>
    <t>='Electricity Data'!$D$48:$D$68</t>
  </si>
  <si>
    <t>='Electricity Data'!$E$48:$E$68</t>
  </si>
  <si>
    <t>='Electricity Data'!$F$48:$F$68</t>
  </si>
  <si>
    <t>='Electricity Data'!$D$72:$D$74</t>
  </si>
  <si>
    <t>='Electricity Data'!$E$72:$E$74</t>
  </si>
  <si>
    <t>='Electricity Data'!$F$72:$F$74</t>
  </si>
  <si>
    <t>='Electricity Data'!$D$78:$D$80</t>
  </si>
  <si>
    <t>='Electricity Data'!$E$78:$E$80</t>
  </si>
  <si>
    <t>='Electricity Data'!$F$78:$F$80</t>
  </si>
  <si>
    <t>='Electricity Data'!$D$84:$D$86</t>
  </si>
  <si>
    <t>='Electricity Data'!$E$84:$E$86</t>
  </si>
  <si>
    <t>='Electricity Data'!$F$84:$F$86</t>
  </si>
  <si>
    <t>='Electricity Data'!$D$90:$D$92</t>
  </si>
  <si>
    <t>='Electricity Data'!$E$90:$E$92</t>
  </si>
  <si>
    <t>='Electricity Data'!$F$90:$F$92</t>
  </si>
  <si>
    <t>='Electricity Data'!$D$96:$D$98</t>
  </si>
  <si>
    <t>='Electricity Data'!$E$96:$E$98</t>
  </si>
  <si>
    <t>='Electricity Data'!$F$96:$F$98</t>
  </si>
  <si>
    <t>='Electricity Data'!$D$102:$D$104</t>
  </si>
  <si>
    <t>='Electricity Data'!$E$102:$E$104</t>
  </si>
  <si>
    <t>='Electricity Data'!$F$102:$F$104</t>
  </si>
  <si>
    <t>='Electricity Data'!$D$113:$D$115</t>
  </si>
  <si>
    <t>='Electricity Data'!$E$113:$E$115</t>
  </si>
  <si>
    <t>='Electricity Data'!$F$113:$F$115</t>
  </si>
  <si>
    <t>='Electricity Data'!$D$119:$D$142</t>
  </si>
  <si>
    <t>='Electricity Data'!$E$119:$E$142</t>
  </si>
  <si>
    <t>='Electricity Data'!$F$119:$F$142</t>
  </si>
  <si>
    <t>='Electricity Data'!$D$146:$D$166</t>
  </si>
  <si>
    <t>='Electricity Data'!$E$146:$E$166</t>
  </si>
  <si>
    <t>='Electricity Data'!$F$146:$F$166</t>
  </si>
  <si>
    <t>='Electricity Data'!$D$170:$D$172</t>
  </si>
  <si>
    <t>='Electricity Data'!$E$170:$E$172</t>
  </si>
  <si>
    <t>='Electricity Data'!$F$170:$F$172</t>
  </si>
  <si>
    <t>='Electricity Data'!$D$176:$D$178</t>
  </si>
  <si>
    <t>='Electricity Data'!$E$176:$E$178</t>
  </si>
  <si>
    <t>='Electricity Data'!$F$176:$F$178</t>
  </si>
  <si>
    <t>='Electricity Data'!$D$182:$D$184</t>
  </si>
  <si>
    <t>='Electricity Data'!$E$182:$E$184</t>
  </si>
  <si>
    <t>='Electricity Data'!$F$182:$F$184</t>
  </si>
  <si>
    <t>='Electricity Data'!$D$188:$D$190</t>
  </si>
  <si>
    <t>='Electricity Data'!$E$188:$E$190</t>
  </si>
  <si>
    <t>='Electricity Data'!$F$188:$F$190</t>
  </si>
  <si>
    <t>='Electricity Data'!$D$194:$D$196</t>
  </si>
  <si>
    <t>='Electricity Data'!$E$194:$E$196</t>
  </si>
  <si>
    <t>='Electricity Data'!$F$194:$F$196</t>
  </si>
  <si>
    <t>='Electricity Data'!$D$200:$D$202</t>
  </si>
  <si>
    <t>='Electricity Data'!$E$200:$E$202</t>
  </si>
  <si>
    <t>='Electricity Data'!$F$200:$F$202</t>
  </si>
  <si>
    <t>='Electricity Data'!$D$211:$D$213</t>
  </si>
  <si>
    <t>='Electricity Data'!$E$211:$E$213</t>
  </si>
  <si>
    <t>='Electricity Data'!$F$211:$F$213</t>
  </si>
  <si>
    <t>='Electricity Data'!$D$217:$D$240</t>
  </si>
  <si>
    <t>='Electricity Data'!$E$217:$E$240</t>
  </si>
  <si>
    <t>='Electricity Data'!$F$217:$F$240</t>
  </si>
  <si>
    <t>='Electricity Data'!$D$244:$D$264</t>
  </si>
  <si>
    <t>='Electricity Data'!$E$244:$E$264</t>
  </si>
  <si>
    <t>='Electricity Data'!$F$244:$F$264</t>
  </si>
  <si>
    <t>='Electricity Data'!$D$268:$D$270</t>
  </si>
  <si>
    <t>='Electricity Data'!$E$268:$E$270</t>
  </si>
  <si>
    <t>='Electricity Data'!$F$268:$F$270</t>
  </si>
  <si>
    <t>='Electricity Data'!$D$274:$D$276</t>
  </si>
  <si>
    <t>='Electricity Data'!$E$274:$E$276</t>
  </si>
  <si>
    <t>='Electricity Data'!$F$274:$F$276</t>
  </si>
  <si>
    <t>='Electricity Data'!$D$280:$D$282</t>
  </si>
  <si>
    <t>='Electricity Data'!$E$280:$E$282</t>
  </si>
  <si>
    <t>='Electricity Data'!$F$280:$F$282</t>
  </si>
  <si>
    <t>='Electricity Data'!$D$286:$D$288</t>
  </si>
  <si>
    <t>='Electricity Data'!$E$286:$E$288</t>
  </si>
  <si>
    <t>='Electricity Data'!$F$286:$F$288</t>
  </si>
  <si>
    <t>='Electricity Data'!$D$292:$D$294</t>
  </si>
  <si>
    <t>='Electricity Data'!$E$292:$E$294</t>
  </si>
  <si>
    <t>='Electricity Data'!$F$292:$F$294</t>
  </si>
  <si>
    <t>='Electricity Data'!$D$298:$D$300</t>
  </si>
  <si>
    <t>='Electricity Data'!$E$298:$E$300</t>
  </si>
  <si>
    <t>='Electricity Data'!$F$298:$F$300</t>
  </si>
  <si>
    <t>='Electricity Data'!$D$309:$D$311</t>
  </si>
  <si>
    <t>='Electricity Data'!$E$309:$E$311</t>
  </si>
  <si>
    <t>='Electricity Data'!$F$309:$F$311</t>
  </si>
  <si>
    <t>='Electricity Data'!$D$315:$D$338</t>
  </si>
  <si>
    <t>='Electricity Data'!$E$315:$E$338</t>
  </si>
  <si>
    <t>='Electricity Data'!$F$315:$F$338</t>
  </si>
  <si>
    <t>='Electricity Data'!$D$342:$D$362</t>
  </si>
  <si>
    <t>='Electricity Data'!$E$342:$E$362</t>
  </si>
  <si>
    <t>='Electricity Data'!$F$342:$F$362</t>
  </si>
  <si>
    <t>='Electricity Data'!$D$366:$D$368</t>
  </si>
  <si>
    <t>='Electricity Data'!$E$366:$E$368</t>
  </si>
  <si>
    <t>='Electricity Data'!$F$366:$F$368</t>
  </si>
  <si>
    <t>='Electricity Data'!$D$372:$D$374</t>
  </si>
  <si>
    <t>='Electricity Data'!$E$372:$E$374</t>
  </si>
  <si>
    <t>='Electricity Data'!$F$372:$F$374</t>
  </si>
  <si>
    <t>='Electricity Data'!$D$378:$D$380</t>
  </si>
  <si>
    <t>='Electricity Data'!$E$378:$E$380</t>
  </si>
  <si>
    <t>='Electricity Data'!$F$378:$F$380</t>
  </si>
  <si>
    <t>='Electricity Data'!$D$384:$D$386</t>
  </si>
  <si>
    <t>='Electricity Data'!$E$384:$E$386</t>
  </si>
  <si>
    <t>='Electricity Data'!$F$384:$F$386</t>
  </si>
  <si>
    <t>='Electricity Data'!$D$390:$D$392</t>
  </si>
  <si>
    <t>='Electricity Data'!$E$390:$E$392</t>
  </si>
  <si>
    <t>='Electricity Data'!$F$390:$F$392</t>
  </si>
  <si>
    <t>='Electricity Data'!$D$396:$D$398</t>
  </si>
  <si>
    <t>='Electricity Data'!$E$396:$E$398</t>
  </si>
  <si>
    <t>='Electricity Data'!$F$396:$F$398</t>
  </si>
  <si>
    <t>='Electricity Data'!$D$407:$D$409</t>
  </si>
  <si>
    <t>='Electricity Data'!$E$407:$E$409</t>
  </si>
  <si>
    <t>='Electricity Data'!$F$407:$F$409</t>
  </si>
  <si>
    <t>='Electricity Data'!$D$413:$D$436</t>
  </si>
  <si>
    <t>='Electricity Data'!$E$413:$E$436</t>
  </si>
  <si>
    <t>='Electricity Data'!$F$413:$F$436</t>
  </si>
  <si>
    <t>='Electricity Data'!$D$440:$D$460</t>
  </si>
  <si>
    <t>='Electricity Data'!$E$440:$E$460</t>
  </si>
  <si>
    <t>='Electricity Data'!$F$440:$F$460</t>
  </si>
  <si>
    <t>='Electricity Data'!$D$464:$D$466</t>
  </si>
  <si>
    <t>='Electricity Data'!$E$464:$E$466</t>
  </si>
  <si>
    <t>='Electricity Data'!$F$464:$F$466</t>
  </si>
  <si>
    <t>='Electricity Data'!$D$470:$D$472</t>
  </si>
  <si>
    <t>='Electricity Data'!$E$470:$E$472</t>
  </si>
  <si>
    <t>='Electricity Data'!$F$470:$F$472</t>
  </si>
  <si>
    <t>='Electricity Data'!$D$476:$D$478</t>
  </si>
  <si>
    <t>='Electricity Data'!$E$476:$E$478</t>
  </si>
  <si>
    <t>='Electricity Data'!$F$476:$F$478</t>
  </si>
  <si>
    <t>='Electricity Data'!$D$482:$D$484</t>
  </si>
  <si>
    <t>='Electricity Data'!$E$482:$E$484</t>
  </si>
  <si>
    <t>='Electricity Data'!$F$482:$F$484</t>
  </si>
  <si>
    <t>='Electricity Data'!$D$488:$D$490</t>
  </si>
  <si>
    <t>='Electricity Data'!$E$488:$E$490</t>
  </si>
  <si>
    <t>='Electricity Data'!$F$488:$F$490</t>
  </si>
  <si>
    <t>='Electricity Data'!$D$494:$D$496</t>
  </si>
  <si>
    <t>='Electricity Data'!$E$494:$E$496</t>
  </si>
  <si>
    <t>='Electricity Data'!$F$494:$F$496</t>
  </si>
  <si>
    <t>='Gas-to-Power Data'!$C$12</t>
  </si>
  <si>
    <t>='Gas-to-Power Data'!$D$18:$D$67</t>
  </si>
  <si>
    <t>='Gas-to-Power Data'!$E$18:$E$67</t>
  </si>
  <si>
    <t>='Gas-to-Power Data'!$F$18:$F$67</t>
  </si>
  <si>
    <t>='Gas-to-Power Data'!$G$18:$G$67</t>
  </si>
  <si>
    <t>='Gas-to-Power Data'!$H$18:$H$67</t>
  </si>
  <si>
    <t>='Gas-to-Power Data'!$I$18:$I$67</t>
  </si>
  <si>
    <t>='Gas-to-Power Data'!$C$73</t>
  </si>
  <si>
    <t>='Gas-to-Power Data'!$D$79:$D$128</t>
  </si>
  <si>
    <t>='Gas-to-Power Data'!$E$79:$E$128</t>
  </si>
  <si>
    <t>='Gas-to-Power Data'!$F$79:$F$128</t>
  </si>
  <si>
    <t>='Gas-to-Power Data'!$G$79:$G$128</t>
  </si>
  <si>
    <t>='Gas-to-Power Data'!$H$79:$H$128</t>
  </si>
  <si>
    <t>='Gas-to-Power Data'!$I$79:$I$128</t>
  </si>
  <si>
    <t>=Declaration!$F$26</t>
  </si>
  <si>
    <t>=Developer!$F$3157</t>
  </si>
  <si>
    <t>=Developer!$F$3158</t>
  </si>
  <si>
    <t>=Developer!$F$3159</t>
  </si>
  <si>
    <t>=Developer!$F$3160</t>
  </si>
  <si>
    <t>=Developer!$F$3161</t>
  </si>
  <si>
    <t>=Developer!$F$3162</t>
  </si>
  <si>
    <t>=Developer!$F$3163</t>
  </si>
  <si>
    <t>=Developer!$F$3164</t>
  </si>
  <si>
    <t>=Developer!$F$3165</t>
  </si>
  <si>
    <t>=Developer!$F$3166</t>
  </si>
  <si>
    <t>=Developer!$F$3167</t>
  </si>
  <si>
    <t>=Developer!$F$3168</t>
  </si>
  <si>
    <t>=Developer!$F$3169</t>
  </si>
  <si>
    <t>=Developer!$F$3170</t>
  </si>
  <si>
    <t>=Developer!$F$3171</t>
  </si>
  <si>
    <t>=Developer!$F$3172</t>
  </si>
  <si>
    <t>=Developer!$F$3173</t>
  </si>
  <si>
    <t>=Developer!$F$3174</t>
  </si>
  <si>
    <t>=Developer!$F$3175</t>
  </si>
  <si>
    <t>=Developer!$F$3176</t>
  </si>
  <si>
    <t>=Developer!$F$3177</t>
  </si>
  <si>
    <t>=Developer!$F$3178</t>
  </si>
  <si>
    <t>=Developer!$F$3179</t>
  </si>
  <si>
    <t>=Developer!$F$3180</t>
  </si>
  <si>
    <t>=Developer!$F$3181</t>
  </si>
  <si>
    <t>=Developer!$F$3182</t>
  </si>
  <si>
    <t>=Developer!$F$3183</t>
  </si>
  <si>
    <t>=Developer!$F$3184</t>
  </si>
  <si>
    <t>=Developer!$F$3185</t>
  </si>
  <si>
    <t>=Developer!$F$3186</t>
  </si>
  <si>
    <t>=Developer!$F$3187</t>
  </si>
  <si>
    <t>=Developer!$F$3188</t>
  </si>
  <si>
    <t>=Developer!$F$3189</t>
  </si>
  <si>
    <t>=Developer!$F$3190</t>
  </si>
  <si>
    <t>=Developer!$F$3191</t>
  </si>
  <si>
    <t>=Developer!$F$3192</t>
  </si>
  <si>
    <t>=Developer!$F$3193</t>
  </si>
  <si>
    <t>=Developer!$F$3194</t>
  </si>
  <si>
    <t>=Developer!$F$3195</t>
  </si>
  <si>
    <t>=Developer!$F$3196</t>
  </si>
  <si>
    <t>=Developer!$F$3197</t>
  </si>
  <si>
    <t>=Developer!$F$3198</t>
  </si>
  <si>
    <t>=Developer!$F$3199</t>
  </si>
  <si>
    <t>=Developer!$F$3200</t>
  </si>
  <si>
    <t>=Developer!$F$3201</t>
  </si>
  <si>
    <t>='Facility Information'!$B$17:$G$522</t>
  </si>
  <si>
    <t>='Product Information'!$B$5:$F$32</t>
  </si>
  <si>
    <t>='Product Information'!$B$33:$F$60</t>
  </si>
  <si>
    <t>='Product Information'!$B$61:$F$88</t>
  </si>
  <si>
    <t>='Product Information'!$B$89:$F$116</t>
  </si>
  <si>
    <t>='Product Information'!$B$117:$F$144</t>
  </si>
  <si>
    <t>='Product Information'!$B$145:$F$152</t>
  </si>
  <si>
    <t>='Production Data'!$B$5:$H$106</t>
  </si>
  <si>
    <t>='Production Data'!$B$14:$H$19</t>
  </si>
  <si>
    <t>='Production Data'!$B$20:$H$46</t>
  </si>
  <si>
    <t>='Production Data'!$B$47:$H$70</t>
  </si>
  <si>
    <t>='Production Data'!$B$71:$H$76</t>
  </si>
  <si>
    <t>='Production Data'!$B$77:$H$82</t>
  </si>
  <si>
    <t>='Production Data'!$B$83:$H$88</t>
  </si>
  <si>
    <t>='Production Data'!$B$89:$H$94</t>
  </si>
  <si>
    <t>='Production Data'!$B$95:$H$100</t>
  </si>
  <si>
    <t>='Production Data'!$B$101:$H$106</t>
  </si>
  <si>
    <t>='Production Data'!$B$107:$H$208</t>
  </si>
  <si>
    <t>='Production Data'!$B$116:$H$121</t>
  </si>
  <si>
    <t>='Production Data'!$B$122:$H$148</t>
  </si>
  <si>
    <t>='Production Data'!$B$149:$H$172</t>
  </si>
  <si>
    <t>='Production Data'!$B$173:$H$178</t>
  </si>
  <si>
    <t>='Production Data'!$B$179:$H$184</t>
  </si>
  <si>
    <t>='Production Data'!$B$185:$H$190</t>
  </si>
  <si>
    <t>='Production Data'!$B$191:$H$196</t>
  </si>
  <si>
    <t>='Production Data'!$B$197:$H$202</t>
  </si>
  <si>
    <t>='Production Data'!$B$203:$H$208</t>
  </si>
  <si>
    <t>='Production Data'!$B$209:$H$310</t>
  </si>
  <si>
    <t>='Production Data'!$B$218:$H$223</t>
  </si>
  <si>
    <t>='Production Data'!$B$224:$H$250</t>
  </si>
  <si>
    <t>='Production Data'!$B$251:$H$274</t>
  </si>
  <si>
    <t>='Production Data'!$B$275:$H$280</t>
  </si>
  <si>
    <t>='Production Data'!$B$281:$H$286</t>
  </si>
  <si>
    <t>='Production Data'!$B$287:$H$292</t>
  </si>
  <si>
    <t>='Production Data'!$B$293:$H$298</t>
  </si>
  <si>
    <t>='Production Data'!$B$299:$H$304</t>
  </si>
  <si>
    <t>='Production Data'!$B$305:$H$310</t>
  </si>
  <si>
    <t>='Production Data'!$B$311:$H$412</t>
  </si>
  <si>
    <t>='Production Data'!$B$320:$H$325</t>
  </si>
  <si>
    <t>='Production Data'!$B$326:$H$352</t>
  </si>
  <si>
    <t>='Production Data'!$B$353:$H$376</t>
  </si>
  <si>
    <t>='Production Data'!$B$377:$H$382</t>
  </si>
  <si>
    <t>='Production Data'!$B$383:$H$388</t>
  </si>
  <si>
    <t>='Production Data'!$B$389:$H$394</t>
  </si>
  <si>
    <t>='Production Data'!$B$395:$H$400</t>
  </si>
  <si>
    <t>='Production Data'!$B$401:$H$406</t>
  </si>
  <si>
    <t>='Production Data'!$B$407:$H$412</t>
  </si>
  <si>
    <t>='Production Data'!$B$413:$H$514</t>
  </si>
  <si>
    <t>='Production Data'!$B$422:$H$427</t>
  </si>
  <si>
    <t>='Production Data'!$B$428:$H$454</t>
  </si>
  <si>
    <t>='Production Data'!$B$455:$H$478</t>
  </si>
  <si>
    <t>='Production Data'!$B$479:$H$484</t>
  </si>
  <si>
    <t>='Production Data'!$B$485:$H$490</t>
  </si>
  <si>
    <t>='Production Data'!$B$491:$H$496</t>
  </si>
  <si>
    <t>='Production Data'!$B$497:$H$502</t>
  </si>
  <si>
    <t>='Production Data'!$B$503:$H$508</t>
  </si>
  <si>
    <t>='Production Data'!$B$509:$H$514</t>
  </si>
  <si>
    <t>='Electricity Data'!$B$8:$H$105</t>
  </si>
  <si>
    <t>='Electricity Data'!$B$13:$H$18</t>
  </si>
  <si>
    <t>='Electricity Data'!$B$19:$H$45</t>
  </si>
  <si>
    <t>='Electricity Data'!$B$46:$H$69</t>
  </si>
  <si>
    <t>='Electricity Data'!$B$70:$H$75</t>
  </si>
  <si>
    <t>='Electricity Data'!$B$76:$H$81</t>
  </si>
  <si>
    <t>='Electricity Data'!$B$82:$H$87</t>
  </si>
  <si>
    <t>='Electricity Data'!$B$88:$H$93</t>
  </si>
  <si>
    <t>='Electricity Data'!$B$94:$H$99</t>
  </si>
  <si>
    <t>='Electricity Data'!$B$100:$H$105</t>
  </si>
  <si>
    <t>='Electricity Data'!$B$106:$H$203</t>
  </si>
  <si>
    <t>='Electricity Data'!$B$111:$H$116</t>
  </si>
  <si>
    <t>='Electricity Data'!$B$117:$H$143</t>
  </si>
  <si>
    <t>='Electricity Data'!$B$144:$H$167</t>
  </si>
  <si>
    <t>='Electricity Data'!$B$168:$H$173</t>
  </si>
  <si>
    <t>='Electricity Data'!$B$174:$H$179</t>
  </si>
  <si>
    <t>='Electricity Data'!$B$180:$H$185</t>
  </si>
  <si>
    <t>='Electricity Data'!$B$186:$H$191</t>
  </si>
  <si>
    <t>='Electricity Data'!$B$192:$H$197</t>
  </si>
  <si>
    <t>='Electricity Data'!$B$198:$H$203</t>
  </si>
  <si>
    <t>='Electricity Data'!$B$204:$H$301</t>
  </si>
  <si>
    <t>='Electricity Data'!$B$209:$H$214</t>
  </si>
  <si>
    <t>='Electricity Data'!$B$215:$H$241</t>
  </si>
  <si>
    <t>='Electricity Data'!$B$242:$H$265</t>
  </si>
  <si>
    <t>='Electricity Data'!$B$266:$H$271</t>
  </si>
  <si>
    <t>='Electricity Data'!$B$272:$H$277</t>
  </si>
  <si>
    <t>='Electricity Data'!$B$278:$H$283</t>
  </si>
  <si>
    <t>='Electricity Data'!$B$284:$H$289</t>
  </si>
  <si>
    <t>='Electricity Data'!$B$290:$H$295</t>
  </si>
  <si>
    <t>='Electricity Data'!$B$296:$H$301</t>
  </si>
  <si>
    <t>='Electricity Data'!$B$302:$H$399</t>
  </si>
  <si>
    <t>='Electricity Data'!$B$307:$H$312</t>
  </si>
  <si>
    <t>='Electricity Data'!$B$313:$H$339</t>
  </si>
  <si>
    <t>='Electricity Data'!$B$340:$H$363</t>
  </si>
  <si>
    <t>='Electricity Data'!$B$364:$H$369</t>
  </si>
  <si>
    <t>='Electricity Data'!$B$370:$H$375</t>
  </si>
  <si>
    <t>='Electricity Data'!$B$376:$H$381</t>
  </si>
  <si>
    <t>='Electricity Data'!$B$382:$H$387</t>
  </si>
  <si>
    <t>='Electricity Data'!$B$388:$H$393</t>
  </si>
  <si>
    <t>='Electricity Data'!$B$394:$H$399</t>
  </si>
  <si>
    <t>='Electricity Data'!$B$400:$H$497</t>
  </si>
  <si>
    <t>='Electricity Data'!$B$405:$H$410</t>
  </si>
  <si>
    <t>='Electricity Data'!$B$411:$H$437</t>
  </si>
  <si>
    <t>='Electricity Data'!$B$438:$H$461</t>
  </si>
  <si>
    <t>='Electricity Data'!$B$462:$H$467</t>
  </si>
  <si>
    <t>='Electricity Data'!$B$468:$H$473</t>
  </si>
  <si>
    <t>='Electricity Data'!$B$474:$H$479</t>
  </si>
  <si>
    <t>='Electricity Data'!$B$480:$H$485</t>
  </si>
  <si>
    <t>='Electricity Data'!$B$486:$H$491</t>
  </si>
  <si>
    <t>='Electricity Data'!$B$492:$H$497</t>
  </si>
  <si>
    <t>='Gas-to-Power Data'!$B$8:$J$129</t>
  </si>
  <si>
    <t>='Gas-to-Power Data'!$D$18:$I$67</t>
  </si>
  <si>
    <t>='Gas-to-Power Data'!$D$79:$I$128</t>
  </si>
  <si>
    <t>=Summary!$B$21:$F$55</t>
  </si>
  <si>
    <t>=Summary!$B$56:$F$90</t>
  </si>
  <si>
    <t>=Summary!$B$91:$F$125</t>
  </si>
  <si>
    <t>=Summary!$B$126:$F$160</t>
  </si>
  <si>
    <t>=Summary!$B$161:$F$195</t>
  </si>
  <si>
    <t>=Summary!$B$196:$F$217</t>
  </si>
  <si>
    <t>=Developer!$B$4:$I$3201</t>
  </si>
  <si>
    <t>=Developer!$K$4:$L$123</t>
  </si>
  <si>
    <t>=Instructions!$B$1:$F$66</t>
  </si>
  <si>
    <t>=Instructions!$C$66</t>
  </si>
  <si>
    <t>=Instructions!$E$66</t>
  </si>
  <si>
    <t>='Facility Information'!$B$1:$G$530</t>
  </si>
  <si>
    <t>='Facility Information'!$C$524</t>
  </si>
  <si>
    <t>='Product Information'!$B$1:$F$159</t>
  </si>
  <si>
    <t>='Product Information'!$C$153</t>
  </si>
  <si>
    <t>='Production Data'!$B$1:$H$521</t>
  </si>
  <si>
    <t>='Production Data'!$C$515</t>
  </si>
  <si>
    <t>='Electricity Data'!$B$1:$H$504</t>
  </si>
  <si>
    <t>='Electricity Data'!$C$498</t>
  </si>
  <si>
    <t>='Gas-to-Power Data'!$B$1:$J$136</t>
  </si>
  <si>
    <t>='Gas-to-Power Data'!$C$130</t>
  </si>
  <si>
    <t>=Summary!$B$1:$F$218</t>
  </si>
  <si>
    <t>=Summary!$E$54</t>
  </si>
  <si>
    <t>=Summary!$E$89</t>
  </si>
  <si>
    <t>=Summary!$E$124</t>
  </si>
  <si>
    <t>=Summary!$E$159</t>
  </si>
  <si>
    <t>=Summary!$E$194</t>
  </si>
  <si>
    <t>=Declaration!$B$1:$G$35</t>
  </si>
  <si>
    <t>=Declaration!$C$29</t>
  </si>
  <si>
    <t>=Appendix!$B$1:$F$24</t>
  </si>
  <si>
    <t>=Developer!$P$27:$P$41</t>
  </si>
  <si>
    <t>=Developer!$N$4:$Q$41</t>
  </si>
  <si>
    <t>A gas-to-power operation includes all units at the facility that generate electricity from the combustion of associated gas that would otherwise be vented, flared or released to the atmosphere as leakage. Only stationary fuel combustion emissions from the combustion of associated gas in a gas-to-power operation are to be included on the Gas-to-Power Data tab. Emissions from the combustion of any fuel besides associated gas in the operation are not considered gas-to-power emissions and must be excluded from the emissions reported on the Gas-to-Power Data tab. These emissions must be reported as stationary fuel combustion emissions on the Electricity Data tab for a product if they were produced during the baseline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</si>
</sst>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quot;Version: &quot;0#.00"/>
    <numFmt numFmtId="166" formatCode="&quot;Date: &quot;yyyy\-mm\-dd"/>
    <numFmt numFmtId="167" formatCode="yyyy\-mm\-dd;@"/>
    <numFmt numFmtId="168" formatCode="yyyy\-mm\-dd\ hh:mm:ss\ AM/PM"/>
    <numFmt numFmtId="169" formatCode="&quot;Date: &quot;yyyy/mm/dd"/>
    <numFmt numFmtId="170" formatCode="yyyy/mm/dd\ hh:mm:ss"/>
  </numFmts>
  <fonts count="18" x14ac:knownFonts="1">
    <font>
      <sz val="11"/>
      <color theme="1"/>
      <name val="Calibri"/>
      <family val="2"/>
      <scheme val="minor"/>
    </font>
    <font>
      <i/>
      <sz val="11"/>
      <color theme="1"/>
      <name val="Calibri"/>
      <family val="2"/>
      <scheme val="minor"/>
    </font>
    <font>
      <sz val="10"/>
      <name val="Arial"/>
      <family val="2"/>
    </font>
    <font>
      <sz val="8"/>
      <name val="Calibri"/>
      <family val="2"/>
      <scheme val="minor"/>
    </font>
    <font>
      <b/>
      <sz val="11"/>
      <color theme="0"/>
      <name val="Calibri"/>
      <family val="2"/>
      <scheme val="minor"/>
    </font>
    <font>
      <sz val="11"/>
      <color rgb="FF000000"/>
      <name val="Calibri"/>
      <family val="2"/>
      <scheme val="minor"/>
    </font>
    <font>
      <b/>
      <sz val="11"/>
      <color rgb="FF000000"/>
      <name val="Calibri"/>
      <family val="2"/>
      <scheme val="minor"/>
    </font>
    <font>
      <b/>
      <sz val="18"/>
      <color rgb="FFFFFFFF"/>
      <name val="Calibri"/>
      <family val="2"/>
      <scheme val="minor"/>
    </font>
    <font>
      <sz val="9"/>
      <color rgb="FF000000"/>
      <name val="Calibri"/>
      <family val="2"/>
      <scheme val="minor"/>
    </font>
    <font>
      <b/>
      <sz val="11"/>
      <color rgb="FFFF0000"/>
      <name val="Calibri"/>
      <family val="2"/>
      <scheme val="minor"/>
    </font>
    <font>
      <i/>
      <sz val="11"/>
      <color rgb="FF000000"/>
      <name val="Calibri"/>
      <family val="2"/>
      <scheme val="minor"/>
    </font>
    <font>
      <b/>
      <vertAlign val="subscript"/>
      <sz val="11"/>
      <color rgb="FF000000"/>
      <name val="Calibri"/>
      <family val="2"/>
      <scheme val="minor"/>
    </font>
    <font>
      <b/>
      <sz val="14"/>
      <color rgb="FF000000"/>
      <name val="Calibri"/>
      <family val="2"/>
      <scheme val="minor"/>
    </font>
    <font>
      <b/>
      <i/>
      <sz val="11"/>
      <color rgb="FF000000"/>
      <name val="Calibri"/>
      <family val="2"/>
      <scheme val="minor"/>
    </font>
    <font>
      <vertAlign val="subscript"/>
      <sz val="11"/>
      <color rgb="FF000000"/>
      <name val="Calibri"/>
      <family val="2"/>
      <scheme val="minor"/>
    </font>
    <font>
      <sz val="11"/>
      <color rgb="FF000000"/>
      <name val="Calibri"/>
      <family val="2"/>
    </font>
    <font>
      <b/>
      <u/>
      <sz val="11"/>
      <color rgb="FF000000"/>
      <name val="Calibri"/>
      <family val="2"/>
      <scheme val="minor"/>
    </font>
    <font>
      <b/>
      <i/>
      <sz val="18"/>
      <color rgb="FFFFFFFF"/>
      <name val="Calibri"/>
      <family val="2"/>
      <scheme val="minor"/>
    </font>
  </fonts>
  <fills count="8">
    <fill>
      <patternFill patternType="none"/>
    </fill>
    <fill>
      <patternFill patternType="gray125"/>
    </fill>
    <fill>
      <patternFill patternType="solid">
        <fgColor rgb="FF046A38"/>
        <bgColor indexed="64"/>
      </patternFill>
    </fill>
    <fill>
      <patternFill patternType="solid">
        <fgColor rgb="FFA7CBB9"/>
        <bgColor indexed="64"/>
      </patternFill>
    </fill>
    <fill>
      <patternFill patternType="solid">
        <fgColor rgb="FFE6F0EB"/>
        <bgColor indexed="64"/>
      </patternFill>
    </fill>
    <fill>
      <patternFill patternType="solid">
        <fgColor rgb="FFFBDD40"/>
        <bgColor indexed="64"/>
      </patternFill>
    </fill>
    <fill>
      <patternFill patternType="solid">
        <fgColor rgb="FF2C3136"/>
        <bgColor indexed="64"/>
      </patternFill>
    </fill>
    <fill>
      <patternFill patternType="solid">
        <fgColor rgb="FFFFFFFF"/>
        <bgColor indexed="64"/>
      </patternFill>
    </fill>
  </fills>
  <borders count="38">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s>
  <cellStyleXfs count="3">
    <xf numFmtId="0" fontId="0" fillId="0" borderId="0"/>
    <xf numFmtId="0" fontId="2" fillId="0" borderId="0"/>
    <xf numFmtId="0" fontId="2" fillId="0" borderId="0"/>
  </cellStyleXfs>
  <cellXfs count="131">
    <xf numFmtId="0" fontId="0" fillId="0" borderId="0" xfId="0"/>
    <xf numFmtId="0" fontId="0" fillId="0" borderId="0" xfId="0" applyAlignment="1">
      <alignment horizontal="left" vertical="top"/>
    </xf>
    <xf numFmtId="0" fontId="1" fillId="0" borderId="0" xfId="0" applyFont="1" applyAlignment="1">
      <alignment horizontal="left" vertical="top"/>
    </xf>
    <xf numFmtId="0" fontId="4" fillId="6" borderId="7" xfId="0" applyFont="1" applyFill="1" applyBorder="1" applyAlignment="1">
      <alignment horizontal="left" vertical="top"/>
    </xf>
    <xf numFmtId="0" fontId="4" fillId="6" borderId="8" xfId="0" applyFont="1" applyFill="1" applyBorder="1" applyAlignment="1">
      <alignment horizontal="left" vertical="top"/>
    </xf>
    <xf numFmtId="0" fontId="4" fillId="6" borderId="9" xfId="0" applyFont="1" applyFill="1" applyBorder="1" applyAlignment="1">
      <alignment horizontal="left" vertical="top"/>
    </xf>
    <xf numFmtId="0" fontId="5" fillId="2" borderId="12" xfId="0" applyFont="1" applyFill="1" applyBorder="1"/>
    <xf numFmtId="0" fontId="5" fillId="2" borderId="14" xfId="0" applyFont="1" applyFill="1" applyBorder="1"/>
    <xf numFmtId="0" fontId="5" fillId="4" borderId="15" xfId="0" applyFont="1" applyFill="1" applyBorder="1"/>
    <xf numFmtId="0" fontId="5" fillId="4" borderId="16" xfId="0" applyFont="1" applyFill="1" applyBorder="1"/>
    <xf numFmtId="0" fontId="5" fillId="4" borderId="17" xfId="0" applyFont="1" applyFill="1" applyBorder="1"/>
    <xf numFmtId="0" fontId="5" fillId="4" borderId="18" xfId="0" applyFont="1" applyFill="1" applyBorder="1"/>
    <xf numFmtId="166" fontId="8" fillId="4" borderId="18" xfId="0" applyNumberFormat="1" applyFont="1" applyFill="1" applyBorder="1" applyAlignment="1">
      <alignment horizontal="right" vertical="top"/>
    </xf>
    <xf numFmtId="0" fontId="5" fillId="4" borderId="19" xfId="0" applyFont="1" applyFill="1" applyBorder="1"/>
    <xf numFmtId="49" fontId="5" fillId="7" borderId="20" xfId="0" applyNumberFormat="1" applyFont="1" applyFill="1" applyBorder="1" applyAlignment="1" applyProtection="1">
      <alignment horizontal="left" vertical="top" wrapText="1"/>
      <protection locked="0"/>
    </xf>
    <xf numFmtId="167" fontId="5" fillId="7" borderId="20" xfId="0" applyNumberFormat="1" applyFont="1" applyFill="1" applyBorder="1" applyAlignment="1" applyProtection="1">
      <alignment horizontal="left" vertical="top" wrapText="1"/>
      <protection locked="0"/>
    </xf>
    <xf numFmtId="0" fontId="5" fillId="2" borderId="21" xfId="0" applyFont="1" applyFill="1" applyBorder="1"/>
    <xf numFmtId="0" fontId="5" fillId="2" borderId="23" xfId="0" applyFont="1" applyFill="1" applyBorder="1"/>
    <xf numFmtId="0" fontId="5" fillId="5" borderId="21" xfId="0" applyFont="1" applyFill="1" applyBorder="1"/>
    <xf numFmtId="0" fontId="5" fillId="5" borderId="23" xfId="0" applyFont="1" applyFill="1" applyBorder="1"/>
    <xf numFmtId="165" fontId="8" fillId="4" borderId="18" xfId="0" applyNumberFormat="1" applyFont="1" applyFill="1" applyBorder="1" applyAlignment="1">
      <alignment horizontal="left" vertical="top"/>
    </xf>
    <xf numFmtId="0" fontId="5" fillId="4" borderId="15" xfId="0" applyFont="1" applyFill="1" applyBorder="1" applyAlignment="1">
      <alignment horizontal="center"/>
    </xf>
    <xf numFmtId="0" fontId="4" fillId="6" borderId="2" xfId="0" applyFont="1" applyFill="1" applyBorder="1" applyAlignment="1">
      <alignment horizontal="left" vertical="top"/>
    </xf>
    <xf numFmtId="0" fontId="4" fillId="6" borderId="1" xfId="0" applyFont="1" applyFill="1" applyBorder="1" applyAlignment="1">
      <alignment horizontal="left" vertical="top"/>
    </xf>
    <xf numFmtId="0" fontId="4" fillId="6" borderId="3" xfId="0" applyFont="1" applyFill="1" applyBorder="1" applyAlignment="1">
      <alignment horizontal="left" vertical="top"/>
    </xf>
    <xf numFmtId="164" fontId="0" fillId="0" borderId="0" xfId="0" applyNumberFormat="1" applyAlignment="1">
      <alignment horizontal="left" vertical="top"/>
    </xf>
    <xf numFmtId="0" fontId="0" fillId="0" borderId="4" xfId="0" applyBorder="1" applyAlignment="1">
      <alignment horizontal="left" vertical="top"/>
    </xf>
    <xf numFmtId="49" fontId="0" fillId="0" borderId="0" xfId="0" applyNumberFormat="1" applyAlignment="1">
      <alignment horizontal="left" vertical="top"/>
    </xf>
    <xf numFmtId="1" fontId="0" fillId="0" borderId="0" xfId="0" applyNumberFormat="1" applyAlignment="1">
      <alignment horizontal="left" vertical="top"/>
    </xf>
    <xf numFmtId="0" fontId="0" fillId="0" borderId="5" xfId="0" applyBorder="1" applyAlignment="1">
      <alignment horizontal="left" vertical="top"/>
    </xf>
    <xf numFmtId="0" fontId="0" fillId="0" borderId="2" xfId="0" applyBorder="1" applyAlignment="1">
      <alignment horizontal="left" vertical="top"/>
    </xf>
    <xf numFmtId="0" fontId="0" fillId="0" borderId="1" xfId="0" applyBorder="1" applyAlignment="1">
      <alignment horizontal="left" vertical="top"/>
    </xf>
    <xf numFmtId="49" fontId="0" fillId="0" borderId="1" xfId="0" applyNumberFormat="1" applyBorder="1" applyAlignment="1">
      <alignment horizontal="left" vertical="top"/>
    </xf>
    <xf numFmtId="0" fontId="0" fillId="0" borderId="3" xfId="0" applyBorder="1" applyAlignment="1">
      <alignment horizontal="left" vertical="top"/>
    </xf>
    <xf numFmtId="0" fontId="0" fillId="0" borderId="27" xfId="0" applyBorder="1" applyAlignment="1">
      <alignment horizontal="left" vertical="top"/>
    </xf>
    <xf numFmtId="0" fontId="0" fillId="0" borderId="28" xfId="0" applyBorder="1" applyAlignment="1">
      <alignment horizontal="left" vertical="top"/>
    </xf>
    <xf numFmtId="167" fontId="0" fillId="0" borderId="28" xfId="0" applyNumberFormat="1" applyBorder="1" applyAlignment="1">
      <alignment horizontal="left" vertical="top"/>
    </xf>
    <xf numFmtId="0" fontId="0" fillId="0" borderId="30" xfId="0" applyBorder="1" applyAlignment="1">
      <alignment horizontal="left" vertical="top"/>
    </xf>
    <xf numFmtId="0" fontId="0" fillId="0" borderId="32" xfId="0" applyBorder="1" applyAlignment="1">
      <alignment horizontal="left" vertical="top"/>
    </xf>
    <xf numFmtId="0" fontId="0" fillId="0" borderId="10" xfId="0" applyBorder="1" applyAlignment="1">
      <alignment horizontal="left" vertical="top"/>
    </xf>
    <xf numFmtId="0" fontId="0" fillId="0" borderId="6" xfId="0" applyBorder="1" applyAlignment="1">
      <alignment horizontal="left" vertical="top"/>
    </xf>
    <xf numFmtId="0" fontId="0" fillId="0" borderId="11" xfId="0" applyBorder="1" applyAlignment="1">
      <alignment horizontal="left" vertical="top"/>
    </xf>
    <xf numFmtId="169" fontId="0" fillId="0" borderId="28" xfId="0" applyNumberFormat="1" applyBorder="1" applyAlignment="1">
      <alignment horizontal="left" vertical="top"/>
    </xf>
    <xf numFmtId="170" fontId="0" fillId="0" borderId="28" xfId="0" applyNumberFormat="1" applyBorder="1" applyAlignment="1">
      <alignment horizontal="left" vertical="top"/>
    </xf>
    <xf numFmtId="1" fontId="0" fillId="0" borderId="28" xfId="0" applyNumberFormat="1" applyBorder="1" applyAlignment="1">
      <alignment horizontal="left" vertical="top"/>
    </xf>
    <xf numFmtId="164" fontId="0" fillId="0" borderId="28" xfId="0" applyNumberFormat="1" applyBorder="1" applyAlignment="1">
      <alignment horizontal="left" vertical="top"/>
    </xf>
    <xf numFmtId="49" fontId="0" fillId="0" borderId="28" xfId="0" applyNumberFormat="1" applyBorder="1" applyAlignment="1">
      <alignment horizontal="left" vertical="top"/>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29" xfId="0" applyBorder="1" applyAlignment="1">
      <alignment horizontal="left" vertical="top" wrapText="1"/>
    </xf>
    <xf numFmtId="0" fontId="0" fillId="0" borderId="11" xfId="0" applyBorder="1" applyAlignment="1">
      <alignment horizontal="left" vertical="top" wrapText="1"/>
    </xf>
    <xf numFmtId="0" fontId="5" fillId="2" borderId="15" xfId="0" applyFont="1" applyFill="1" applyBorder="1"/>
    <xf numFmtId="0" fontId="5" fillId="2" borderId="16" xfId="0" applyFont="1" applyFill="1" applyBorder="1"/>
    <xf numFmtId="0" fontId="0" fillId="0" borderId="33" xfId="0" applyBorder="1" applyAlignment="1">
      <alignment horizontal="left" vertical="top"/>
    </xf>
    <xf numFmtId="170" fontId="0" fillId="0" borderId="34" xfId="0" applyNumberFormat="1" applyBorder="1" applyAlignment="1">
      <alignment horizontal="left" vertical="top"/>
    </xf>
    <xf numFmtId="0" fontId="0" fillId="0" borderId="31" xfId="0" applyBorder="1" applyAlignment="1">
      <alignment horizontal="left" vertical="top" wrapText="1"/>
    </xf>
    <xf numFmtId="164" fontId="0" fillId="0" borderId="6" xfId="0" applyNumberFormat="1" applyBorder="1" applyAlignment="1">
      <alignment horizontal="left" vertical="top"/>
    </xf>
    <xf numFmtId="10" fontId="0" fillId="0" borderId="0" xfId="0" applyNumberFormat="1" applyAlignment="1">
      <alignment horizontal="left" vertical="top"/>
    </xf>
    <xf numFmtId="164" fontId="0" fillId="0" borderId="0" xfId="0" applyNumberFormat="1" applyAlignment="1" applyProtection="1">
      <alignment horizontal="left" vertical="top"/>
      <protection locked="0"/>
    </xf>
    <xf numFmtId="164" fontId="0" fillId="0" borderId="28" xfId="0" applyNumberFormat="1" applyBorder="1" applyAlignment="1" applyProtection="1">
      <alignment horizontal="left" vertical="top"/>
      <protection locked="0"/>
    </xf>
    <xf numFmtId="10" fontId="0" fillId="0" borderId="0" xfId="0" applyNumberFormat="1" applyAlignment="1" applyProtection="1">
      <alignment horizontal="left" vertical="top"/>
      <protection locked="0"/>
    </xf>
    <xf numFmtId="164" fontId="0" fillId="0" borderId="6" xfId="0" applyNumberFormat="1" applyBorder="1" applyAlignment="1" applyProtection="1">
      <alignment horizontal="left" vertical="top"/>
      <protection locked="0"/>
    </xf>
    <xf numFmtId="0" fontId="0" fillId="0" borderId="31" xfId="0" applyBorder="1" applyAlignment="1">
      <alignment horizontal="left" vertical="top"/>
    </xf>
    <xf numFmtId="1" fontId="5" fillId="7" borderId="20" xfId="0" applyNumberFormat="1" applyFont="1" applyFill="1" applyBorder="1" applyAlignment="1" applyProtection="1">
      <alignment horizontal="left" vertical="top" wrapText="1"/>
      <protection locked="0"/>
    </xf>
    <xf numFmtId="167" fontId="0" fillId="0" borderId="0" xfId="0" applyNumberFormat="1" applyAlignment="1">
      <alignment horizontal="left" vertical="top"/>
    </xf>
    <xf numFmtId="167" fontId="0" fillId="0" borderId="0" xfId="0" applyNumberFormat="1" applyAlignment="1" applyProtection="1">
      <alignment horizontal="left" vertical="top"/>
      <protection locked="0"/>
    </xf>
    <xf numFmtId="0" fontId="0" fillId="0" borderId="34" xfId="0" applyBorder="1" applyAlignment="1">
      <alignment horizontal="left" vertical="top"/>
    </xf>
    <xf numFmtId="0" fontId="0" fillId="0" borderId="35" xfId="0" applyBorder="1" applyAlignment="1">
      <alignment horizontal="left" vertical="top" wrapText="1"/>
    </xf>
    <xf numFmtId="0" fontId="0" fillId="0" borderId="6" xfId="0" applyBorder="1" applyAlignment="1">
      <alignment horizontal="left" vertical="top" wrapText="1"/>
    </xf>
    <xf numFmtId="49" fontId="5" fillId="3" borderId="20" xfId="0" applyNumberFormat="1" applyFont="1" applyFill="1" applyBorder="1" applyAlignment="1">
      <alignment horizontal="left" vertical="top" wrapText="1"/>
    </xf>
    <xf numFmtId="1" fontId="5" fillId="3" borderId="20" xfId="0" applyNumberFormat="1" applyFont="1" applyFill="1" applyBorder="1" applyAlignment="1">
      <alignment horizontal="left" vertical="top" wrapText="1"/>
    </xf>
    <xf numFmtId="165" fontId="0" fillId="0" borderId="0" xfId="0" applyNumberFormat="1" applyAlignment="1">
      <alignment horizontal="left" vertical="top"/>
    </xf>
    <xf numFmtId="165" fontId="0" fillId="0" borderId="5" xfId="0" applyNumberFormat="1" applyBorder="1" applyAlignment="1">
      <alignment horizontal="left" vertical="top"/>
    </xf>
    <xf numFmtId="169" fontId="0" fillId="0" borderId="29" xfId="0" applyNumberFormat="1" applyBorder="1" applyAlignment="1">
      <alignment horizontal="left" vertical="top"/>
    </xf>
    <xf numFmtId="170" fontId="0" fillId="0" borderId="29" xfId="0" applyNumberFormat="1" applyBorder="1" applyAlignment="1">
      <alignment horizontal="left" vertical="top"/>
    </xf>
    <xf numFmtId="170" fontId="0" fillId="0" borderId="35" xfId="0" applyNumberFormat="1" applyBorder="1" applyAlignment="1">
      <alignment horizontal="left" vertical="top"/>
    </xf>
    <xf numFmtId="0" fontId="0" fillId="0" borderId="0" xfId="0" applyAlignment="1">
      <alignment horizontal="left" vertical="top" wrapText="1"/>
    </xf>
    <xf numFmtId="0" fontId="0" fillId="0" borderId="36" xfId="0" applyBorder="1" applyAlignment="1">
      <alignment horizontal="left" vertical="top"/>
    </xf>
    <xf numFmtId="49" fontId="0" fillId="0" borderId="5" xfId="0" applyNumberFormat="1" applyBorder="1" applyAlignment="1">
      <alignment horizontal="left" vertical="top"/>
    </xf>
    <xf numFmtId="49" fontId="0" fillId="0" borderId="37" xfId="0" applyNumberFormat="1" applyBorder="1" applyAlignment="1">
      <alignment horizontal="left" vertical="top"/>
    </xf>
    <xf numFmtId="49" fontId="0" fillId="0" borderId="29" xfId="0" applyNumberFormat="1" applyBorder="1" applyAlignment="1">
      <alignment horizontal="left" vertical="top"/>
    </xf>
    <xf numFmtId="49" fontId="0" fillId="0" borderId="32" xfId="0" applyNumberFormat="1" applyBorder="1" applyAlignment="1">
      <alignment horizontal="left" vertical="top"/>
    </xf>
    <xf numFmtId="49" fontId="0" fillId="0" borderId="11" xfId="0" applyNumberFormat="1" applyBorder="1" applyAlignment="1">
      <alignment horizontal="left" vertical="top"/>
    </xf>
    <xf numFmtId="49" fontId="0" fillId="0" borderId="34" xfId="0" applyNumberFormat="1" applyBorder="1" applyAlignment="1">
      <alignment horizontal="left" vertical="top"/>
    </xf>
    <xf numFmtId="49" fontId="0" fillId="0" borderId="6" xfId="0" applyNumberFormat="1" applyBorder="1" applyAlignment="1">
      <alignment horizontal="left" vertical="top"/>
    </xf>
    <xf numFmtId="49" fontId="0" fillId="0" borderId="31" xfId="0" applyNumberFormat="1" applyBorder="1" applyAlignment="1">
      <alignment horizontal="left" vertical="top"/>
    </xf>
    <xf numFmtId="0" fontId="5" fillId="4" borderId="0" xfId="0" applyFont="1" applyFill="1"/>
    <xf numFmtId="0" fontId="5" fillId="3" borderId="12" xfId="0" applyFont="1" applyFill="1" applyBorder="1" applyAlignment="1">
      <alignment horizontal="left" vertical="top" wrapText="1"/>
    </xf>
    <xf numFmtId="0" fontId="5" fillId="3" borderId="20" xfId="0" applyFont="1" applyFill="1" applyBorder="1" applyAlignment="1">
      <alignment horizontal="left" vertical="top" wrapText="1"/>
    </xf>
    <xf numFmtId="168" fontId="8" fillId="4" borderId="0" xfId="0" applyNumberFormat="1" applyFont="1" applyFill="1" applyAlignment="1">
      <alignment horizontal="left"/>
    </xf>
    <xf numFmtId="0" fontId="6" fillId="3" borderId="20" xfId="0" applyFont="1" applyFill="1" applyBorder="1" applyAlignment="1">
      <alignment horizontal="left" vertical="top" wrapText="1"/>
    </xf>
    <xf numFmtId="0" fontId="6" fillId="3" borderId="12" xfId="0" applyFont="1" applyFill="1" applyBorder="1" applyAlignment="1">
      <alignment horizontal="left" vertical="top" wrapText="1"/>
    </xf>
    <xf numFmtId="164" fontId="5" fillId="3" borderId="20" xfId="0" applyNumberFormat="1" applyFont="1" applyFill="1" applyBorder="1" applyAlignment="1">
      <alignment horizontal="right" vertical="top" wrapText="1"/>
    </xf>
    <xf numFmtId="0" fontId="6" fillId="3" borderId="12" xfId="0" applyFont="1" applyFill="1" applyBorder="1" applyAlignment="1">
      <alignment horizontal="right" vertical="top" wrapText="1"/>
    </xf>
    <xf numFmtId="164" fontId="5" fillId="3" borderId="12" xfId="0" applyNumberFormat="1" applyFont="1" applyFill="1" applyBorder="1" applyAlignment="1">
      <alignment horizontal="right" vertical="top" wrapText="1"/>
    </xf>
    <xf numFmtId="0" fontId="5" fillId="3" borderId="20" xfId="0" applyFont="1" applyFill="1" applyBorder="1" applyAlignment="1">
      <alignment horizontal="left" wrapText="1"/>
    </xf>
    <xf numFmtId="0" fontId="6" fillId="3" borderId="12" xfId="0" applyFont="1" applyFill="1" applyBorder="1" applyAlignment="1">
      <alignment horizontal="center" vertical="top" wrapText="1"/>
    </xf>
    <xf numFmtId="0" fontId="5" fillId="3" borderId="12" xfId="0" applyFont="1" applyFill="1" applyBorder="1" applyAlignment="1">
      <alignment horizontal="center" vertical="top" wrapText="1"/>
    </xf>
    <xf numFmtId="0" fontId="6" fillId="3" borderId="17" xfId="0" applyFont="1" applyFill="1" applyBorder="1" applyAlignment="1">
      <alignment horizontal="right" vertical="top" wrapText="1"/>
    </xf>
    <xf numFmtId="0" fontId="6" fillId="3" borderId="17" xfId="0" applyFont="1" applyFill="1" applyBorder="1" applyAlignment="1">
      <alignment horizontal="right" wrapText="1"/>
    </xf>
    <xf numFmtId="0" fontId="6" fillId="3" borderId="26" xfId="0" applyFont="1" applyFill="1" applyBorder="1" applyAlignment="1">
      <alignment horizontal="right" wrapText="1"/>
    </xf>
    <xf numFmtId="0" fontId="5" fillId="3" borderId="12" xfId="0" applyFont="1" applyFill="1" applyBorder="1" applyAlignment="1">
      <alignment horizontal="center" wrapText="1"/>
    </xf>
    <xf numFmtId="0" fontId="5" fillId="4" borderId="0" xfId="0" applyFont="1" applyFill="1" applyAlignment="1">
      <alignment horizontal="left" vertical="top" wrapText="1"/>
    </xf>
    <xf numFmtId="0" fontId="5" fillId="4" borderId="18" xfId="0" applyFont="1" applyFill="1" applyBorder="1" applyAlignment="1">
      <alignment horizontal="left" vertical="top" wrapText="1"/>
    </xf>
    <xf numFmtId="0" fontId="12" fillId="5" borderId="22" xfId="0" applyFont="1" applyFill="1" applyBorder="1" applyAlignment="1">
      <alignment horizontal="center" vertical="top"/>
    </xf>
    <xf numFmtId="0" fontId="7" fillId="2" borderId="22" xfId="0" applyFont="1" applyFill="1" applyBorder="1" applyAlignment="1">
      <alignment horizontal="center" vertical="top" wrapText="1"/>
    </xf>
    <xf numFmtId="0" fontId="7" fillId="2" borderId="0" xfId="0" applyFont="1" applyFill="1" applyAlignment="1">
      <alignment horizontal="center" vertical="top" wrapText="1"/>
    </xf>
    <xf numFmtId="0" fontId="6" fillId="4" borderId="0" xfId="0" applyFont="1" applyFill="1" applyAlignment="1">
      <alignment horizontal="left" vertical="top" wrapText="1"/>
    </xf>
    <xf numFmtId="168" fontId="8" fillId="4" borderId="0" xfId="0" applyNumberFormat="1" applyFont="1" applyFill="1" applyAlignment="1">
      <alignment horizontal="left"/>
    </xf>
    <xf numFmtId="165" fontId="8" fillId="4" borderId="18" xfId="0" applyNumberFormat="1" applyFont="1" applyFill="1" applyBorder="1" applyAlignment="1">
      <alignment horizontal="left" vertical="top"/>
    </xf>
    <xf numFmtId="0" fontId="9" fillId="0" borderId="0" xfId="0" applyFont="1" applyAlignment="1">
      <alignment horizontal="center" vertical="top" wrapText="1"/>
    </xf>
    <xf numFmtId="0" fontId="7" fillId="2" borderId="13" xfId="0" applyFont="1" applyFill="1" applyBorder="1" applyAlignment="1">
      <alignment horizontal="center" vertical="top" wrapText="1"/>
    </xf>
    <xf numFmtId="49" fontId="5" fillId="7" borderId="12" xfId="0" applyNumberFormat="1" applyFont="1" applyFill="1" applyBorder="1" applyAlignment="1" applyProtection="1">
      <alignment horizontal="left" vertical="top" wrapText="1"/>
      <protection locked="0"/>
    </xf>
    <xf numFmtId="49" fontId="5" fillId="7" borderId="14" xfId="0" applyNumberFormat="1" applyFont="1" applyFill="1" applyBorder="1" applyAlignment="1" applyProtection="1">
      <alignment horizontal="left" vertical="top" wrapText="1"/>
      <protection locked="0"/>
    </xf>
    <xf numFmtId="1" fontId="5" fillId="7" borderId="12" xfId="0" applyNumberFormat="1" applyFont="1" applyFill="1" applyBorder="1" applyAlignment="1" applyProtection="1">
      <alignment horizontal="left" vertical="top" wrapText="1"/>
      <protection locked="0"/>
    </xf>
    <xf numFmtId="1" fontId="5" fillId="7" borderId="14" xfId="0" applyNumberFormat="1" applyFont="1" applyFill="1" applyBorder="1" applyAlignment="1" applyProtection="1">
      <alignment horizontal="left" vertical="top" wrapText="1"/>
      <protection locked="0"/>
    </xf>
    <xf numFmtId="1" fontId="5" fillId="3" borderId="12" xfId="0" applyNumberFormat="1" applyFont="1" applyFill="1" applyBorder="1" applyAlignment="1">
      <alignment horizontal="left" vertical="top" wrapText="1"/>
    </xf>
    <xf numFmtId="1" fontId="5" fillId="3" borderId="14" xfId="0" applyNumberFormat="1" applyFont="1" applyFill="1" applyBorder="1" applyAlignment="1">
      <alignment horizontal="left" vertical="top" wrapText="1"/>
    </xf>
    <xf numFmtId="0" fontId="5" fillId="3" borderId="12" xfId="0" applyFont="1" applyFill="1" applyBorder="1" applyAlignment="1">
      <alignment horizontal="left" vertical="top" wrapText="1"/>
    </xf>
    <xf numFmtId="0" fontId="5" fillId="3" borderId="14" xfId="0" applyFont="1" applyFill="1" applyBorder="1" applyAlignment="1">
      <alignment horizontal="left" vertical="top" wrapText="1"/>
    </xf>
    <xf numFmtId="0" fontId="5" fillId="3" borderId="13" xfId="0" applyFont="1" applyFill="1" applyBorder="1" applyAlignment="1">
      <alignment horizontal="left" vertical="top" wrapText="1"/>
    </xf>
    <xf numFmtId="0" fontId="6" fillId="3" borderId="24" xfId="0" applyFont="1" applyFill="1" applyBorder="1" applyAlignment="1">
      <alignment horizontal="right" vertical="top" wrapText="1"/>
    </xf>
    <xf numFmtId="0" fontId="6" fillId="3" borderId="25" xfId="0" applyFont="1" applyFill="1" applyBorder="1" applyAlignment="1">
      <alignment horizontal="right" vertical="top" wrapText="1"/>
    </xf>
    <xf numFmtId="0" fontId="6" fillId="3" borderId="24" xfId="0" applyFont="1" applyFill="1" applyBorder="1" applyAlignment="1">
      <alignment horizontal="center" vertical="top" wrapText="1"/>
    </xf>
    <xf numFmtId="0" fontId="6" fillId="3" borderId="25" xfId="0" applyFont="1" applyFill="1" applyBorder="1" applyAlignment="1">
      <alignment horizontal="center" vertical="top" wrapText="1"/>
    </xf>
    <xf numFmtId="0" fontId="6" fillId="3" borderId="26" xfId="0" applyFont="1" applyFill="1" applyBorder="1" applyAlignment="1">
      <alignment horizontal="center" vertical="top" wrapText="1"/>
    </xf>
    <xf numFmtId="1" fontId="5" fillId="3" borderId="13" xfId="0" applyNumberFormat="1" applyFont="1" applyFill="1" applyBorder="1" applyAlignment="1">
      <alignment horizontal="left" vertical="top" wrapText="1"/>
    </xf>
    <xf numFmtId="0" fontId="6" fillId="3" borderId="12" xfId="0" applyFont="1" applyFill="1" applyBorder="1" applyAlignment="1">
      <alignment horizontal="left" vertical="top" wrapText="1"/>
    </xf>
    <xf numFmtId="0" fontId="6" fillId="3" borderId="14" xfId="0" applyFont="1" applyFill="1" applyBorder="1" applyAlignment="1">
      <alignment horizontal="left" vertical="top" wrapText="1"/>
    </xf>
    <xf numFmtId="0" fontId="5" fillId="4" borderId="6" xfId="0" applyFont="1" applyFill="1" applyBorder="1"/>
    <xf numFmtId="0" fontId="16" fillId="4" borderId="0" xfId="0" applyFont="1" applyFill="1" applyAlignment="1">
      <alignment horizontal="left" vertical="top" wrapText="1"/>
    </xf>
  </cellXfs>
  <cellStyles count="3">
    <cellStyle name="Normal" xfId="0" builtinId="0"/>
    <cellStyle name="Normal 2 2" xfId="2" xr:uid="{00000000-0005-0000-0000-000001000000}"/>
    <cellStyle name="Normal 2 4" xfId="1" xr:uid="{00000000-0005-0000-0000-000002000000}"/>
  </cellStyles>
  <dxfs count="6">
    <dxf>
      <font>
        <b/>
        <i val="0"/>
        <color rgb="FF00B050"/>
      </font>
    </dxf>
    <dxf>
      <font>
        <b/>
        <i val="0"/>
        <color rgb="FF00B050"/>
      </font>
    </dxf>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E6F0EB"/>
      <color rgb="FFA7CBB9"/>
      <color rgb="FFFBDD40"/>
      <color rgb="FF2C3136"/>
      <color rgb="FF046A38"/>
      <color rgb="FF68A688"/>
      <color rgb="FFB9D9EB"/>
      <color rgb="FF33CCFF"/>
      <color rgb="FFFDEB8C"/>
      <color rgb="FFA6C4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I.Developer.P1C1" lockText="1" noThreeD="1"/>
</file>

<file path=xl/ctrlProps/ctrlProp2.xml><?xml version="1.0" encoding="utf-8"?>
<formControlPr xmlns="http://schemas.microsoft.com/office/spreadsheetml/2009/9/main" objectType="CheckBox" fmlaLink="I.Developer.P1C2" lockText="1" noThreeD="1"/>
</file>

<file path=xl/ctrlProps/ctrlProp3.xml><?xml version="1.0" encoding="utf-8"?>
<formControlPr xmlns="http://schemas.microsoft.com/office/spreadsheetml/2009/9/main" objectType="CheckBox" fmlaLink="I.Developer.P1C4" lockText="1" noThreeD="1"/>
</file>

<file path=xl/ctrlProps/ctrlProp4.xml><?xml version="1.0" encoding="utf-8"?>
<formControlPr xmlns="http://schemas.microsoft.com/office/spreadsheetml/2009/9/main" objectType="CheckBox" fmlaLink="I.Developer.P1C5" lockText="1" noThreeD="1"/>
</file>

<file path=xl/ctrlProps/ctrlProp5.xml><?xml version="1.0" encoding="utf-8"?>
<formControlPr xmlns="http://schemas.microsoft.com/office/spreadsheetml/2009/9/main" objectType="CheckBox" fmlaLink="I.Developer.P1C7" lockText="1" noThreeD="1"/>
</file>

<file path=xl/ctrlProps/ctrlProp6.xml><?xml version="1.0" encoding="utf-8"?>
<formControlPr xmlns="http://schemas.microsoft.com/office/spreadsheetml/2009/9/main" objectType="CheckBox" fmlaLink="I.Developer.P1C8" lockText="1" noThreeD="1"/>
</file>

<file path=xl/ctrlProps/ctrlProp7.xml><?xml version="1.0" encoding="utf-8"?>
<formControlPr xmlns="http://schemas.microsoft.com/office/spreadsheetml/2009/9/main" objectType="CheckBox" fmlaLink="I.Developer.P2C1" lockText="1" noThreeD="1"/>
</file>

<file path=xl/ctrlProps/ctrlProp8.xml><?xml version="1.0" encoding="utf-8"?>
<formControlPr xmlns="http://schemas.microsoft.com/office/spreadsheetml/2009/9/main" objectType="CheckBox" fmlaLink="I.Developer.P2C2" lockText="1" noThreeD="1"/>
</file>

<file path=xl/ctrlProps/ctrlProp9.xml><?xml version="1.0" encoding="utf-8"?>
<formControlPr xmlns="http://schemas.microsoft.com/office/spreadsheetml/2009/9/main" objectType="CheckBox" fmlaLink="I.Developer.P2C3" lockText="1" noThreeD="1"/>
</file>

<file path=xl/ctrlProps/ctrlProp10.xml><?xml version="1.0" encoding="utf-8"?>
<formControlPr xmlns="http://schemas.microsoft.com/office/spreadsheetml/2009/9/main" objectType="CheckBox" fmlaLink="I.Developer.P2C4" lockText="1" noThreeD="1"/>
</file>

<file path=xl/ctrlProps/ctrlProp11.xml><?xml version="1.0" encoding="utf-8"?>
<formControlPr xmlns="http://schemas.microsoft.com/office/spreadsheetml/2009/9/main" objectType="CheckBox" fmlaLink="I.Developer.P2C5" lockText="1" noThreeD="1"/>
</file>

<file path=xl/ctrlProps/ctrlProp12.xml><?xml version="1.0" encoding="utf-8"?>
<formControlPr xmlns="http://schemas.microsoft.com/office/spreadsheetml/2009/9/main" objectType="CheckBox" fmlaLink="I.Developer.P2C6" lockText="1" noThreeD="1"/>
</file>

<file path=xl/ctrlProps/ctrlProp13.xml><?xml version="1.0" encoding="utf-8"?>
<formControlPr xmlns="http://schemas.microsoft.com/office/spreadsheetml/2009/9/main" objectType="CheckBox" fmlaLink="I.Developer.P3C1" lockText="1" noThreeD="1"/>
</file>

<file path=xl/ctrlProps/ctrlProp14.xml><?xml version="1.0" encoding="utf-8"?>
<formControlPr xmlns="http://schemas.microsoft.com/office/spreadsheetml/2009/9/main" objectType="CheckBox" fmlaLink="I.Developer.P4C1" lockText="1" noThreeD="1"/>
</file>

<file path=xl/ctrlProps/ctrlProp15.xml><?xml version="1.0" encoding="utf-8"?>
<formControlPr xmlns="http://schemas.microsoft.com/office/spreadsheetml/2009/9/main" objectType="CheckBox" fmlaLink="I.Developer.P5C1" lockText="1" noThreeD="1"/>
</file>

<file path=xl/ctrlProps/ctrlProp16.xml><?xml version="1.0" encoding="utf-8"?>
<formControlPr xmlns="http://schemas.microsoft.com/office/spreadsheetml/2009/9/main" objectType="CheckBox" fmlaLink="I.Developer.P3C2" lockText="1" noThreeD="1"/>
</file>

<file path=xl/ctrlProps/ctrlProp17.xml><?xml version="1.0" encoding="utf-8"?>
<formControlPr xmlns="http://schemas.microsoft.com/office/spreadsheetml/2009/9/main" objectType="CheckBox" fmlaLink="I.Developer.P4C2" lockText="1" noThreeD="1"/>
</file>

<file path=xl/ctrlProps/ctrlProp18.xml><?xml version="1.0" encoding="utf-8"?>
<formControlPr xmlns="http://schemas.microsoft.com/office/spreadsheetml/2009/9/main" objectType="CheckBox" fmlaLink="I.Developer.P5C2" lockText="1" noThreeD="1"/>
</file>

<file path=xl/ctrlProps/ctrlProp19.xml><?xml version="1.0" encoding="utf-8"?>
<formControlPr xmlns="http://schemas.microsoft.com/office/spreadsheetml/2009/9/main" objectType="CheckBox" fmlaLink="I.Developer.P3C3" lockText="1" noThreeD="1"/>
</file>

<file path=xl/ctrlProps/ctrlProp20.xml><?xml version="1.0" encoding="utf-8"?>
<formControlPr xmlns="http://schemas.microsoft.com/office/spreadsheetml/2009/9/main" objectType="CheckBox" fmlaLink="I.Developer.P4C3" lockText="1" noThreeD="1"/>
</file>

<file path=xl/ctrlProps/ctrlProp21.xml><?xml version="1.0" encoding="utf-8"?>
<formControlPr xmlns="http://schemas.microsoft.com/office/spreadsheetml/2009/9/main" objectType="CheckBox" fmlaLink="I.Developer.P5C3" lockText="1" noThreeD="1"/>
</file>

<file path=xl/ctrlProps/ctrlProp22.xml><?xml version="1.0" encoding="utf-8"?>
<formControlPr xmlns="http://schemas.microsoft.com/office/spreadsheetml/2009/9/main" objectType="CheckBox" fmlaLink="I.Developer.P3C4" lockText="1" noThreeD="1"/>
</file>

<file path=xl/ctrlProps/ctrlProp23.xml><?xml version="1.0" encoding="utf-8"?>
<formControlPr xmlns="http://schemas.microsoft.com/office/spreadsheetml/2009/9/main" objectType="CheckBox" fmlaLink="I.Developer.P4C4" lockText="1" noThreeD="1"/>
</file>

<file path=xl/ctrlProps/ctrlProp24.xml><?xml version="1.0" encoding="utf-8"?>
<formControlPr xmlns="http://schemas.microsoft.com/office/spreadsheetml/2009/9/main" objectType="CheckBox" fmlaLink="I.Developer.P5C4" lockText="1" noThreeD="1"/>
</file>

<file path=xl/ctrlProps/ctrlProp25.xml><?xml version="1.0" encoding="utf-8"?>
<formControlPr xmlns="http://schemas.microsoft.com/office/spreadsheetml/2009/9/main" objectType="CheckBox" fmlaLink="I.Developer.P3C5" lockText="1" noThreeD="1"/>
</file>

<file path=xl/ctrlProps/ctrlProp26.xml><?xml version="1.0" encoding="utf-8"?>
<formControlPr xmlns="http://schemas.microsoft.com/office/spreadsheetml/2009/9/main" objectType="CheckBox" fmlaLink="I.Developer.P4C5" lockText="1" noThreeD="1"/>
</file>

<file path=xl/ctrlProps/ctrlProp27.xml><?xml version="1.0" encoding="utf-8"?>
<formControlPr xmlns="http://schemas.microsoft.com/office/spreadsheetml/2009/9/main" objectType="CheckBox" fmlaLink="I.Developer.P5C5" lockText="1" noThreeD="1"/>
</file>

<file path=xl/ctrlProps/ctrlProp28.xml><?xml version="1.0" encoding="utf-8"?>
<formControlPr xmlns="http://schemas.microsoft.com/office/spreadsheetml/2009/9/main" objectType="CheckBox" fmlaLink="I.Developer.P3C6" lockText="1" noThreeD="1"/>
</file>

<file path=xl/ctrlProps/ctrlProp29.xml><?xml version="1.0" encoding="utf-8"?>
<formControlPr xmlns="http://schemas.microsoft.com/office/spreadsheetml/2009/9/main" objectType="CheckBox" fmlaLink="I.Developer.P4C6" lockText="1" noThreeD="1"/>
</file>

<file path=xl/ctrlProps/ctrlProp30.xml><?xml version="1.0" encoding="utf-8"?>
<formControlPr xmlns="http://schemas.microsoft.com/office/spreadsheetml/2009/9/main" objectType="CheckBox" fmlaLink="I.Developer.P5C6" lockText="1" noThreeD="1"/>
</file>

<file path=xl/ctrlProps/ctrlProp31.xml><?xml version="1.0" encoding="utf-8"?>
<formControlPr xmlns="http://schemas.microsoft.com/office/spreadsheetml/2009/9/main" objectType="CheckBox" fmlaLink="I.Developer.P3C7" lockText="1" noThreeD="1"/>
</file>

<file path=xl/ctrlProps/ctrlProp32.xml><?xml version="1.0" encoding="utf-8"?>
<formControlPr xmlns="http://schemas.microsoft.com/office/spreadsheetml/2009/9/main" objectType="CheckBox" fmlaLink="I.Developer.P4C7" lockText="1" noThreeD="1"/>
</file>

<file path=xl/ctrlProps/ctrlProp33.xml><?xml version="1.0" encoding="utf-8"?>
<formControlPr xmlns="http://schemas.microsoft.com/office/spreadsheetml/2009/9/main" objectType="CheckBox" fmlaLink="I.Developer.P5C7" lockText="1" noThreeD="1"/>
</file>

<file path=xl/ctrlProps/ctrlProp34.xml><?xml version="1.0" encoding="utf-8"?>
<formControlPr xmlns="http://schemas.microsoft.com/office/spreadsheetml/2009/9/main" objectType="CheckBox" fmlaLink="I.Developer.P2C8" lockText="1" noThreeD="1"/>
</file>

<file path=xl/ctrlProps/ctrlProp35.xml><?xml version="1.0" encoding="utf-8"?>
<formControlPr xmlns="http://schemas.microsoft.com/office/spreadsheetml/2009/9/main" objectType="CheckBox" fmlaLink="I.Developer.P3C8" lockText="1" noThreeD="1"/>
</file>

<file path=xl/ctrlProps/ctrlProp36.xml><?xml version="1.0" encoding="utf-8"?>
<formControlPr xmlns="http://schemas.microsoft.com/office/spreadsheetml/2009/9/main" objectType="CheckBox" fmlaLink="I.Developer.P4C8" lockText="1" noThreeD="1"/>
</file>

<file path=xl/ctrlProps/ctrlProp37.xml><?xml version="1.0" encoding="utf-8"?>
<formControlPr xmlns="http://schemas.microsoft.com/office/spreadsheetml/2009/9/main" objectType="CheckBox" fmlaLink="I.Developer.P5C8" lockText="1" noThreeD="1"/>
</file>

<file path=xl/ctrlProps/ctrlProp38.xml><?xml version="1.0" encoding="utf-8"?>
<formControlPr xmlns="http://schemas.microsoft.com/office/spreadsheetml/2009/9/main" objectType="CheckBox" fmlaLink="I.Developer.P2C9" lockText="1" noThreeD="1"/>
</file>

<file path=xl/ctrlProps/ctrlProp39.xml><?xml version="1.0" encoding="utf-8"?>
<formControlPr xmlns="http://schemas.microsoft.com/office/spreadsheetml/2009/9/main" objectType="CheckBox" fmlaLink="I.Developer.P3C9" lockText="1" noThreeD="1"/>
</file>

<file path=xl/ctrlProps/ctrlProp40.xml><?xml version="1.0" encoding="utf-8"?>
<formControlPr xmlns="http://schemas.microsoft.com/office/spreadsheetml/2009/9/main" objectType="CheckBox" fmlaLink="I.Developer.P4C9" lockText="1" noThreeD="1"/>
</file>

<file path=xl/ctrlProps/ctrlProp41.xml><?xml version="1.0" encoding="utf-8"?>
<formControlPr xmlns="http://schemas.microsoft.com/office/spreadsheetml/2009/9/main" objectType="CheckBox" fmlaLink="I.Developer.P5C9" lockText="1" noThreeD="1"/>
</file>

<file path=xl/ctrlProps/ctrlProp42.xml><?xml version="1.0" encoding="utf-8"?>
<formControlPr xmlns="http://schemas.microsoft.com/office/spreadsheetml/2009/9/main" objectType="CheckBox" fmlaLink="I.Developer.P1C3" lockText="1" noThreeD="1"/>
</file>

<file path=xl/ctrlProps/ctrlProp43.xml><?xml version="1.0" encoding="utf-8"?>
<formControlPr xmlns="http://schemas.microsoft.com/office/spreadsheetml/2009/9/main" objectType="CheckBox" fmlaLink="I.Developer.P1C6" lockText="1" noThreeD="1"/>
</file>

<file path=xl/ctrlProps/ctrlProp44.xml><?xml version="1.0" encoding="utf-8"?>
<formControlPr xmlns="http://schemas.microsoft.com/office/spreadsheetml/2009/9/main" objectType="CheckBox" fmlaLink="I.Developer.P1C9" lockText="1" noThreeD="1"/>
</file>

<file path=xl/ctrlProps/ctrlProp45.xml><?xml version="1.0" encoding="utf-8"?>
<formControlPr xmlns="http://schemas.microsoft.com/office/spreadsheetml/2009/9/main" objectType="CheckBox" fmlaLink="I.Developer.P2C7" lockText="1" noThreeD="1"/>
</file>

<file path=xl/ctrlProps/ctrlProp4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140625</xdr:colOff>
      <xdr:row>2</xdr:row>
      <xdr:rowOff>295275</xdr:rowOff>
    </xdr:to>
    <xdr:pic>
      <xdr:nvPicPr>
        <xdr:cNvPr id="2" name="Picture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133</xdr:row>
          <xdr:rowOff>0</xdr:rowOff>
        </xdr:from>
        <xdr:to>
          <xdr:col>2</xdr:col>
          <xdr:colOff>1781175</xdr:colOff>
          <xdr:row>134</xdr:row>
          <xdr:rowOff>0</xdr:rowOff>
        </xdr:to>
        <xdr:sp macro="" textlink="">
          <xdr:nvSpPr>
            <xdr:cNvPr id="11454" name="Check Box P5C9" hidden="1">
              <a:extLst>
                <a:ext uri="{63B3BB69-23CF-44E3-9099-C40C66FF867C}">
                  <a14:compatExt spid="_x0000_s11454"/>
                </a:ext>
                <a:ext uri="{FF2B5EF4-FFF2-40B4-BE49-F238E27FC236}">
                  <a16:creationId xmlns:a16="http://schemas.microsoft.com/office/drawing/2014/main" id="{00000000-0008-0000-0200-0000B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Wastewater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132</xdr:row>
          <xdr:rowOff>0</xdr:rowOff>
        </xdr:from>
        <xdr:to>
          <xdr:col>2</xdr:col>
          <xdr:colOff>1781175</xdr:colOff>
          <xdr:row>133</xdr:row>
          <xdr:rowOff>0</xdr:rowOff>
        </xdr:to>
        <xdr:sp macro="" textlink="">
          <xdr:nvSpPr>
            <xdr:cNvPr id="11445" name="Check Box P5C8" hidden="1">
              <a:extLst>
                <a:ext uri="{63B3BB69-23CF-44E3-9099-C40C66FF867C}">
                  <a14:compatExt spid="_x0000_s11445"/>
                </a:ext>
                <a:ext uri="{FF2B5EF4-FFF2-40B4-BE49-F238E27FC236}">
                  <a16:creationId xmlns:a16="http://schemas.microsoft.com/office/drawing/2014/main" id="{00000000-0008-0000-0200-0000B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131</xdr:row>
          <xdr:rowOff>0</xdr:rowOff>
        </xdr:from>
        <xdr:to>
          <xdr:col>2</xdr:col>
          <xdr:colOff>1781175</xdr:colOff>
          <xdr:row>132</xdr:row>
          <xdr:rowOff>0</xdr:rowOff>
        </xdr:to>
        <xdr:sp macro="" textlink="">
          <xdr:nvSpPr>
            <xdr:cNvPr id="11436" name="Check Box P5C7" hidden="1">
              <a:extLst>
                <a:ext uri="{63B3BB69-23CF-44E3-9099-C40C66FF867C}">
                  <a14:compatExt spid="_x0000_s11436"/>
                </a:ext>
                <a:ext uri="{FF2B5EF4-FFF2-40B4-BE49-F238E27FC236}">
                  <a16:creationId xmlns:a16="http://schemas.microsoft.com/office/drawing/2014/main" id="{00000000-0008-0000-0200-0000A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130</xdr:row>
          <xdr:rowOff>0</xdr:rowOff>
        </xdr:from>
        <xdr:to>
          <xdr:col>2</xdr:col>
          <xdr:colOff>1781175</xdr:colOff>
          <xdr:row>131</xdr:row>
          <xdr:rowOff>0</xdr:rowOff>
        </xdr:to>
        <xdr:sp macro="" textlink="">
          <xdr:nvSpPr>
            <xdr:cNvPr id="11427" name="Check Box P5C6" hidden="1">
              <a:extLst>
                <a:ext uri="{63B3BB69-23CF-44E3-9099-C40C66FF867C}">
                  <a14:compatExt spid="_x0000_s11427"/>
                </a:ext>
                <a:ext uri="{FF2B5EF4-FFF2-40B4-BE49-F238E27FC236}">
                  <a16:creationId xmlns:a16="http://schemas.microsoft.com/office/drawing/2014/main" id="{00000000-0008-0000-0200-0000A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Leakage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129</xdr:row>
          <xdr:rowOff>0</xdr:rowOff>
        </xdr:from>
        <xdr:to>
          <xdr:col>2</xdr:col>
          <xdr:colOff>1781175</xdr:colOff>
          <xdr:row>130</xdr:row>
          <xdr:rowOff>0</xdr:rowOff>
        </xdr:to>
        <xdr:sp macro="" textlink="">
          <xdr:nvSpPr>
            <xdr:cNvPr id="11419" name="Check Box P5C5" hidden="1">
              <a:extLst>
                <a:ext uri="{63B3BB69-23CF-44E3-9099-C40C66FF867C}">
                  <a14:compatExt spid="_x0000_s11419"/>
                </a:ext>
                <a:ext uri="{FF2B5EF4-FFF2-40B4-BE49-F238E27FC236}">
                  <a16:creationId xmlns:a16="http://schemas.microsoft.com/office/drawing/2014/main" id="{00000000-0008-0000-0200-00009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128</xdr:row>
          <xdr:rowOff>0</xdr:rowOff>
        </xdr:from>
        <xdr:to>
          <xdr:col>2</xdr:col>
          <xdr:colOff>1781175</xdr:colOff>
          <xdr:row>129</xdr:row>
          <xdr:rowOff>0</xdr:rowOff>
        </xdr:to>
        <xdr:sp macro="" textlink="">
          <xdr:nvSpPr>
            <xdr:cNvPr id="11411" name="Check Box P5C4" hidden="1">
              <a:extLst>
                <a:ext uri="{63B3BB69-23CF-44E3-9099-C40C66FF867C}">
                  <a14:compatExt spid="_x0000_s11411"/>
                </a:ext>
                <a:ext uri="{FF2B5EF4-FFF2-40B4-BE49-F238E27FC236}">
                  <a16:creationId xmlns:a16="http://schemas.microsoft.com/office/drawing/2014/main" id="{00000000-0008-0000-0200-00009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Venting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127</xdr:row>
          <xdr:rowOff>0</xdr:rowOff>
        </xdr:from>
        <xdr:to>
          <xdr:col>2</xdr:col>
          <xdr:colOff>1781175</xdr:colOff>
          <xdr:row>128</xdr:row>
          <xdr:rowOff>0</xdr:rowOff>
        </xdr:to>
        <xdr:sp macro="" textlink="">
          <xdr:nvSpPr>
            <xdr:cNvPr id="11403" name="Check Box P5C3" hidden="1">
              <a:extLst>
                <a:ext uri="{63B3BB69-23CF-44E3-9099-C40C66FF867C}">
                  <a14:compatExt spid="_x0000_s11403"/>
                </a:ext>
                <a:ext uri="{FF2B5EF4-FFF2-40B4-BE49-F238E27FC236}">
                  <a16:creationId xmlns:a16="http://schemas.microsoft.com/office/drawing/2014/main" id="{00000000-0008-0000-0200-00008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126</xdr:row>
          <xdr:rowOff>0</xdr:rowOff>
        </xdr:from>
        <xdr:to>
          <xdr:col>2</xdr:col>
          <xdr:colOff>1781175</xdr:colOff>
          <xdr:row>127</xdr:row>
          <xdr:rowOff>0</xdr:rowOff>
        </xdr:to>
        <xdr:sp macro="" textlink="">
          <xdr:nvSpPr>
            <xdr:cNvPr id="11395" name="Check Box P5C2" hidden="1">
              <a:extLst>
                <a:ext uri="{63B3BB69-23CF-44E3-9099-C40C66FF867C}">
                  <a14:compatExt spid="_x0000_s11395"/>
                </a:ext>
                <a:ext uri="{FF2B5EF4-FFF2-40B4-BE49-F238E27FC236}">
                  <a16:creationId xmlns:a16="http://schemas.microsoft.com/office/drawing/2014/main" id="{00000000-0008-0000-0200-00008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process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125</xdr:row>
          <xdr:rowOff>0</xdr:rowOff>
        </xdr:from>
        <xdr:to>
          <xdr:col>2</xdr:col>
          <xdr:colOff>1781175</xdr:colOff>
          <xdr:row>126</xdr:row>
          <xdr:rowOff>0</xdr:rowOff>
        </xdr:to>
        <xdr:sp macro="" textlink="">
          <xdr:nvSpPr>
            <xdr:cNvPr id="11387" name="Check Box P5C1" hidden="1">
              <a:extLst>
                <a:ext uri="{63B3BB69-23CF-44E3-9099-C40C66FF867C}">
                  <a14:compatExt spid="_x0000_s11387"/>
                </a:ext>
                <a:ext uri="{FF2B5EF4-FFF2-40B4-BE49-F238E27FC236}">
                  <a16:creationId xmlns:a16="http://schemas.microsoft.com/office/drawing/2014/main" id="{00000000-0008-0000-0200-00007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105</xdr:row>
          <xdr:rowOff>0</xdr:rowOff>
        </xdr:from>
        <xdr:to>
          <xdr:col>2</xdr:col>
          <xdr:colOff>1781175</xdr:colOff>
          <xdr:row>106</xdr:row>
          <xdr:rowOff>0</xdr:rowOff>
        </xdr:to>
        <xdr:sp macro="" textlink="">
          <xdr:nvSpPr>
            <xdr:cNvPr id="11453" name="Check Box P4C9" hidden="1">
              <a:extLst>
                <a:ext uri="{63B3BB69-23CF-44E3-9099-C40C66FF867C}">
                  <a14:compatExt spid="_x0000_s11453"/>
                </a:ext>
                <a:ext uri="{FF2B5EF4-FFF2-40B4-BE49-F238E27FC236}">
                  <a16:creationId xmlns:a16="http://schemas.microsoft.com/office/drawing/2014/main" id="{00000000-0008-0000-0200-0000B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Wastewater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104</xdr:row>
          <xdr:rowOff>0</xdr:rowOff>
        </xdr:from>
        <xdr:to>
          <xdr:col>2</xdr:col>
          <xdr:colOff>1781175</xdr:colOff>
          <xdr:row>105</xdr:row>
          <xdr:rowOff>0</xdr:rowOff>
        </xdr:to>
        <xdr:sp macro="" textlink="">
          <xdr:nvSpPr>
            <xdr:cNvPr id="11444" name="Check Box P4C8" hidden="1">
              <a:extLst>
                <a:ext uri="{63B3BB69-23CF-44E3-9099-C40C66FF867C}">
                  <a14:compatExt spid="_x0000_s11444"/>
                </a:ext>
                <a:ext uri="{FF2B5EF4-FFF2-40B4-BE49-F238E27FC236}">
                  <a16:creationId xmlns:a16="http://schemas.microsoft.com/office/drawing/2014/main" id="{00000000-0008-0000-0200-0000B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103</xdr:row>
          <xdr:rowOff>0</xdr:rowOff>
        </xdr:from>
        <xdr:to>
          <xdr:col>2</xdr:col>
          <xdr:colOff>1781175</xdr:colOff>
          <xdr:row>104</xdr:row>
          <xdr:rowOff>0</xdr:rowOff>
        </xdr:to>
        <xdr:sp macro="" textlink="">
          <xdr:nvSpPr>
            <xdr:cNvPr id="11435" name="Check Box P4C7" hidden="1">
              <a:extLst>
                <a:ext uri="{63B3BB69-23CF-44E3-9099-C40C66FF867C}">
                  <a14:compatExt spid="_x0000_s11435"/>
                </a:ext>
                <a:ext uri="{FF2B5EF4-FFF2-40B4-BE49-F238E27FC236}">
                  <a16:creationId xmlns:a16="http://schemas.microsoft.com/office/drawing/2014/main" id="{00000000-0008-0000-0200-0000A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102</xdr:row>
          <xdr:rowOff>0</xdr:rowOff>
        </xdr:from>
        <xdr:to>
          <xdr:col>2</xdr:col>
          <xdr:colOff>1781175</xdr:colOff>
          <xdr:row>103</xdr:row>
          <xdr:rowOff>0</xdr:rowOff>
        </xdr:to>
        <xdr:sp macro="" textlink="">
          <xdr:nvSpPr>
            <xdr:cNvPr id="11426" name="Check Box P4C6" hidden="1">
              <a:extLst>
                <a:ext uri="{63B3BB69-23CF-44E3-9099-C40C66FF867C}">
                  <a14:compatExt spid="_x0000_s11426"/>
                </a:ext>
                <a:ext uri="{FF2B5EF4-FFF2-40B4-BE49-F238E27FC236}">
                  <a16:creationId xmlns:a16="http://schemas.microsoft.com/office/drawing/2014/main" id="{00000000-0008-0000-0200-0000A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Leakage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101</xdr:row>
          <xdr:rowOff>0</xdr:rowOff>
        </xdr:from>
        <xdr:to>
          <xdr:col>2</xdr:col>
          <xdr:colOff>1781175</xdr:colOff>
          <xdr:row>102</xdr:row>
          <xdr:rowOff>0</xdr:rowOff>
        </xdr:to>
        <xdr:sp macro="" textlink="">
          <xdr:nvSpPr>
            <xdr:cNvPr id="11418" name="Check Box P4C5" hidden="1">
              <a:extLst>
                <a:ext uri="{63B3BB69-23CF-44E3-9099-C40C66FF867C}">
                  <a14:compatExt spid="_x0000_s11418"/>
                </a:ext>
                <a:ext uri="{FF2B5EF4-FFF2-40B4-BE49-F238E27FC236}">
                  <a16:creationId xmlns:a16="http://schemas.microsoft.com/office/drawing/2014/main" id="{00000000-0008-0000-0200-00009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100</xdr:row>
          <xdr:rowOff>0</xdr:rowOff>
        </xdr:from>
        <xdr:to>
          <xdr:col>2</xdr:col>
          <xdr:colOff>1781175</xdr:colOff>
          <xdr:row>101</xdr:row>
          <xdr:rowOff>0</xdr:rowOff>
        </xdr:to>
        <xdr:sp macro="" textlink="">
          <xdr:nvSpPr>
            <xdr:cNvPr id="11410" name="Check Box P4C4" hidden="1">
              <a:extLst>
                <a:ext uri="{63B3BB69-23CF-44E3-9099-C40C66FF867C}">
                  <a14:compatExt spid="_x0000_s11410"/>
                </a:ext>
                <a:ext uri="{FF2B5EF4-FFF2-40B4-BE49-F238E27FC236}">
                  <a16:creationId xmlns:a16="http://schemas.microsoft.com/office/drawing/2014/main" id="{00000000-0008-0000-0200-00009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Venting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99</xdr:row>
          <xdr:rowOff>0</xdr:rowOff>
        </xdr:from>
        <xdr:to>
          <xdr:col>2</xdr:col>
          <xdr:colOff>1781175</xdr:colOff>
          <xdr:row>100</xdr:row>
          <xdr:rowOff>0</xdr:rowOff>
        </xdr:to>
        <xdr:sp macro="" textlink="">
          <xdr:nvSpPr>
            <xdr:cNvPr id="11402" name="Check Box P4C3" hidden="1">
              <a:extLst>
                <a:ext uri="{63B3BB69-23CF-44E3-9099-C40C66FF867C}">
                  <a14:compatExt spid="_x0000_s11402"/>
                </a:ext>
                <a:ext uri="{FF2B5EF4-FFF2-40B4-BE49-F238E27FC236}">
                  <a16:creationId xmlns:a16="http://schemas.microsoft.com/office/drawing/2014/main" id="{00000000-0008-0000-0200-00008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98</xdr:row>
          <xdr:rowOff>0</xdr:rowOff>
        </xdr:from>
        <xdr:to>
          <xdr:col>2</xdr:col>
          <xdr:colOff>1781175</xdr:colOff>
          <xdr:row>99</xdr:row>
          <xdr:rowOff>0</xdr:rowOff>
        </xdr:to>
        <xdr:sp macro="" textlink="">
          <xdr:nvSpPr>
            <xdr:cNvPr id="11394" name="Check Box P4C2" hidden="1">
              <a:extLst>
                <a:ext uri="{63B3BB69-23CF-44E3-9099-C40C66FF867C}">
                  <a14:compatExt spid="_x0000_s11394"/>
                </a:ext>
                <a:ext uri="{FF2B5EF4-FFF2-40B4-BE49-F238E27FC236}">
                  <a16:creationId xmlns:a16="http://schemas.microsoft.com/office/drawing/2014/main" id="{00000000-0008-0000-0200-00008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process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97</xdr:row>
          <xdr:rowOff>0</xdr:rowOff>
        </xdr:from>
        <xdr:to>
          <xdr:col>2</xdr:col>
          <xdr:colOff>1781175</xdr:colOff>
          <xdr:row>98</xdr:row>
          <xdr:rowOff>0</xdr:rowOff>
        </xdr:to>
        <xdr:sp macro="" textlink="">
          <xdr:nvSpPr>
            <xdr:cNvPr id="11386" name="Check Box P4C1" hidden="1">
              <a:extLst>
                <a:ext uri="{63B3BB69-23CF-44E3-9099-C40C66FF867C}">
                  <a14:compatExt spid="_x0000_s11386"/>
                </a:ext>
                <a:ext uri="{FF2B5EF4-FFF2-40B4-BE49-F238E27FC236}">
                  <a16:creationId xmlns:a16="http://schemas.microsoft.com/office/drawing/2014/main" id="{00000000-0008-0000-0200-00007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77</xdr:row>
          <xdr:rowOff>0</xdr:rowOff>
        </xdr:from>
        <xdr:to>
          <xdr:col>2</xdr:col>
          <xdr:colOff>1781175</xdr:colOff>
          <xdr:row>78</xdr:row>
          <xdr:rowOff>0</xdr:rowOff>
        </xdr:to>
        <xdr:sp macro="" textlink="">
          <xdr:nvSpPr>
            <xdr:cNvPr id="11452" name="Check Box P3C9" hidden="1">
              <a:extLst>
                <a:ext uri="{63B3BB69-23CF-44E3-9099-C40C66FF867C}">
                  <a14:compatExt spid="_x0000_s11452"/>
                </a:ext>
                <a:ext uri="{FF2B5EF4-FFF2-40B4-BE49-F238E27FC236}">
                  <a16:creationId xmlns:a16="http://schemas.microsoft.com/office/drawing/2014/main" id="{00000000-0008-0000-0200-0000B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Wastewater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76</xdr:row>
          <xdr:rowOff>0</xdr:rowOff>
        </xdr:from>
        <xdr:to>
          <xdr:col>2</xdr:col>
          <xdr:colOff>1781175</xdr:colOff>
          <xdr:row>77</xdr:row>
          <xdr:rowOff>0</xdr:rowOff>
        </xdr:to>
        <xdr:sp macro="" textlink="">
          <xdr:nvSpPr>
            <xdr:cNvPr id="11443" name="Check Box P3C8" hidden="1">
              <a:extLst>
                <a:ext uri="{63B3BB69-23CF-44E3-9099-C40C66FF867C}">
                  <a14:compatExt spid="_x0000_s11443"/>
                </a:ext>
                <a:ext uri="{FF2B5EF4-FFF2-40B4-BE49-F238E27FC236}">
                  <a16:creationId xmlns:a16="http://schemas.microsoft.com/office/drawing/2014/main" id="{00000000-0008-0000-0200-0000B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75</xdr:row>
          <xdr:rowOff>0</xdr:rowOff>
        </xdr:from>
        <xdr:to>
          <xdr:col>2</xdr:col>
          <xdr:colOff>1781175</xdr:colOff>
          <xdr:row>76</xdr:row>
          <xdr:rowOff>0</xdr:rowOff>
        </xdr:to>
        <xdr:sp macro="" textlink="">
          <xdr:nvSpPr>
            <xdr:cNvPr id="11434" name="Check Box P3C7" hidden="1">
              <a:extLst>
                <a:ext uri="{63B3BB69-23CF-44E3-9099-C40C66FF867C}">
                  <a14:compatExt spid="_x0000_s11434"/>
                </a:ext>
                <a:ext uri="{FF2B5EF4-FFF2-40B4-BE49-F238E27FC236}">
                  <a16:creationId xmlns:a16="http://schemas.microsoft.com/office/drawing/2014/main" id="{00000000-0008-0000-0200-0000A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74</xdr:row>
          <xdr:rowOff>0</xdr:rowOff>
        </xdr:from>
        <xdr:to>
          <xdr:col>2</xdr:col>
          <xdr:colOff>1781175</xdr:colOff>
          <xdr:row>75</xdr:row>
          <xdr:rowOff>0</xdr:rowOff>
        </xdr:to>
        <xdr:sp macro="" textlink="">
          <xdr:nvSpPr>
            <xdr:cNvPr id="11425" name="Check Box P3C6" hidden="1">
              <a:extLst>
                <a:ext uri="{63B3BB69-23CF-44E3-9099-C40C66FF867C}">
                  <a14:compatExt spid="_x0000_s11425"/>
                </a:ext>
                <a:ext uri="{FF2B5EF4-FFF2-40B4-BE49-F238E27FC236}">
                  <a16:creationId xmlns:a16="http://schemas.microsoft.com/office/drawing/2014/main" id="{00000000-0008-0000-0200-0000A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Leakage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73</xdr:row>
          <xdr:rowOff>0</xdr:rowOff>
        </xdr:from>
        <xdr:to>
          <xdr:col>2</xdr:col>
          <xdr:colOff>1781175</xdr:colOff>
          <xdr:row>74</xdr:row>
          <xdr:rowOff>0</xdr:rowOff>
        </xdr:to>
        <xdr:sp macro="" textlink="">
          <xdr:nvSpPr>
            <xdr:cNvPr id="11417" name="Check Box P3C5" hidden="1">
              <a:extLst>
                <a:ext uri="{63B3BB69-23CF-44E3-9099-C40C66FF867C}">
                  <a14:compatExt spid="_x0000_s11417"/>
                </a:ext>
                <a:ext uri="{FF2B5EF4-FFF2-40B4-BE49-F238E27FC236}">
                  <a16:creationId xmlns:a16="http://schemas.microsoft.com/office/drawing/2014/main" id="{00000000-0008-0000-0200-00009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72</xdr:row>
          <xdr:rowOff>0</xdr:rowOff>
        </xdr:from>
        <xdr:to>
          <xdr:col>2</xdr:col>
          <xdr:colOff>1781175</xdr:colOff>
          <xdr:row>73</xdr:row>
          <xdr:rowOff>0</xdr:rowOff>
        </xdr:to>
        <xdr:sp macro="" textlink="">
          <xdr:nvSpPr>
            <xdr:cNvPr id="11409" name="Check Box P3C4" hidden="1">
              <a:extLst>
                <a:ext uri="{63B3BB69-23CF-44E3-9099-C40C66FF867C}">
                  <a14:compatExt spid="_x0000_s11409"/>
                </a:ext>
                <a:ext uri="{FF2B5EF4-FFF2-40B4-BE49-F238E27FC236}">
                  <a16:creationId xmlns:a16="http://schemas.microsoft.com/office/drawing/2014/main" id="{00000000-0008-0000-0200-00009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Venting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71</xdr:row>
          <xdr:rowOff>0</xdr:rowOff>
        </xdr:from>
        <xdr:to>
          <xdr:col>2</xdr:col>
          <xdr:colOff>1781175</xdr:colOff>
          <xdr:row>72</xdr:row>
          <xdr:rowOff>0</xdr:rowOff>
        </xdr:to>
        <xdr:sp macro="" textlink="">
          <xdr:nvSpPr>
            <xdr:cNvPr id="11401" name="Check Box P3C3" hidden="1">
              <a:extLst>
                <a:ext uri="{63B3BB69-23CF-44E3-9099-C40C66FF867C}">
                  <a14:compatExt spid="_x0000_s11401"/>
                </a:ext>
                <a:ext uri="{FF2B5EF4-FFF2-40B4-BE49-F238E27FC236}">
                  <a16:creationId xmlns:a16="http://schemas.microsoft.com/office/drawing/2014/main" id="{00000000-0008-0000-0200-00008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70</xdr:row>
          <xdr:rowOff>0</xdr:rowOff>
        </xdr:from>
        <xdr:to>
          <xdr:col>2</xdr:col>
          <xdr:colOff>1781175</xdr:colOff>
          <xdr:row>71</xdr:row>
          <xdr:rowOff>0</xdr:rowOff>
        </xdr:to>
        <xdr:sp macro="" textlink="">
          <xdr:nvSpPr>
            <xdr:cNvPr id="11393" name="Check Box P3C2" hidden="1">
              <a:extLst>
                <a:ext uri="{63B3BB69-23CF-44E3-9099-C40C66FF867C}">
                  <a14:compatExt spid="_x0000_s11393"/>
                </a:ext>
                <a:ext uri="{FF2B5EF4-FFF2-40B4-BE49-F238E27FC236}">
                  <a16:creationId xmlns:a16="http://schemas.microsoft.com/office/drawing/2014/main" id="{00000000-0008-0000-0200-00008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process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69</xdr:row>
          <xdr:rowOff>0</xdr:rowOff>
        </xdr:from>
        <xdr:to>
          <xdr:col>2</xdr:col>
          <xdr:colOff>1781175</xdr:colOff>
          <xdr:row>70</xdr:row>
          <xdr:rowOff>0</xdr:rowOff>
        </xdr:to>
        <xdr:sp macro="" textlink="">
          <xdr:nvSpPr>
            <xdr:cNvPr id="11385" name="Check Box P3C1" hidden="1">
              <a:extLst>
                <a:ext uri="{63B3BB69-23CF-44E3-9099-C40C66FF867C}">
                  <a14:compatExt spid="_x0000_s11385"/>
                </a:ext>
                <a:ext uri="{FF2B5EF4-FFF2-40B4-BE49-F238E27FC236}">
                  <a16:creationId xmlns:a16="http://schemas.microsoft.com/office/drawing/2014/main" id="{00000000-0008-0000-0200-00007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49</xdr:row>
          <xdr:rowOff>0</xdr:rowOff>
        </xdr:from>
        <xdr:to>
          <xdr:col>2</xdr:col>
          <xdr:colOff>1781175</xdr:colOff>
          <xdr:row>50</xdr:row>
          <xdr:rowOff>0</xdr:rowOff>
        </xdr:to>
        <xdr:sp macro="" textlink="">
          <xdr:nvSpPr>
            <xdr:cNvPr id="11451" name="Check Box P2C9" hidden="1">
              <a:extLst>
                <a:ext uri="{63B3BB69-23CF-44E3-9099-C40C66FF867C}">
                  <a14:compatExt spid="_x0000_s11451"/>
                </a:ext>
                <a:ext uri="{FF2B5EF4-FFF2-40B4-BE49-F238E27FC236}">
                  <a16:creationId xmlns:a16="http://schemas.microsoft.com/office/drawing/2014/main" id="{00000000-0008-0000-0200-0000B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Wastewater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48</xdr:row>
          <xdr:rowOff>0</xdr:rowOff>
        </xdr:from>
        <xdr:to>
          <xdr:col>2</xdr:col>
          <xdr:colOff>1781175</xdr:colOff>
          <xdr:row>49</xdr:row>
          <xdr:rowOff>0</xdr:rowOff>
        </xdr:to>
        <xdr:sp macro="" textlink="">
          <xdr:nvSpPr>
            <xdr:cNvPr id="11442" name="Check Box P2C8" hidden="1">
              <a:extLst>
                <a:ext uri="{63B3BB69-23CF-44E3-9099-C40C66FF867C}">
                  <a14:compatExt spid="_x0000_s11442"/>
                </a:ext>
                <a:ext uri="{FF2B5EF4-FFF2-40B4-BE49-F238E27FC236}">
                  <a16:creationId xmlns:a16="http://schemas.microsoft.com/office/drawing/2014/main" id="{00000000-0008-0000-0200-0000B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47</xdr:row>
          <xdr:rowOff>0</xdr:rowOff>
        </xdr:from>
        <xdr:to>
          <xdr:col>2</xdr:col>
          <xdr:colOff>1781175</xdr:colOff>
          <xdr:row>48</xdr:row>
          <xdr:rowOff>0</xdr:rowOff>
        </xdr:to>
        <xdr:sp macro="" textlink="">
          <xdr:nvSpPr>
            <xdr:cNvPr id="11463" name="Check Box P2C7" hidden="1">
              <a:extLst>
                <a:ext uri="{63B3BB69-23CF-44E3-9099-C40C66FF867C}">
                  <a14:compatExt spid="_x0000_s11463"/>
                </a:ext>
                <a:ext uri="{FF2B5EF4-FFF2-40B4-BE49-F238E27FC236}">
                  <a16:creationId xmlns:a16="http://schemas.microsoft.com/office/drawing/2014/main" id="{00000000-0008-0000-0200-0000C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46</xdr:row>
          <xdr:rowOff>0</xdr:rowOff>
        </xdr:from>
        <xdr:to>
          <xdr:col>2</xdr:col>
          <xdr:colOff>1781175</xdr:colOff>
          <xdr:row>47</xdr:row>
          <xdr:rowOff>0</xdr:rowOff>
        </xdr:to>
        <xdr:sp macro="" textlink="">
          <xdr:nvSpPr>
            <xdr:cNvPr id="11384" name="Check Box P2C6" hidden="1">
              <a:extLst>
                <a:ext uri="{63B3BB69-23CF-44E3-9099-C40C66FF867C}">
                  <a14:compatExt spid="_x0000_s11384"/>
                </a:ext>
                <a:ext uri="{FF2B5EF4-FFF2-40B4-BE49-F238E27FC236}">
                  <a16:creationId xmlns:a16="http://schemas.microsoft.com/office/drawing/2014/main" id="{00000000-0008-0000-0200-00007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Leakage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45</xdr:row>
          <xdr:rowOff>0</xdr:rowOff>
        </xdr:from>
        <xdr:to>
          <xdr:col>2</xdr:col>
          <xdr:colOff>1781175</xdr:colOff>
          <xdr:row>46</xdr:row>
          <xdr:rowOff>0</xdr:rowOff>
        </xdr:to>
        <xdr:sp macro="" textlink="">
          <xdr:nvSpPr>
            <xdr:cNvPr id="11383" name="Check Box P2C5" hidden="1">
              <a:extLst>
                <a:ext uri="{63B3BB69-23CF-44E3-9099-C40C66FF867C}">
                  <a14:compatExt spid="_x0000_s11383"/>
                </a:ext>
                <a:ext uri="{FF2B5EF4-FFF2-40B4-BE49-F238E27FC236}">
                  <a16:creationId xmlns:a16="http://schemas.microsoft.com/office/drawing/2014/main" id="{00000000-0008-0000-0200-00007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44</xdr:row>
          <xdr:rowOff>0</xdr:rowOff>
        </xdr:from>
        <xdr:to>
          <xdr:col>2</xdr:col>
          <xdr:colOff>1781175</xdr:colOff>
          <xdr:row>45</xdr:row>
          <xdr:rowOff>0</xdr:rowOff>
        </xdr:to>
        <xdr:sp macro="" textlink="">
          <xdr:nvSpPr>
            <xdr:cNvPr id="11382" name="Check Box P2C4" hidden="1">
              <a:extLst>
                <a:ext uri="{63B3BB69-23CF-44E3-9099-C40C66FF867C}">
                  <a14:compatExt spid="_x0000_s11382"/>
                </a:ext>
                <a:ext uri="{FF2B5EF4-FFF2-40B4-BE49-F238E27FC236}">
                  <a16:creationId xmlns:a16="http://schemas.microsoft.com/office/drawing/2014/main" id="{00000000-0008-0000-0200-00007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Venting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43</xdr:row>
          <xdr:rowOff>0</xdr:rowOff>
        </xdr:from>
        <xdr:to>
          <xdr:col>2</xdr:col>
          <xdr:colOff>1781175</xdr:colOff>
          <xdr:row>44</xdr:row>
          <xdr:rowOff>0</xdr:rowOff>
        </xdr:to>
        <xdr:sp macro="" textlink="">
          <xdr:nvSpPr>
            <xdr:cNvPr id="11381" name="Check Box P2C3" hidden="1">
              <a:extLst>
                <a:ext uri="{63B3BB69-23CF-44E3-9099-C40C66FF867C}">
                  <a14:compatExt spid="_x0000_s11381"/>
                </a:ext>
                <a:ext uri="{FF2B5EF4-FFF2-40B4-BE49-F238E27FC236}">
                  <a16:creationId xmlns:a16="http://schemas.microsoft.com/office/drawing/2014/main" id="{00000000-0008-0000-0200-00007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42</xdr:row>
          <xdr:rowOff>0</xdr:rowOff>
        </xdr:from>
        <xdr:to>
          <xdr:col>2</xdr:col>
          <xdr:colOff>1781175</xdr:colOff>
          <xdr:row>43</xdr:row>
          <xdr:rowOff>0</xdr:rowOff>
        </xdr:to>
        <xdr:sp macro="" textlink="">
          <xdr:nvSpPr>
            <xdr:cNvPr id="11380" name="Check Box P2C2" hidden="1">
              <a:extLst>
                <a:ext uri="{63B3BB69-23CF-44E3-9099-C40C66FF867C}">
                  <a14:compatExt spid="_x0000_s11380"/>
                </a:ext>
                <a:ext uri="{FF2B5EF4-FFF2-40B4-BE49-F238E27FC236}">
                  <a16:creationId xmlns:a16="http://schemas.microsoft.com/office/drawing/2014/main" id="{00000000-0008-0000-0200-00007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process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41</xdr:row>
          <xdr:rowOff>0</xdr:rowOff>
        </xdr:from>
        <xdr:to>
          <xdr:col>2</xdr:col>
          <xdr:colOff>1781175</xdr:colOff>
          <xdr:row>42</xdr:row>
          <xdr:rowOff>0</xdr:rowOff>
        </xdr:to>
        <xdr:sp macro="" textlink="">
          <xdr:nvSpPr>
            <xdr:cNvPr id="11379" name="Check Box P2C1" hidden="1">
              <a:extLst>
                <a:ext uri="{63B3BB69-23CF-44E3-9099-C40C66FF867C}">
                  <a14:compatExt spid="_x0000_s11379"/>
                </a:ext>
                <a:ext uri="{FF2B5EF4-FFF2-40B4-BE49-F238E27FC236}">
                  <a16:creationId xmlns:a16="http://schemas.microsoft.com/office/drawing/2014/main" id="{00000000-0008-0000-0200-00007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21</xdr:row>
          <xdr:rowOff>0</xdr:rowOff>
        </xdr:from>
        <xdr:to>
          <xdr:col>2</xdr:col>
          <xdr:colOff>1781175</xdr:colOff>
          <xdr:row>22</xdr:row>
          <xdr:rowOff>0</xdr:rowOff>
        </xdr:to>
        <xdr:sp macro="" textlink="">
          <xdr:nvSpPr>
            <xdr:cNvPr id="11462" name="Check Box P1C9" hidden="1">
              <a:extLst>
                <a:ext uri="{63B3BB69-23CF-44E3-9099-C40C66FF867C}">
                  <a14:compatExt spid="_x0000_s11462"/>
                </a:ext>
                <a:ext uri="{FF2B5EF4-FFF2-40B4-BE49-F238E27FC236}">
                  <a16:creationId xmlns:a16="http://schemas.microsoft.com/office/drawing/2014/main" id="{00000000-0008-0000-0200-0000C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Wastewater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20</xdr:row>
          <xdr:rowOff>0</xdr:rowOff>
        </xdr:from>
        <xdr:to>
          <xdr:col>2</xdr:col>
          <xdr:colOff>1781175</xdr:colOff>
          <xdr:row>21</xdr:row>
          <xdr:rowOff>0</xdr:rowOff>
        </xdr:to>
        <xdr:sp macro="" textlink="">
          <xdr:nvSpPr>
            <xdr:cNvPr id="11376" name="Check Box P1C8" hidden="1">
              <a:extLst>
                <a:ext uri="{63B3BB69-23CF-44E3-9099-C40C66FF867C}">
                  <a14:compatExt spid="_x0000_s11376"/>
                </a:ext>
                <a:ext uri="{FF2B5EF4-FFF2-40B4-BE49-F238E27FC236}">
                  <a16:creationId xmlns:a16="http://schemas.microsoft.com/office/drawing/2014/main" id="{00000000-0008-0000-0200-00007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Waste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19</xdr:row>
          <xdr:rowOff>0</xdr:rowOff>
        </xdr:from>
        <xdr:to>
          <xdr:col>2</xdr:col>
          <xdr:colOff>1781175</xdr:colOff>
          <xdr:row>20</xdr:row>
          <xdr:rowOff>0</xdr:rowOff>
        </xdr:to>
        <xdr:sp macro="" textlink="">
          <xdr:nvSpPr>
            <xdr:cNvPr id="11375" name="Check Box P1C7" hidden="1">
              <a:extLst>
                <a:ext uri="{63B3BB69-23CF-44E3-9099-C40C66FF867C}">
                  <a14:compatExt spid="_x0000_s11375"/>
                </a:ext>
                <a:ext uri="{FF2B5EF4-FFF2-40B4-BE49-F238E27FC236}">
                  <a16:creationId xmlns:a16="http://schemas.microsoft.com/office/drawing/2014/main" id="{00000000-0008-0000-0200-00006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On-site transportation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18</xdr:row>
          <xdr:rowOff>0</xdr:rowOff>
        </xdr:from>
        <xdr:to>
          <xdr:col>2</xdr:col>
          <xdr:colOff>1781175</xdr:colOff>
          <xdr:row>19</xdr:row>
          <xdr:rowOff>0</xdr:rowOff>
        </xdr:to>
        <xdr:sp macro="" textlink="">
          <xdr:nvSpPr>
            <xdr:cNvPr id="11461" name="Check Box P1C6" hidden="1">
              <a:extLst>
                <a:ext uri="{63B3BB69-23CF-44E3-9099-C40C66FF867C}">
                  <a14:compatExt spid="_x0000_s11461"/>
                </a:ext>
                <a:ext uri="{FF2B5EF4-FFF2-40B4-BE49-F238E27FC236}">
                  <a16:creationId xmlns:a16="http://schemas.microsoft.com/office/drawing/2014/main" id="{00000000-0008-0000-0200-0000C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Leakage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17</xdr:row>
          <xdr:rowOff>0</xdr:rowOff>
        </xdr:from>
        <xdr:to>
          <xdr:col>2</xdr:col>
          <xdr:colOff>1781175</xdr:colOff>
          <xdr:row>18</xdr:row>
          <xdr:rowOff>0</xdr:rowOff>
        </xdr:to>
        <xdr:sp macro="" textlink="">
          <xdr:nvSpPr>
            <xdr:cNvPr id="11373" name="Check Box P1C5" hidden="1">
              <a:extLst>
                <a:ext uri="{63B3BB69-23CF-44E3-9099-C40C66FF867C}">
                  <a14:compatExt spid="_x0000_s11373"/>
                </a:ext>
                <a:ext uri="{FF2B5EF4-FFF2-40B4-BE49-F238E27FC236}">
                  <a16:creationId xmlns:a16="http://schemas.microsoft.com/office/drawing/2014/main" id="{00000000-0008-0000-0200-00006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Flaring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0</xdr:rowOff>
        </xdr:from>
        <xdr:to>
          <xdr:col>2</xdr:col>
          <xdr:colOff>1781175</xdr:colOff>
          <xdr:row>17</xdr:row>
          <xdr:rowOff>0</xdr:rowOff>
        </xdr:to>
        <xdr:sp macro="" textlink="">
          <xdr:nvSpPr>
            <xdr:cNvPr id="11372" name="Check Box P1C4" hidden="1">
              <a:extLst>
                <a:ext uri="{63B3BB69-23CF-44E3-9099-C40C66FF867C}">
                  <a14:compatExt spid="_x0000_s11372"/>
                </a:ext>
                <a:ext uri="{FF2B5EF4-FFF2-40B4-BE49-F238E27FC236}">
                  <a16:creationId xmlns:a16="http://schemas.microsoft.com/office/drawing/2014/main" id="{00000000-0008-0000-0200-00006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Venting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15</xdr:row>
          <xdr:rowOff>0</xdr:rowOff>
        </xdr:from>
        <xdr:to>
          <xdr:col>2</xdr:col>
          <xdr:colOff>1781175</xdr:colOff>
          <xdr:row>16</xdr:row>
          <xdr:rowOff>0</xdr:rowOff>
        </xdr:to>
        <xdr:sp macro="" textlink="">
          <xdr:nvSpPr>
            <xdr:cNvPr id="11460" name="Check Box P1C3" hidden="1">
              <a:extLst>
                <a:ext uri="{63B3BB69-23CF-44E3-9099-C40C66FF867C}">
                  <a14:compatExt spid="_x0000_s11460"/>
                </a:ext>
                <a:ext uri="{FF2B5EF4-FFF2-40B4-BE49-F238E27FC236}">
                  <a16:creationId xmlns:a16="http://schemas.microsoft.com/office/drawing/2014/main" id="{00000000-0008-0000-0200-0000C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product use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14</xdr:row>
          <xdr:rowOff>0</xdr:rowOff>
        </xdr:from>
        <xdr:to>
          <xdr:col>2</xdr:col>
          <xdr:colOff>1781175</xdr:colOff>
          <xdr:row>15</xdr:row>
          <xdr:rowOff>0</xdr:rowOff>
        </xdr:to>
        <xdr:sp macro="" textlink="">
          <xdr:nvSpPr>
            <xdr:cNvPr id="11370" name="Check Box P1C2" hidden="1">
              <a:extLst>
                <a:ext uri="{63B3BB69-23CF-44E3-9099-C40C66FF867C}">
                  <a14:compatExt spid="_x0000_s11370"/>
                </a:ext>
                <a:ext uri="{FF2B5EF4-FFF2-40B4-BE49-F238E27FC236}">
                  <a16:creationId xmlns:a16="http://schemas.microsoft.com/office/drawing/2014/main" id="{00000000-0008-0000-0200-00006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Industrial process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xdr:row>
          <xdr:rowOff>0</xdr:rowOff>
        </xdr:from>
        <xdr:to>
          <xdr:col>2</xdr:col>
          <xdr:colOff>1781175</xdr:colOff>
          <xdr:row>14</xdr:row>
          <xdr:rowOff>0</xdr:rowOff>
        </xdr:to>
        <xdr:sp macro="" textlink="">
          <xdr:nvSpPr>
            <xdr:cNvPr id="11368" name="Check Box P1C1" hidden="1">
              <a:extLst>
                <a:ext uri="{63B3BB69-23CF-44E3-9099-C40C66FF867C}">
                  <a14:compatExt spid="_x0000_s11368"/>
                </a:ext>
                <a:ext uri="{FF2B5EF4-FFF2-40B4-BE49-F238E27FC236}">
                  <a16:creationId xmlns:a16="http://schemas.microsoft.com/office/drawing/2014/main" id="{00000000-0008-0000-0200-00006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1100" b="0" i="0" u="none" strike="noStrike" baseline="0">
                  <a:solidFill>
                    <a:srgbClr val="000000"/>
                  </a:solidFill>
                  <a:latin typeface="Calibri"/>
                  <a:cs typeface="Calibri"/>
                </a:rPr>
                <a:t> Stationary fuel combustion </a:t>
              </a:r>
            </a:p>
          </xdr:txBody>
        </xdr:sp>
        <xdr:clientData/>
      </xdr:twoCellAnchor>
    </mc:Choice>
    <mc:Fallback/>
  </mc:AlternateContent>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902625</xdr:colOff>
      <xdr:row>2</xdr:row>
      <xdr:rowOff>295275</xdr:rowOff>
    </xdr:to>
    <xdr:pic>
      <xdr:nvPicPr>
        <xdr:cNvPr id="2" name="Picture 1">
          <a:extLst>
            <a:ext uri="{FF2B5EF4-FFF2-40B4-BE49-F238E27FC236}">
              <a16:creationId xmlns:a16="http://schemas.microsoft.com/office/drawing/2014/main" id="{00000000-0008-0000-03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902625</xdr:colOff>
      <xdr:row>2</xdr:row>
      <xdr:rowOff>295275</xdr:rowOff>
    </xdr:to>
    <xdr:pic>
      <xdr:nvPicPr>
        <xdr:cNvPr id="2" name="Picture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1026450</xdr:colOff>
      <xdr:row>2</xdr:row>
      <xdr:rowOff>295275</xdr:rowOff>
    </xdr:to>
    <xdr:pic>
      <xdr:nvPicPr>
        <xdr:cNvPr id="3" name="Picture 1">
          <a:extLst>
            <a:ext uri="{FF2B5EF4-FFF2-40B4-BE49-F238E27FC236}">
              <a16:creationId xmlns:a16="http://schemas.microsoft.com/office/drawing/2014/main" id="{00000000-0008-0000-0500-000003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1521750</xdr:colOff>
      <xdr:row>2</xdr:row>
      <xdr:rowOff>295275</xdr:rowOff>
    </xdr:to>
    <xdr:pic>
      <xdr:nvPicPr>
        <xdr:cNvPr id="2" name="Picture 1">
          <a:extLst>
            <a:ext uri="{FF2B5EF4-FFF2-40B4-BE49-F238E27FC236}">
              <a16:creationId xmlns:a16="http://schemas.microsoft.com/office/drawing/2014/main" id="{00000000-0008-0000-06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19</xdr:row>
      <xdr:rowOff>0</xdr:rowOff>
    </xdr:from>
    <xdr:to>
      <xdr:col>3</xdr:col>
      <xdr:colOff>1400175</xdr:colOff>
      <xdr:row>23</xdr:row>
      <xdr:rowOff>0</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rPr>
            <a:t>Convert to PDF</a:t>
          </a:r>
        </a:p>
      </xdr:txBody>
    </xdr:sp>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Convert to PDF</a:t>
              </a:r>
            </a:p>
          </xdr:txBody>
        </xdr:sp>
        <xdr:clientData fPrintsWithSheet="0"/>
      </xdr:twoCellAnchor>
    </mc:Choice>
    <mc:Fallback/>
  </mc:AlternateContent>
  <xdr:twoCellAnchor editAs="oneCell">
    <xdr:from>
      <xdr:col>1</xdr:col>
      <xdr:colOff>0</xdr:colOff>
      <xdr:row>0</xdr:row>
      <xdr:rowOff>23925</xdr:rowOff>
    </xdr:from>
    <xdr:to>
      <xdr:col>5</xdr:col>
      <xdr:colOff>140625</xdr:colOff>
      <xdr:row>2</xdr:row>
      <xdr:rowOff>295275</xdr:rowOff>
    </xdr:to>
    <xdr:pic>
      <xdr:nvPicPr>
        <xdr:cNvPr id="3" name="Picture 1">
          <a:extLst>
            <a:ext uri="{FF2B5EF4-FFF2-40B4-BE49-F238E27FC236}">
              <a16:creationId xmlns:a16="http://schemas.microsoft.com/office/drawing/2014/main" id="{00000000-0008-0000-0700-000003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8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4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tabColor rgb="FFFBDD40"/>
    <pageSetUpPr fitToPage="1"/>
  </sheetPr>
  <dimension ref="B1:F66"/>
  <sheetViews>
    <sheetView showGridLines="0" showRowColHeaders="0" tabSelected="1" zoomScaleNormal="100" workbookViewId="0"/>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6"/>
      <c r="C4" s="105" t="s">
        <v>1158</v>
      </c>
      <c r="D4" s="105"/>
      <c r="E4" s="105"/>
      <c r="F4" s="17"/>
    </row>
    <row r="5" spans="2:6" ht="24.95" customHeight="1" x14ac:dyDescent="0.25">
      <c r="B5" s="51"/>
      <c r="C5" s="106"/>
      <c r="D5" s="106"/>
      <c r="E5" s="106"/>
      <c r="F5" s="52"/>
    </row>
    <row r="6" spans="2:6" ht="20.100000000000001" customHeight="1" x14ac:dyDescent="0.25">
      <c r="B6" s="18"/>
      <c r="C6" s="104" t="s">
        <v>0</v>
      </c>
      <c r="D6" s="104"/>
      <c r="E6" s="104"/>
      <c r="F6" s="19"/>
    </row>
    <row r="7" spans="2:6" ht="15" customHeight="1" x14ac:dyDescent="0.25">
      <c r="B7" s="8"/>
      <c r="C7" s="86"/>
      <c r="D7" s="86"/>
      <c r="E7" s="86"/>
      <c r="F7" s="9"/>
    </row>
    <row r="8" spans="2:6" ht="15" customHeight="1" x14ac:dyDescent="0.25">
      <c r="B8" s="21" t="s">
        <v>1</v>
      </c>
      <c r="C8" s="102" t="s">
        <v>105</v>
      </c>
      <c r="D8" s="102"/>
      <c r="E8" s="102"/>
      <c r="F8" s="9"/>
    </row>
    <row r="9" spans="2:6" ht="15" customHeight="1" x14ac:dyDescent="0.25">
      <c r="B9" s="8"/>
      <c r="C9" s="102"/>
      <c r="D9" s="102"/>
      <c r="E9" s="102"/>
      <c r="F9" s="9"/>
    </row>
    <row r="10" spans="2:6" ht="15" customHeight="1" x14ac:dyDescent="0.25">
      <c r="B10" s="21" t="s">
        <v>1</v>
      </c>
      <c r="C10" s="102" t="s">
        <v>2982</v>
      </c>
      <c r="D10" s="102"/>
      <c r="E10" s="102"/>
      <c r="F10" s="9"/>
    </row>
    <row r="11" spans="2:6" ht="15" customHeight="1" x14ac:dyDescent="0.25">
      <c r="B11" s="8"/>
      <c r="C11" s="102"/>
      <c r="D11" s="102"/>
      <c r="E11" s="102"/>
      <c r="F11" s="9"/>
    </row>
    <row r="12" spans="2:6" ht="15" customHeight="1" x14ac:dyDescent="0.25">
      <c r="B12" s="21" t="s">
        <v>1</v>
      </c>
      <c r="C12" s="102" t="s">
        <v>3025</v>
      </c>
      <c r="D12" s="102"/>
      <c r="E12" s="102"/>
      <c r="F12" s="9"/>
    </row>
    <row r="13" spans="2:6" ht="15" customHeight="1" x14ac:dyDescent="0.25">
      <c r="B13" s="8"/>
      <c r="C13" s="102"/>
      <c r="D13" s="102"/>
      <c r="E13" s="102"/>
      <c r="F13" s="9"/>
    </row>
    <row r="14" spans="2:6" ht="15" customHeight="1" x14ac:dyDescent="0.25">
      <c r="B14" s="8"/>
      <c r="C14" s="102"/>
      <c r="D14" s="102"/>
      <c r="E14" s="102"/>
      <c r="F14" s="9"/>
    </row>
    <row r="15" spans="2:6" ht="15" customHeight="1" x14ac:dyDescent="0.25">
      <c r="B15" s="21" t="s">
        <v>1</v>
      </c>
      <c r="C15" s="102" t="s">
        <v>97</v>
      </c>
      <c r="D15" s="102"/>
      <c r="E15" s="102"/>
      <c r="F15" s="9"/>
    </row>
    <row r="16" spans="2:6" ht="15" customHeight="1" x14ac:dyDescent="0.25">
      <c r="B16" s="8"/>
      <c r="C16" s="102"/>
      <c r="D16" s="102"/>
      <c r="E16" s="102"/>
      <c r="F16" s="9"/>
    </row>
    <row r="17" spans="2:6" ht="15" customHeight="1" x14ac:dyDescent="0.25">
      <c r="B17" s="8"/>
      <c r="C17" s="102"/>
      <c r="D17" s="102"/>
      <c r="E17" s="102"/>
      <c r="F17" s="9"/>
    </row>
    <row r="18" spans="2:6" ht="15" customHeight="1" x14ac:dyDescent="0.25">
      <c r="B18" s="21" t="s">
        <v>1</v>
      </c>
      <c r="C18" s="102" t="s">
        <v>106</v>
      </c>
      <c r="D18" s="102"/>
      <c r="E18" s="102"/>
      <c r="F18" s="9"/>
    </row>
    <row r="19" spans="2:6" ht="15" customHeight="1" x14ac:dyDescent="0.25">
      <c r="B19" s="8"/>
      <c r="C19" s="102"/>
      <c r="D19" s="102"/>
      <c r="E19" s="102"/>
      <c r="F19" s="9"/>
    </row>
    <row r="20" spans="2:6" ht="15" customHeight="1" x14ac:dyDescent="0.25">
      <c r="B20" s="21" t="s">
        <v>1</v>
      </c>
      <c r="C20" s="107" t="s">
        <v>96</v>
      </c>
      <c r="D20" s="102"/>
      <c r="E20" s="102"/>
      <c r="F20" s="9"/>
    </row>
    <row r="21" spans="2:6" ht="15" customHeight="1" x14ac:dyDescent="0.25">
      <c r="B21" s="8"/>
      <c r="C21" s="102"/>
      <c r="D21" s="102"/>
      <c r="E21" s="102"/>
      <c r="F21" s="9"/>
    </row>
    <row r="22" spans="2:6" ht="15" customHeight="1" x14ac:dyDescent="0.25">
      <c r="B22" s="21" t="s">
        <v>1</v>
      </c>
      <c r="C22" s="102" t="s">
        <v>32</v>
      </c>
      <c r="D22" s="102"/>
      <c r="E22" s="102"/>
      <c r="F22" s="9"/>
    </row>
    <row r="23" spans="2:6" ht="15" customHeight="1" x14ac:dyDescent="0.25">
      <c r="B23" s="8"/>
      <c r="C23" s="102"/>
      <c r="D23" s="102"/>
      <c r="E23" s="102"/>
      <c r="F23" s="9"/>
    </row>
    <row r="24" spans="2:6" ht="15" customHeight="1" x14ac:dyDescent="0.25">
      <c r="B24" s="21" t="s">
        <v>1</v>
      </c>
      <c r="C24" s="102" t="s">
        <v>107</v>
      </c>
      <c r="D24" s="102"/>
      <c r="E24" s="102"/>
      <c r="F24" s="9"/>
    </row>
    <row r="25" spans="2:6" ht="15" customHeight="1" x14ac:dyDescent="0.25">
      <c r="B25" s="8"/>
      <c r="C25" s="103"/>
      <c r="D25" s="103"/>
      <c r="E25" s="103"/>
      <c r="F25" s="9"/>
    </row>
    <row r="26" spans="2:6" ht="20.100000000000001" customHeight="1" x14ac:dyDescent="0.25">
      <c r="B26" s="18"/>
      <c r="C26" s="104" t="s">
        <v>2</v>
      </c>
      <c r="D26" s="104"/>
      <c r="E26" s="104"/>
      <c r="F26" s="19"/>
    </row>
    <row r="27" spans="2:6" ht="15" customHeight="1" x14ac:dyDescent="0.25">
      <c r="B27" s="8"/>
      <c r="C27" s="86"/>
      <c r="D27" s="86"/>
      <c r="E27" s="86"/>
      <c r="F27" s="9"/>
    </row>
    <row r="28" spans="2:6" ht="15" customHeight="1" x14ac:dyDescent="0.25">
      <c r="B28" s="21" t="s">
        <v>1</v>
      </c>
      <c r="C28" s="102" t="s">
        <v>1159</v>
      </c>
      <c r="D28" s="102"/>
      <c r="E28" s="102"/>
      <c r="F28" s="9"/>
    </row>
    <row r="29" spans="2:6" ht="15" customHeight="1" x14ac:dyDescent="0.25">
      <c r="B29" s="8"/>
      <c r="C29" s="102"/>
      <c r="D29" s="102"/>
      <c r="E29" s="102"/>
      <c r="F29" s="9"/>
    </row>
    <row r="30" spans="2:6" ht="15" customHeight="1" x14ac:dyDescent="0.25">
      <c r="B30" s="21" t="s">
        <v>1</v>
      </c>
      <c r="C30" s="102" t="s">
        <v>1134</v>
      </c>
      <c r="D30" s="102"/>
      <c r="E30" s="102"/>
      <c r="F30" s="9"/>
    </row>
    <row r="31" spans="2:6" ht="15" customHeight="1" x14ac:dyDescent="0.25">
      <c r="B31" s="8"/>
      <c r="C31" s="102"/>
      <c r="D31" s="102"/>
      <c r="E31" s="102"/>
      <c r="F31" s="9"/>
    </row>
    <row r="32" spans="2:6" ht="15" customHeight="1" x14ac:dyDescent="0.25">
      <c r="B32" s="21" t="s">
        <v>1</v>
      </c>
      <c r="C32" s="102" t="s">
        <v>1135</v>
      </c>
      <c r="D32" s="102"/>
      <c r="E32" s="102"/>
      <c r="F32" s="9"/>
    </row>
    <row r="33" spans="2:6" ht="15" customHeight="1" x14ac:dyDescent="0.25">
      <c r="B33" s="8"/>
      <c r="C33" s="102"/>
      <c r="D33" s="102"/>
      <c r="E33" s="102"/>
      <c r="F33" s="9"/>
    </row>
    <row r="34" spans="2:6" ht="15" customHeight="1" x14ac:dyDescent="0.25">
      <c r="B34" s="21" t="s">
        <v>1</v>
      </c>
      <c r="C34" s="102" t="s">
        <v>2985</v>
      </c>
      <c r="D34" s="102"/>
      <c r="E34" s="102"/>
      <c r="F34" s="9"/>
    </row>
    <row r="35" spans="2:6" ht="15" customHeight="1" x14ac:dyDescent="0.25">
      <c r="B35" s="8"/>
      <c r="C35" s="102"/>
      <c r="D35" s="102"/>
      <c r="E35" s="102"/>
      <c r="F35" s="9"/>
    </row>
    <row r="36" spans="2:6" ht="15" customHeight="1" x14ac:dyDescent="0.25">
      <c r="B36" s="21" t="s">
        <v>1</v>
      </c>
      <c r="C36" s="102" t="s">
        <v>100</v>
      </c>
      <c r="D36" s="102"/>
      <c r="E36" s="102"/>
      <c r="F36" s="9"/>
    </row>
    <row r="37" spans="2:6" ht="15" customHeight="1" x14ac:dyDescent="0.25">
      <c r="B37" s="8"/>
      <c r="C37" s="102"/>
      <c r="D37" s="102"/>
      <c r="E37" s="102"/>
      <c r="F37" s="9"/>
    </row>
    <row r="38" spans="2:6" ht="15" customHeight="1" x14ac:dyDescent="0.25">
      <c r="B38" s="8"/>
      <c r="C38" s="102"/>
      <c r="D38" s="102"/>
      <c r="E38" s="102"/>
      <c r="F38" s="9"/>
    </row>
    <row r="39" spans="2:6" ht="15" customHeight="1" x14ac:dyDescent="0.25">
      <c r="B39" s="21" t="s">
        <v>1</v>
      </c>
      <c r="C39" s="102" t="s">
        <v>99</v>
      </c>
      <c r="D39" s="102"/>
      <c r="E39" s="102"/>
      <c r="F39" s="9"/>
    </row>
    <row r="40" spans="2:6" ht="15" customHeight="1" x14ac:dyDescent="0.25">
      <c r="B40" s="8"/>
      <c r="C40" s="102"/>
      <c r="D40" s="102"/>
      <c r="E40" s="102"/>
      <c r="F40" s="9"/>
    </row>
    <row r="41" spans="2:6" ht="15" customHeight="1" x14ac:dyDescent="0.25">
      <c r="B41" s="21" t="s">
        <v>1</v>
      </c>
      <c r="C41" s="102" t="s">
        <v>1136</v>
      </c>
      <c r="D41" s="102"/>
      <c r="E41" s="102"/>
      <c r="F41" s="9"/>
    </row>
    <row r="42" spans="2:6" ht="15" customHeight="1" x14ac:dyDescent="0.25">
      <c r="B42" s="8"/>
      <c r="C42" s="102"/>
      <c r="D42" s="102"/>
      <c r="E42" s="102"/>
      <c r="F42" s="9"/>
    </row>
    <row r="43" spans="2:6" ht="15" customHeight="1" x14ac:dyDescent="0.25">
      <c r="B43" s="8"/>
      <c r="C43" s="102"/>
      <c r="D43" s="102"/>
      <c r="E43" s="102"/>
      <c r="F43" s="9"/>
    </row>
    <row r="44" spans="2:6" ht="15" customHeight="1" x14ac:dyDescent="0.25">
      <c r="B44" s="21" t="s">
        <v>1</v>
      </c>
      <c r="C44" s="102" t="s">
        <v>1137</v>
      </c>
      <c r="D44" s="102"/>
      <c r="E44" s="102"/>
      <c r="F44" s="9"/>
    </row>
    <row r="45" spans="2:6" ht="15" customHeight="1" x14ac:dyDescent="0.25">
      <c r="B45" s="8"/>
      <c r="C45" s="102"/>
      <c r="D45" s="102"/>
      <c r="E45" s="102"/>
      <c r="F45" s="9"/>
    </row>
    <row r="46" spans="2:6" ht="15" customHeight="1" x14ac:dyDescent="0.25">
      <c r="B46" s="8"/>
      <c r="C46" s="103"/>
      <c r="D46" s="103"/>
      <c r="E46" s="103"/>
      <c r="F46" s="9"/>
    </row>
    <row r="47" spans="2:6" ht="20.100000000000001" customHeight="1" x14ac:dyDescent="0.25">
      <c r="B47" s="18"/>
      <c r="C47" s="104" t="s">
        <v>3</v>
      </c>
      <c r="D47" s="104"/>
      <c r="E47" s="104"/>
      <c r="F47" s="19"/>
    </row>
    <row r="48" spans="2:6" ht="15" customHeight="1" x14ac:dyDescent="0.25">
      <c r="B48" s="8"/>
      <c r="C48" s="86"/>
      <c r="D48" s="86"/>
      <c r="E48" s="86"/>
      <c r="F48" s="9"/>
    </row>
    <row r="49" spans="2:6" ht="15" customHeight="1" x14ac:dyDescent="0.25">
      <c r="B49" s="21" t="s">
        <v>1</v>
      </c>
      <c r="C49" s="102" t="s">
        <v>2986</v>
      </c>
      <c r="D49" s="102"/>
      <c r="E49" s="102"/>
      <c r="F49" s="9"/>
    </row>
    <row r="50" spans="2:6" ht="15" customHeight="1" x14ac:dyDescent="0.25">
      <c r="B50" s="8"/>
      <c r="C50" s="102"/>
      <c r="D50" s="102"/>
      <c r="E50" s="102"/>
      <c r="F50" s="9"/>
    </row>
    <row r="51" spans="2:6" ht="15" customHeight="1" x14ac:dyDescent="0.25">
      <c r="B51" s="8"/>
      <c r="C51" s="102"/>
      <c r="D51" s="102"/>
      <c r="E51" s="102"/>
      <c r="F51" s="9"/>
    </row>
    <row r="52" spans="2:6" ht="15" customHeight="1" x14ac:dyDescent="0.25">
      <c r="B52" s="8"/>
      <c r="C52" s="102"/>
      <c r="D52" s="102"/>
      <c r="E52" s="102"/>
      <c r="F52" s="9"/>
    </row>
    <row r="53" spans="2:6" ht="15" customHeight="1" x14ac:dyDescent="0.25">
      <c r="B53" s="8"/>
      <c r="C53" s="102"/>
      <c r="D53" s="102"/>
      <c r="E53" s="102"/>
      <c r="F53" s="9"/>
    </row>
    <row r="54" spans="2:6" ht="15" customHeight="1" x14ac:dyDescent="0.25">
      <c r="B54" s="8"/>
      <c r="C54" s="102"/>
      <c r="D54" s="102"/>
      <c r="E54" s="102"/>
      <c r="F54" s="9"/>
    </row>
    <row r="55" spans="2:6" ht="15" customHeight="1" x14ac:dyDescent="0.25">
      <c r="B55" s="8"/>
      <c r="C55" s="102"/>
      <c r="D55" s="102"/>
      <c r="E55" s="102"/>
      <c r="F55" s="9"/>
    </row>
    <row r="56" spans="2:6" ht="15" customHeight="1" x14ac:dyDescent="0.25">
      <c r="B56" s="8"/>
      <c r="C56" s="103"/>
      <c r="D56" s="103"/>
      <c r="E56" s="103"/>
      <c r="F56" s="9"/>
    </row>
    <row r="57" spans="2:6" ht="20.100000000000001" customHeight="1" x14ac:dyDescent="0.25">
      <c r="B57" s="18"/>
      <c r="C57" s="104" t="s">
        <v>4</v>
      </c>
      <c r="D57" s="104"/>
      <c r="E57" s="104"/>
      <c r="F57" s="19"/>
    </row>
    <row r="58" spans="2:6" ht="15" customHeight="1" x14ac:dyDescent="0.25">
      <c r="B58" s="8"/>
      <c r="C58" s="86"/>
      <c r="D58" s="86"/>
      <c r="E58" s="86"/>
      <c r="F58" s="9"/>
    </row>
    <row r="59" spans="2:6" ht="15" customHeight="1" x14ac:dyDescent="0.25">
      <c r="B59" s="21" t="s">
        <v>1</v>
      </c>
      <c r="C59" s="102" t="s">
        <v>2987</v>
      </c>
      <c r="D59" s="102"/>
      <c r="E59" s="102"/>
      <c r="F59" s="9"/>
    </row>
    <row r="60" spans="2:6" ht="15" customHeight="1" x14ac:dyDescent="0.25">
      <c r="B60" s="8"/>
      <c r="C60" s="102"/>
      <c r="D60" s="102"/>
      <c r="E60" s="102"/>
      <c r="F60" s="9"/>
    </row>
    <row r="61" spans="2:6" ht="15" customHeight="1" x14ac:dyDescent="0.25">
      <c r="B61" s="8"/>
      <c r="C61" s="102"/>
      <c r="D61" s="102"/>
      <c r="E61" s="102"/>
      <c r="F61" s="9"/>
    </row>
    <row r="62" spans="2:6" ht="15" customHeight="1" x14ac:dyDescent="0.25">
      <c r="B62" s="8"/>
      <c r="C62" s="102"/>
      <c r="D62" s="102"/>
      <c r="E62" s="102"/>
      <c r="F62" s="9"/>
    </row>
    <row r="63" spans="2:6" ht="15" customHeight="1" x14ac:dyDescent="0.25">
      <c r="B63" s="21" t="s">
        <v>1</v>
      </c>
      <c r="C63" s="102" t="s">
        <v>5</v>
      </c>
      <c r="D63" s="102"/>
      <c r="E63" s="102"/>
      <c r="F63" s="9"/>
    </row>
    <row r="64" spans="2:6" ht="15" customHeight="1" x14ac:dyDescent="0.25">
      <c r="B64" s="8"/>
      <c r="C64" s="102"/>
      <c r="D64" s="102"/>
      <c r="E64" s="102"/>
      <c r="F64" s="9"/>
    </row>
    <row r="65" spans="2:6" ht="15" customHeight="1" x14ac:dyDescent="0.25">
      <c r="B65" s="8"/>
      <c r="C65" s="102"/>
      <c r="D65" s="102"/>
      <c r="E65" s="102"/>
      <c r="F65" s="9"/>
    </row>
    <row r="66" spans="2:6" ht="15" customHeight="1" x14ac:dyDescent="0.25">
      <c r="B66" s="10"/>
      <c r="C66" s="20">
        <v>3.01</v>
      </c>
      <c r="D66" s="11"/>
      <c r="E66" s="12">
        <v>45329</v>
      </c>
      <c r="F66" s="13"/>
    </row>
  </sheetData>
  <sheetProtection algorithmName="SHA-512" hashValue="JH46F8hFjc1F9Pf8IYS4G314rlF0DjU005wEfsLLOq4XGD7LfIiLVcfEUULhe4vbrFFYHeWmWsKBBdoJyqff1A==" saltValue="I0Yi3cqfLI/ZAJSZbWqVXA==" spinCount="100000" sheet="1" objects="1" scenarios="1" selectLockedCells="1" selectUnlockedCells="1"/>
  <mergeCells count="24">
    <mergeCell ref="C4:E5"/>
    <mergeCell ref="C6:E6"/>
    <mergeCell ref="C8:E9"/>
    <mergeCell ref="C12:E14"/>
    <mergeCell ref="C59:E62"/>
    <mergeCell ref="C22:E23"/>
    <mergeCell ref="C20:E21"/>
    <mergeCell ref="C18:E19"/>
    <mergeCell ref="C15:E17"/>
    <mergeCell ref="C36:E38"/>
    <mergeCell ref="C57:E57"/>
    <mergeCell ref="C47:E47"/>
    <mergeCell ref="C44:E46"/>
    <mergeCell ref="C10:E11"/>
    <mergeCell ref="C63:E65"/>
    <mergeCell ref="C49:E56"/>
    <mergeCell ref="C24:E25"/>
    <mergeCell ref="C28:E29"/>
    <mergeCell ref="C32:E33"/>
    <mergeCell ref="C30:E31"/>
    <mergeCell ref="C26:E26"/>
    <mergeCell ref="C34:E35"/>
    <mergeCell ref="C39:E40"/>
    <mergeCell ref="C41:E43"/>
  </mergeCells>
  <printOptions horizontalCentered="1"/>
  <pageMargins left="0.25" right="0.25" top="0.25" bottom="0.25" header="0" footer="0"/>
  <pageSetup scale="8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46A38"/>
    <pageSetUpPr fitToPage="1"/>
  </sheetPr>
  <dimension ref="B1:G530"/>
  <sheetViews>
    <sheetView showGridLines="0" showRowColHeaders="0" zoomScaleNormal="100" workbookViewId="0">
      <selection activeCell="C7" sqref="C7:D7"/>
    </sheetView>
  </sheetViews>
  <sheetFormatPr defaultColWidth="9.140625" defaultRowHeight="15" customHeight="1" x14ac:dyDescent="0.25"/>
  <cols>
    <col min="1" max="3" width="5.7109375" customWidth="1"/>
    <col min="4" max="4" width="4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11" t="s">
        <v>101</v>
      </c>
      <c r="D4" s="111"/>
      <c r="E4" s="111"/>
      <c r="F4" s="111"/>
      <c r="G4" s="7"/>
    </row>
    <row r="5" spans="2:7" ht="15" customHeight="1" x14ac:dyDescent="0.25">
      <c r="B5" s="8"/>
      <c r="C5" s="86"/>
      <c r="D5" s="86"/>
      <c r="E5" s="86"/>
      <c r="F5" s="86"/>
      <c r="G5" s="9"/>
    </row>
    <row r="6" spans="2:7" ht="15" customHeight="1" x14ac:dyDescent="0.25">
      <c r="B6" s="8"/>
      <c r="C6" s="86" t="s">
        <v>16</v>
      </c>
      <c r="D6" s="86"/>
      <c r="E6" s="86"/>
      <c r="F6" s="86" t="s">
        <v>20</v>
      </c>
      <c r="G6" s="9"/>
    </row>
    <row r="7" spans="2:7" ht="15" customHeight="1" x14ac:dyDescent="0.25">
      <c r="B7" s="8"/>
      <c r="C7" s="112"/>
      <c r="D7" s="113"/>
      <c r="E7" s="86"/>
      <c r="F7" s="14"/>
      <c r="G7" s="9"/>
    </row>
    <row r="8" spans="2:7" ht="15" customHeight="1" x14ac:dyDescent="0.25">
      <c r="B8" s="8"/>
      <c r="C8" s="86"/>
      <c r="D8" s="86"/>
      <c r="E8" s="86"/>
      <c r="F8" s="86"/>
      <c r="G8" s="9"/>
    </row>
    <row r="9" spans="2:7" ht="15" customHeight="1" x14ac:dyDescent="0.25">
      <c r="B9" s="8"/>
      <c r="C9" s="102" t="s">
        <v>2988</v>
      </c>
      <c r="D9" s="102"/>
      <c r="E9" s="102"/>
      <c r="F9" s="102"/>
      <c r="G9" s="9"/>
    </row>
    <row r="10" spans="2:7" ht="15" customHeight="1" x14ac:dyDescent="0.25">
      <c r="B10" s="8"/>
      <c r="C10" s="114">
        <v>1</v>
      </c>
      <c r="D10" s="115"/>
      <c r="E10" s="86"/>
      <c r="F10" s="86"/>
      <c r="G10" s="9"/>
    </row>
    <row r="11" spans="2:7" ht="15" customHeight="1" x14ac:dyDescent="0.25">
      <c r="B11" s="8"/>
      <c r="C11" s="86"/>
      <c r="D11" s="86"/>
      <c r="E11" s="86"/>
      <c r="F11" s="86"/>
      <c r="G11" s="9"/>
    </row>
    <row r="12" spans="2:7" ht="15" customHeight="1" x14ac:dyDescent="0.25">
      <c r="B12" s="8"/>
      <c r="C12" s="102" t="s">
        <v>2990</v>
      </c>
      <c r="D12" s="102"/>
      <c r="E12" s="102"/>
      <c r="F12" s="102"/>
      <c r="G12" s="9"/>
    </row>
    <row r="13" spans="2:7" ht="15" customHeight="1" x14ac:dyDescent="0.25">
      <c r="B13" s="8"/>
      <c r="C13" s="112"/>
      <c r="D13" s="113"/>
      <c r="E13" s="86"/>
      <c r="F13" s="86"/>
      <c r="G13" s="9"/>
    </row>
    <row r="14" spans="2:7" ht="15" customHeight="1" x14ac:dyDescent="0.25">
      <c r="B14" s="8"/>
      <c r="C14" s="86"/>
      <c r="D14" s="86"/>
      <c r="E14" s="86"/>
      <c r="F14" s="86"/>
      <c r="G14" s="9"/>
    </row>
    <row r="15" spans="2:7" ht="15" customHeight="1" x14ac:dyDescent="0.25">
      <c r="B15" s="8"/>
      <c r="C15" s="102" t="s">
        <v>2989</v>
      </c>
      <c r="D15" s="102"/>
      <c r="E15" s="102"/>
      <c r="F15" s="102"/>
      <c r="G15" s="9"/>
    </row>
    <row r="16" spans="2:7" ht="15" customHeight="1" x14ac:dyDescent="0.25">
      <c r="B16" s="8"/>
      <c r="C16" s="112"/>
      <c r="D16" s="113"/>
      <c r="E16" s="86"/>
      <c r="F16" s="86"/>
      <c r="G16" s="9"/>
    </row>
    <row r="17" spans="2:7" ht="15" hidden="1" customHeight="1" x14ac:dyDescent="0.25">
      <c r="B17" s="8"/>
      <c r="C17" s="86"/>
      <c r="D17" s="86"/>
      <c r="E17" s="86"/>
      <c r="F17" s="86"/>
      <c r="G17" s="9"/>
    </row>
    <row r="18" spans="2:7" ht="15" hidden="1" customHeight="1" x14ac:dyDescent="0.25">
      <c r="B18" s="8"/>
      <c r="C18" s="102" t="s">
        <v>1341</v>
      </c>
      <c r="D18" s="102"/>
      <c r="E18" s="102"/>
      <c r="F18" s="102"/>
      <c r="G18" s="9"/>
    </row>
    <row r="19" spans="2:7" ht="15" hidden="1" customHeight="1" x14ac:dyDescent="0.25">
      <c r="B19" s="8"/>
      <c r="C19" s="116"/>
      <c r="D19" s="117"/>
      <c r="E19" s="86"/>
      <c r="F19" s="86"/>
      <c r="G19" s="9"/>
    </row>
    <row r="20" spans="2:7" ht="15" hidden="1" customHeight="1" x14ac:dyDescent="0.25">
      <c r="B20" s="8"/>
      <c r="C20" s="86"/>
      <c r="D20" s="86"/>
      <c r="E20" s="86"/>
      <c r="F20" s="86"/>
      <c r="G20" s="9"/>
    </row>
    <row r="21" spans="2:7" ht="15" hidden="1" customHeight="1" x14ac:dyDescent="0.25">
      <c r="B21" s="8"/>
      <c r="C21" s="102" t="s">
        <v>1342</v>
      </c>
      <c r="D21" s="102"/>
      <c r="E21" s="102"/>
      <c r="F21" s="102"/>
      <c r="G21" s="9"/>
    </row>
    <row r="22" spans="2:7" ht="15" hidden="1" customHeight="1" x14ac:dyDescent="0.25">
      <c r="B22" s="8"/>
      <c r="C22" s="96" t="s">
        <v>77</v>
      </c>
      <c r="D22" s="90" t="s">
        <v>78</v>
      </c>
      <c r="E22" s="86"/>
      <c r="F22" s="86"/>
      <c r="G22" s="9"/>
    </row>
    <row r="23" spans="2:7" ht="15" hidden="1" customHeight="1" x14ac:dyDescent="0.25">
      <c r="B23" s="8"/>
      <c r="C23" s="97">
        <v>1</v>
      </c>
      <c r="D23" s="69"/>
      <c r="E23" s="86"/>
      <c r="F23" s="86"/>
      <c r="G23" s="9"/>
    </row>
    <row r="24" spans="2:7" ht="15" hidden="1" customHeight="1" x14ac:dyDescent="0.25">
      <c r="B24" s="8"/>
      <c r="C24" s="97">
        <v>2</v>
      </c>
      <c r="D24" s="69"/>
      <c r="E24" s="86"/>
      <c r="F24" s="86"/>
      <c r="G24" s="9"/>
    </row>
    <row r="25" spans="2:7" ht="15" hidden="1" customHeight="1" x14ac:dyDescent="0.25">
      <c r="B25" s="8"/>
      <c r="C25" s="97">
        <v>3</v>
      </c>
      <c r="D25" s="69"/>
      <c r="E25" s="86"/>
      <c r="F25" s="86"/>
      <c r="G25" s="9"/>
    </row>
    <row r="26" spans="2:7" ht="15" hidden="1" customHeight="1" x14ac:dyDescent="0.25">
      <c r="B26" s="8"/>
      <c r="C26" s="97">
        <v>4</v>
      </c>
      <c r="D26" s="69"/>
      <c r="E26" s="86"/>
      <c r="F26" s="86"/>
      <c r="G26" s="9"/>
    </row>
    <row r="27" spans="2:7" ht="15" hidden="1" customHeight="1" x14ac:dyDescent="0.25">
      <c r="B27" s="8"/>
      <c r="C27" s="97">
        <v>5</v>
      </c>
      <c r="D27" s="69"/>
      <c r="E27" s="86"/>
      <c r="F27" s="86"/>
      <c r="G27" s="9"/>
    </row>
    <row r="28" spans="2:7" ht="15" hidden="1" customHeight="1" x14ac:dyDescent="0.25">
      <c r="B28" s="8"/>
      <c r="C28" s="97">
        <v>6</v>
      </c>
      <c r="D28" s="69"/>
      <c r="E28" s="86"/>
      <c r="F28" s="86"/>
      <c r="G28" s="9"/>
    </row>
    <row r="29" spans="2:7" ht="15" hidden="1" customHeight="1" x14ac:dyDescent="0.25">
      <c r="B29" s="8"/>
      <c r="C29" s="97">
        <v>7</v>
      </c>
      <c r="D29" s="69"/>
      <c r="E29" s="86"/>
      <c r="F29" s="86"/>
      <c r="G29" s="9"/>
    </row>
    <row r="30" spans="2:7" ht="15" hidden="1" customHeight="1" x14ac:dyDescent="0.25">
      <c r="B30" s="8"/>
      <c r="C30" s="97">
        <v>8</v>
      </c>
      <c r="D30" s="69"/>
      <c r="E30" s="86"/>
      <c r="F30" s="86"/>
      <c r="G30" s="9"/>
    </row>
    <row r="31" spans="2:7" ht="15" hidden="1" customHeight="1" x14ac:dyDescent="0.25">
      <c r="B31" s="8"/>
      <c r="C31" s="97">
        <v>9</v>
      </c>
      <c r="D31" s="69"/>
      <c r="E31" s="86"/>
      <c r="F31" s="86"/>
      <c r="G31" s="9"/>
    </row>
    <row r="32" spans="2:7" ht="15" hidden="1" customHeight="1" x14ac:dyDescent="0.25">
      <c r="B32" s="8"/>
      <c r="C32" s="97">
        <v>10</v>
      </c>
      <c r="D32" s="69"/>
      <c r="E32" s="86"/>
      <c r="F32" s="86"/>
      <c r="G32" s="9"/>
    </row>
    <row r="33" spans="2:7" ht="15" hidden="1" customHeight="1" x14ac:dyDescent="0.25">
      <c r="B33" s="8"/>
      <c r="C33" s="97">
        <v>11</v>
      </c>
      <c r="D33" s="69"/>
      <c r="E33" s="86"/>
      <c r="F33" s="86"/>
      <c r="G33" s="9"/>
    </row>
    <row r="34" spans="2:7" ht="15" hidden="1" customHeight="1" x14ac:dyDescent="0.25">
      <c r="B34" s="8"/>
      <c r="C34" s="97">
        <v>12</v>
      </c>
      <c r="D34" s="69"/>
      <c r="E34" s="86"/>
      <c r="F34" s="86"/>
      <c r="G34" s="9"/>
    </row>
    <row r="35" spans="2:7" ht="15" hidden="1" customHeight="1" x14ac:dyDescent="0.25">
      <c r="B35" s="8"/>
      <c r="C35" s="97">
        <v>13</v>
      </c>
      <c r="D35" s="69"/>
      <c r="E35" s="86"/>
      <c r="F35" s="86"/>
      <c r="G35" s="9"/>
    </row>
    <row r="36" spans="2:7" ht="15" hidden="1" customHeight="1" x14ac:dyDescent="0.25">
      <c r="B36" s="8"/>
      <c r="C36" s="97">
        <v>14</v>
      </c>
      <c r="D36" s="69"/>
      <c r="E36" s="86"/>
      <c r="F36" s="86"/>
      <c r="G36" s="9"/>
    </row>
    <row r="37" spans="2:7" ht="15" hidden="1" customHeight="1" x14ac:dyDescent="0.25">
      <c r="B37" s="8"/>
      <c r="C37" s="97">
        <v>15</v>
      </c>
      <c r="D37" s="69"/>
      <c r="E37" s="86"/>
      <c r="F37" s="86"/>
      <c r="G37" s="9"/>
    </row>
    <row r="38" spans="2:7" ht="15" hidden="1" customHeight="1" x14ac:dyDescent="0.25">
      <c r="B38" s="8"/>
      <c r="C38" s="97">
        <v>16</v>
      </c>
      <c r="D38" s="69"/>
      <c r="E38" s="86"/>
      <c r="F38" s="86"/>
      <c r="G38" s="9"/>
    </row>
    <row r="39" spans="2:7" ht="15" hidden="1" customHeight="1" x14ac:dyDescent="0.25">
      <c r="B39" s="8"/>
      <c r="C39" s="97">
        <v>17</v>
      </c>
      <c r="D39" s="69"/>
      <c r="E39" s="86"/>
      <c r="F39" s="86"/>
      <c r="G39" s="9"/>
    </row>
    <row r="40" spans="2:7" ht="15" hidden="1" customHeight="1" x14ac:dyDescent="0.25">
      <c r="B40" s="8"/>
      <c r="C40" s="97">
        <v>18</v>
      </c>
      <c r="D40" s="69"/>
      <c r="E40" s="86"/>
      <c r="F40" s="86"/>
      <c r="G40" s="9"/>
    </row>
    <row r="41" spans="2:7" ht="15" hidden="1" customHeight="1" x14ac:dyDescent="0.25">
      <c r="B41" s="8"/>
      <c r="C41" s="97">
        <v>19</v>
      </c>
      <c r="D41" s="69"/>
      <c r="E41" s="86"/>
      <c r="F41" s="86"/>
      <c r="G41" s="9"/>
    </row>
    <row r="42" spans="2:7" ht="15" hidden="1" customHeight="1" x14ac:dyDescent="0.25">
      <c r="B42" s="8"/>
      <c r="C42" s="97">
        <v>20</v>
      </c>
      <c r="D42" s="69"/>
      <c r="E42" s="86"/>
      <c r="F42" s="86"/>
      <c r="G42" s="9"/>
    </row>
    <row r="43" spans="2:7" ht="15" hidden="1" customHeight="1" x14ac:dyDescent="0.25">
      <c r="B43" s="8"/>
      <c r="C43" s="97">
        <v>21</v>
      </c>
      <c r="D43" s="69"/>
      <c r="E43" s="86"/>
      <c r="F43" s="86"/>
      <c r="G43" s="9"/>
    </row>
    <row r="44" spans="2:7" ht="15" hidden="1" customHeight="1" x14ac:dyDescent="0.25">
      <c r="B44" s="8"/>
      <c r="C44" s="97">
        <v>22</v>
      </c>
      <c r="D44" s="69"/>
      <c r="E44" s="86"/>
      <c r="F44" s="86"/>
      <c r="G44" s="9"/>
    </row>
    <row r="45" spans="2:7" ht="15" hidden="1" customHeight="1" x14ac:dyDescent="0.25">
      <c r="B45" s="8"/>
      <c r="C45" s="97">
        <v>23</v>
      </c>
      <c r="D45" s="69"/>
      <c r="E45" s="86"/>
      <c r="F45" s="86"/>
      <c r="G45" s="9"/>
    </row>
    <row r="46" spans="2:7" ht="15" hidden="1" customHeight="1" x14ac:dyDescent="0.25">
      <c r="B46" s="8"/>
      <c r="C46" s="97">
        <v>24</v>
      </c>
      <c r="D46" s="69"/>
      <c r="E46" s="86"/>
      <c r="F46" s="86"/>
      <c r="G46" s="9"/>
    </row>
    <row r="47" spans="2:7" ht="15" hidden="1" customHeight="1" x14ac:dyDescent="0.25">
      <c r="B47" s="8"/>
      <c r="C47" s="97">
        <v>25</v>
      </c>
      <c r="D47" s="69"/>
      <c r="E47" s="86"/>
      <c r="F47" s="86"/>
      <c r="G47" s="9"/>
    </row>
    <row r="48" spans="2:7" ht="15" hidden="1" customHeight="1" x14ac:dyDescent="0.25">
      <c r="B48" s="8"/>
      <c r="C48" s="97">
        <v>26</v>
      </c>
      <c r="D48" s="69"/>
      <c r="E48" s="86"/>
      <c r="F48" s="86"/>
      <c r="G48" s="9"/>
    </row>
    <row r="49" spans="2:7" ht="15" hidden="1" customHeight="1" x14ac:dyDescent="0.25">
      <c r="B49" s="8"/>
      <c r="C49" s="97">
        <v>27</v>
      </c>
      <c r="D49" s="69"/>
      <c r="E49" s="86"/>
      <c r="F49" s="86"/>
      <c r="G49" s="9"/>
    </row>
    <row r="50" spans="2:7" ht="15" hidden="1" customHeight="1" x14ac:dyDescent="0.25">
      <c r="B50" s="8"/>
      <c r="C50" s="97">
        <v>28</v>
      </c>
      <c r="D50" s="69"/>
      <c r="E50" s="86"/>
      <c r="F50" s="86"/>
      <c r="G50" s="9"/>
    </row>
    <row r="51" spans="2:7" ht="15" hidden="1" customHeight="1" x14ac:dyDescent="0.25">
      <c r="B51" s="8"/>
      <c r="C51" s="97">
        <v>29</v>
      </c>
      <c r="D51" s="69"/>
      <c r="E51" s="86"/>
      <c r="F51" s="86"/>
      <c r="G51" s="9"/>
    </row>
    <row r="52" spans="2:7" ht="15" hidden="1" customHeight="1" x14ac:dyDescent="0.25">
      <c r="B52" s="8"/>
      <c r="C52" s="97">
        <v>30</v>
      </c>
      <c r="D52" s="69"/>
      <c r="E52" s="86"/>
      <c r="F52" s="86"/>
      <c r="G52" s="9"/>
    </row>
    <row r="53" spans="2:7" ht="15" hidden="1" customHeight="1" x14ac:dyDescent="0.25">
      <c r="B53" s="8"/>
      <c r="C53" s="97">
        <v>31</v>
      </c>
      <c r="D53" s="69"/>
      <c r="E53" s="86"/>
      <c r="F53" s="86"/>
      <c r="G53" s="9"/>
    </row>
    <row r="54" spans="2:7" ht="15" hidden="1" customHeight="1" x14ac:dyDescent="0.25">
      <c r="B54" s="8"/>
      <c r="C54" s="97">
        <v>32</v>
      </c>
      <c r="D54" s="69"/>
      <c r="E54" s="86"/>
      <c r="F54" s="86"/>
      <c r="G54" s="9"/>
    </row>
    <row r="55" spans="2:7" ht="15" hidden="1" customHeight="1" x14ac:dyDescent="0.25">
      <c r="B55" s="8"/>
      <c r="C55" s="97">
        <v>33</v>
      </c>
      <c r="D55" s="69"/>
      <c r="E55" s="86"/>
      <c r="F55" s="86"/>
      <c r="G55" s="9"/>
    </row>
    <row r="56" spans="2:7" ht="15" hidden="1" customHeight="1" x14ac:dyDescent="0.25">
      <c r="B56" s="8"/>
      <c r="C56" s="97">
        <v>34</v>
      </c>
      <c r="D56" s="69"/>
      <c r="E56" s="86"/>
      <c r="F56" s="86"/>
      <c r="G56" s="9"/>
    </row>
    <row r="57" spans="2:7" ht="15" hidden="1" customHeight="1" x14ac:dyDescent="0.25">
      <c r="B57" s="8"/>
      <c r="C57" s="97">
        <v>35</v>
      </c>
      <c r="D57" s="69"/>
      <c r="E57" s="86"/>
      <c r="F57" s="86"/>
      <c r="G57" s="9"/>
    </row>
    <row r="58" spans="2:7" ht="15" hidden="1" customHeight="1" x14ac:dyDescent="0.25">
      <c r="B58" s="8"/>
      <c r="C58" s="97">
        <v>36</v>
      </c>
      <c r="D58" s="69"/>
      <c r="E58" s="86"/>
      <c r="F58" s="86"/>
      <c r="G58" s="9"/>
    </row>
    <row r="59" spans="2:7" ht="15" hidden="1" customHeight="1" x14ac:dyDescent="0.25">
      <c r="B59" s="8"/>
      <c r="C59" s="97">
        <v>37</v>
      </c>
      <c r="D59" s="69"/>
      <c r="E59" s="86"/>
      <c r="F59" s="86"/>
      <c r="G59" s="9"/>
    </row>
    <row r="60" spans="2:7" ht="15" hidden="1" customHeight="1" x14ac:dyDescent="0.25">
      <c r="B60" s="8"/>
      <c r="C60" s="97">
        <v>38</v>
      </c>
      <c r="D60" s="69"/>
      <c r="E60" s="86"/>
      <c r="F60" s="86"/>
      <c r="G60" s="9"/>
    </row>
    <row r="61" spans="2:7" ht="15" hidden="1" customHeight="1" x14ac:dyDescent="0.25">
      <c r="B61" s="8"/>
      <c r="C61" s="97">
        <v>39</v>
      </c>
      <c r="D61" s="69"/>
      <c r="E61" s="86"/>
      <c r="F61" s="86"/>
      <c r="G61" s="9"/>
    </row>
    <row r="62" spans="2:7" ht="15" hidden="1" customHeight="1" x14ac:dyDescent="0.25">
      <c r="B62" s="8"/>
      <c r="C62" s="97">
        <v>40</v>
      </c>
      <c r="D62" s="69"/>
      <c r="E62" s="86"/>
      <c r="F62" s="86"/>
      <c r="G62" s="9"/>
    </row>
    <row r="63" spans="2:7" ht="15" hidden="1" customHeight="1" x14ac:dyDescent="0.25">
      <c r="B63" s="8"/>
      <c r="C63" s="97">
        <v>41</v>
      </c>
      <c r="D63" s="69"/>
      <c r="E63" s="86"/>
      <c r="F63" s="86"/>
      <c r="G63" s="9"/>
    </row>
    <row r="64" spans="2:7" ht="15" hidden="1" customHeight="1" x14ac:dyDescent="0.25">
      <c r="B64" s="8"/>
      <c r="C64" s="97">
        <v>42</v>
      </c>
      <c r="D64" s="69"/>
      <c r="E64" s="86"/>
      <c r="F64" s="86"/>
      <c r="G64" s="9"/>
    </row>
    <row r="65" spans="2:7" ht="15" hidden="1" customHeight="1" x14ac:dyDescent="0.25">
      <c r="B65" s="8"/>
      <c r="C65" s="97">
        <v>43</v>
      </c>
      <c r="D65" s="69"/>
      <c r="E65" s="86"/>
      <c r="F65" s="86"/>
      <c r="G65" s="9"/>
    </row>
    <row r="66" spans="2:7" ht="15" hidden="1" customHeight="1" x14ac:dyDescent="0.25">
      <c r="B66" s="8"/>
      <c r="C66" s="97">
        <v>44</v>
      </c>
      <c r="D66" s="69"/>
      <c r="E66" s="86"/>
      <c r="F66" s="86"/>
      <c r="G66" s="9"/>
    </row>
    <row r="67" spans="2:7" ht="15" hidden="1" customHeight="1" x14ac:dyDescent="0.25">
      <c r="B67" s="8"/>
      <c r="C67" s="97">
        <v>45</v>
      </c>
      <c r="D67" s="69"/>
      <c r="E67" s="86"/>
      <c r="F67" s="86"/>
      <c r="G67" s="9"/>
    </row>
    <row r="68" spans="2:7" ht="15" hidden="1" customHeight="1" x14ac:dyDescent="0.25">
      <c r="B68" s="8"/>
      <c r="C68" s="97">
        <v>46</v>
      </c>
      <c r="D68" s="69"/>
      <c r="E68" s="86"/>
      <c r="F68" s="86"/>
      <c r="G68" s="9"/>
    </row>
    <row r="69" spans="2:7" ht="15" hidden="1" customHeight="1" x14ac:dyDescent="0.25">
      <c r="B69" s="8"/>
      <c r="C69" s="97">
        <v>47</v>
      </c>
      <c r="D69" s="69"/>
      <c r="E69" s="86"/>
      <c r="F69" s="86"/>
      <c r="G69" s="9"/>
    </row>
    <row r="70" spans="2:7" ht="15" hidden="1" customHeight="1" x14ac:dyDescent="0.25">
      <c r="B70" s="8"/>
      <c r="C70" s="97">
        <v>48</v>
      </c>
      <c r="D70" s="69"/>
      <c r="E70" s="86"/>
      <c r="F70" s="86"/>
      <c r="G70" s="9"/>
    </row>
    <row r="71" spans="2:7" ht="15" hidden="1" customHeight="1" x14ac:dyDescent="0.25">
      <c r="B71" s="8"/>
      <c r="C71" s="97">
        <v>49</v>
      </c>
      <c r="D71" s="69"/>
      <c r="E71" s="86"/>
      <c r="F71" s="86"/>
      <c r="G71" s="9"/>
    </row>
    <row r="72" spans="2:7" ht="15" hidden="1" customHeight="1" x14ac:dyDescent="0.25">
      <c r="B72" s="8"/>
      <c r="C72" s="97">
        <v>50</v>
      </c>
      <c r="D72" s="69"/>
      <c r="E72" s="86"/>
      <c r="F72" s="86"/>
      <c r="G72" s="9"/>
    </row>
    <row r="73" spans="2:7" ht="15" hidden="1" customHeight="1" x14ac:dyDescent="0.25">
      <c r="B73" s="8"/>
      <c r="C73" s="97">
        <v>51</v>
      </c>
      <c r="D73" s="69"/>
      <c r="E73" s="86"/>
      <c r="F73" s="86"/>
      <c r="G73" s="9"/>
    </row>
    <row r="74" spans="2:7" ht="15" hidden="1" customHeight="1" x14ac:dyDescent="0.25">
      <c r="B74" s="8"/>
      <c r="C74" s="97">
        <v>52</v>
      </c>
      <c r="D74" s="69"/>
      <c r="E74" s="86"/>
      <c r="F74" s="86"/>
      <c r="G74" s="9"/>
    </row>
    <row r="75" spans="2:7" ht="15" hidden="1" customHeight="1" x14ac:dyDescent="0.25">
      <c r="B75" s="8"/>
      <c r="C75" s="97">
        <v>53</v>
      </c>
      <c r="D75" s="69"/>
      <c r="E75" s="86"/>
      <c r="F75" s="86"/>
      <c r="G75" s="9"/>
    </row>
    <row r="76" spans="2:7" ht="15" hidden="1" customHeight="1" x14ac:dyDescent="0.25">
      <c r="B76" s="8"/>
      <c r="C76" s="97">
        <v>54</v>
      </c>
      <c r="D76" s="69"/>
      <c r="E76" s="86"/>
      <c r="F76" s="86"/>
      <c r="G76" s="9"/>
    </row>
    <row r="77" spans="2:7" ht="15" hidden="1" customHeight="1" x14ac:dyDescent="0.25">
      <c r="B77" s="8"/>
      <c r="C77" s="97">
        <v>55</v>
      </c>
      <c r="D77" s="69"/>
      <c r="E77" s="86"/>
      <c r="F77" s="86"/>
      <c r="G77" s="9"/>
    </row>
    <row r="78" spans="2:7" ht="15" hidden="1" customHeight="1" x14ac:dyDescent="0.25">
      <c r="B78" s="8"/>
      <c r="C78" s="97">
        <v>56</v>
      </c>
      <c r="D78" s="69"/>
      <c r="E78" s="86"/>
      <c r="F78" s="86"/>
      <c r="G78" s="9"/>
    </row>
    <row r="79" spans="2:7" ht="15" hidden="1" customHeight="1" x14ac:dyDescent="0.25">
      <c r="B79" s="8"/>
      <c r="C79" s="97">
        <v>57</v>
      </c>
      <c r="D79" s="69"/>
      <c r="E79" s="86"/>
      <c r="F79" s="86"/>
      <c r="G79" s="9"/>
    </row>
    <row r="80" spans="2:7" ht="15" hidden="1" customHeight="1" x14ac:dyDescent="0.25">
      <c r="B80" s="8"/>
      <c r="C80" s="97">
        <v>58</v>
      </c>
      <c r="D80" s="69"/>
      <c r="E80" s="86"/>
      <c r="F80" s="86"/>
      <c r="G80" s="9"/>
    </row>
    <row r="81" spans="2:7" ht="15" hidden="1" customHeight="1" x14ac:dyDescent="0.25">
      <c r="B81" s="8"/>
      <c r="C81" s="97">
        <v>59</v>
      </c>
      <c r="D81" s="69"/>
      <c r="E81" s="86"/>
      <c r="F81" s="86"/>
      <c r="G81" s="9"/>
    </row>
    <row r="82" spans="2:7" ht="15" hidden="1" customHeight="1" x14ac:dyDescent="0.25">
      <c r="B82" s="8"/>
      <c r="C82" s="97">
        <v>60</v>
      </c>
      <c r="D82" s="69"/>
      <c r="E82" s="86"/>
      <c r="F82" s="86"/>
      <c r="G82" s="9"/>
    </row>
    <row r="83" spans="2:7" ht="15" hidden="1" customHeight="1" x14ac:dyDescent="0.25">
      <c r="B83" s="8"/>
      <c r="C83" s="97">
        <v>61</v>
      </c>
      <c r="D83" s="69"/>
      <c r="E83" s="86"/>
      <c r="F83" s="86"/>
      <c r="G83" s="9"/>
    </row>
    <row r="84" spans="2:7" ht="15" hidden="1" customHeight="1" x14ac:dyDescent="0.25">
      <c r="B84" s="8"/>
      <c r="C84" s="97">
        <v>62</v>
      </c>
      <c r="D84" s="69"/>
      <c r="E84" s="86"/>
      <c r="F84" s="86"/>
      <c r="G84" s="9"/>
    </row>
    <row r="85" spans="2:7" ht="15" hidden="1" customHeight="1" x14ac:dyDescent="0.25">
      <c r="B85" s="8"/>
      <c r="C85" s="97">
        <v>63</v>
      </c>
      <c r="D85" s="69"/>
      <c r="E85" s="86"/>
      <c r="F85" s="86"/>
      <c r="G85" s="9"/>
    </row>
    <row r="86" spans="2:7" ht="15" hidden="1" customHeight="1" x14ac:dyDescent="0.25">
      <c r="B86" s="8"/>
      <c r="C86" s="97">
        <v>64</v>
      </c>
      <c r="D86" s="69"/>
      <c r="E86" s="86"/>
      <c r="F86" s="86"/>
      <c r="G86" s="9"/>
    </row>
    <row r="87" spans="2:7" ht="15" hidden="1" customHeight="1" x14ac:dyDescent="0.25">
      <c r="B87" s="8"/>
      <c r="C87" s="97">
        <v>65</v>
      </c>
      <c r="D87" s="69"/>
      <c r="E87" s="86"/>
      <c r="F87" s="86"/>
      <c r="G87" s="9"/>
    </row>
    <row r="88" spans="2:7" ht="15" hidden="1" customHeight="1" x14ac:dyDescent="0.25">
      <c r="B88" s="8"/>
      <c r="C88" s="97">
        <v>66</v>
      </c>
      <c r="D88" s="69"/>
      <c r="E88" s="86"/>
      <c r="F88" s="86"/>
      <c r="G88" s="9"/>
    </row>
    <row r="89" spans="2:7" ht="15" hidden="1" customHeight="1" x14ac:dyDescent="0.25">
      <c r="B89" s="8"/>
      <c r="C89" s="97">
        <v>67</v>
      </c>
      <c r="D89" s="69"/>
      <c r="E89" s="86"/>
      <c r="F89" s="86"/>
      <c r="G89" s="9"/>
    </row>
    <row r="90" spans="2:7" ht="15" hidden="1" customHeight="1" x14ac:dyDescent="0.25">
      <c r="B90" s="8"/>
      <c r="C90" s="97">
        <v>68</v>
      </c>
      <c r="D90" s="69"/>
      <c r="E90" s="86"/>
      <c r="F90" s="86"/>
      <c r="G90" s="9"/>
    </row>
    <row r="91" spans="2:7" ht="15" hidden="1" customHeight="1" x14ac:dyDescent="0.25">
      <c r="B91" s="8"/>
      <c r="C91" s="97">
        <v>69</v>
      </c>
      <c r="D91" s="69"/>
      <c r="E91" s="86"/>
      <c r="F91" s="86"/>
      <c r="G91" s="9"/>
    </row>
    <row r="92" spans="2:7" ht="15" hidden="1" customHeight="1" x14ac:dyDescent="0.25">
      <c r="B92" s="8"/>
      <c r="C92" s="97">
        <v>70</v>
      </c>
      <c r="D92" s="69"/>
      <c r="E92" s="86"/>
      <c r="F92" s="86"/>
      <c r="G92" s="9"/>
    </row>
    <row r="93" spans="2:7" ht="15" hidden="1" customHeight="1" x14ac:dyDescent="0.25">
      <c r="B93" s="8"/>
      <c r="C93" s="97">
        <v>71</v>
      </c>
      <c r="D93" s="69"/>
      <c r="E93" s="86"/>
      <c r="F93" s="86"/>
      <c r="G93" s="9"/>
    </row>
    <row r="94" spans="2:7" ht="15" hidden="1" customHeight="1" x14ac:dyDescent="0.25">
      <c r="B94" s="8"/>
      <c r="C94" s="97">
        <v>72</v>
      </c>
      <c r="D94" s="69"/>
      <c r="E94" s="86"/>
      <c r="F94" s="86"/>
      <c r="G94" s="9"/>
    </row>
    <row r="95" spans="2:7" ht="15" hidden="1" customHeight="1" x14ac:dyDescent="0.25">
      <c r="B95" s="8"/>
      <c r="C95" s="97">
        <v>73</v>
      </c>
      <c r="D95" s="69"/>
      <c r="E95" s="86"/>
      <c r="F95" s="86"/>
      <c r="G95" s="9"/>
    </row>
    <row r="96" spans="2:7" ht="15" hidden="1" customHeight="1" x14ac:dyDescent="0.25">
      <c r="B96" s="8"/>
      <c r="C96" s="97">
        <v>74</v>
      </c>
      <c r="D96" s="69"/>
      <c r="E96" s="86"/>
      <c r="F96" s="86"/>
      <c r="G96" s="9"/>
    </row>
    <row r="97" spans="2:7" ht="15" hidden="1" customHeight="1" x14ac:dyDescent="0.25">
      <c r="B97" s="8"/>
      <c r="C97" s="97">
        <v>75</v>
      </c>
      <c r="D97" s="69"/>
      <c r="E97" s="86"/>
      <c r="F97" s="86"/>
      <c r="G97" s="9"/>
    </row>
    <row r="98" spans="2:7" ht="15" hidden="1" customHeight="1" x14ac:dyDescent="0.25">
      <c r="B98" s="8"/>
      <c r="C98" s="97">
        <v>76</v>
      </c>
      <c r="D98" s="69"/>
      <c r="E98" s="86"/>
      <c r="F98" s="86"/>
      <c r="G98" s="9"/>
    </row>
    <row r="99" spans="2:7" ht="15" hidden="1" customHeight="1" x14ac:dyDescent="0.25">
      <c r="B99" s="8"/>
      <c r="C99" s="97">
        <v>77</v>
      </c>
      <c r="D99" s="69"/>
      <c r="E99" s="86"/>
      <c r="F99" s="86"/>
      <c r="G99" s="9"/>
    </row>
    <row r="100" spans="2:7" ht="15" hidden="1" customHeight="1" x14ac:dyDescent="0.25">
      <c r="B100" s="8"/>
      <c r="C100" s="97">
        <v>78</v>
      </c>
      <c r="D100" s="69"/>
      <c r="E100" s="86"/>
      <c r="F100" s="86"/>
      <c r="G100" s="9"/>
    </row>
    <row r="101" spans="2:7" ht="15" hidden="1" customHeight="1" x14ac:dyDescent="0.25">
      <c r="B101" s="8"/>
      <c r="C101" s="97">
        <v>79</v>
      </c>
      <c r="D101" s="69"/>
      <c r="E101" s="86"/>
      <c r="F101" s="86"/>
      <c r="G101" s="9"/>
    </row>
    <row r="102" spans="2:7" ht="15" hidden="1" customHeight="1" x14ac:dyDescent="0.25">
      <c r="B102" s="8"/>
      <c r="C102" s="97">
        <v>80</v>
      </c>
      <c r="D102" s="69"/>
      <c r="E102" s="86"/>
      <c r="F102" s="86"/>
      <c r="G102" s="9"/>
    </row>
    <row r="103" spans="2:7" ht="15" hidden="1" customHeight="1" x14ac:dyDescent="0.25">
      <c r="B103" s="8"/>
      <c r="C103" s="97">
        <v>81</v>
      </c>
      <c r="D103" s="69"/>
      <c r="E103" s="86"/>
      <c r="F103" s="86"/>
      <c r="G103" s="9"/>
    </row>
    <row r="104" spans="2:7" ht="15" hidden="1" customHeight="1" x14ac:dyDescent="0.25">
      <c r="B104" s="8"/>
      <c r="C104" s="97">
        <v>82</v>
      </c>
      <c r="D104" s="69"/>
      <c r="E104" s="86"/>
      <c r="F104" s="86"/>
      <c r="G104" s="9"/>
    </row>
    <row r="105" spans="2:7" ht="15" hidden="1" customHeight="1" x14ac:dyDescent="0.25">
      <c r="B105" s="8"/>
      <c r="C105" s="97">
        <v>83</v>
      </c>
      <c r="D105" s="69"/>
      <c r="E105" s="86"/>
      <c r="F105" s="86"/>
      <c r="G105" s="9"/>
    </row>
    <row r="106" spans="2:7" ht="15" hidden="1" customHeight="1" x14ac:dyDescent="0.25">
      <c r="B106" s="8"/>
      <c r="C106" s="97">
        <v>84</v>
      </c>
      <c r="D106" s="69"/>
      <c r="E106" s="86"/>
      <c r="F106" s="86"/>
      <c r="G106" s="9"/>
    </row>
    <row r="107" spans="2:7" ht="15" hidden="1" customHeight="1" x14ac:dyDescent="0.25">
      <c r="B107" s="8"/>
      <c r="C107" s="97">
        <v>85</v>
      </c>
      <c r="D107" s="69"/>
      <c r="E107" s="86"/>
      <c r="F107" s="86"/>
      <c r="G107" s="9"/>
    </row>
    <row r="108" spans="2:7" ht="15" hidden="1" customHeight="1" x14ac:dyDescent="0.25">
      <c r="B108" s="8"/>
      <c r="C108" s="97">
        <v>86</v>
      </c>
      <c r="D108" s="69"/>
      <c r="E108" s="86"/>
      <c r="F108" s="86"/>
      <c r="G108" s="9"/>
    </row>
    <row r="109" spans="2:7" ht="15" hidden="1" customHeight="1" x14ac:dyDescent="0.25">
      <c r="B109" s="8"/>
      <c r="C109" s="97">
        <v>87</v>
      </c>
      <c r="D109" s="69"/>
      <c r="E109" s="86"/>
      <c r="F109" s="86"/>
      <c r="G109" s="9"/>
    </row>
    <row r="110" spans="2:7" ht="15" hidden="1" customHeight="1" x14ac:dyDescent="0.25">
      <c r="B110" s="8"/>
      <c r="C110" s="97">
        <v>88</v>
      </c>
      <c r="D110" s="69"/>
      <c r="E110" s="86"/>
      <c r="F110" s="86"/>
      <c r="G110" s="9"/>
    </row>
    <row r="111" spans="2:7" ht="15" hidden="1" customHeight="1" x14ac:dyDescent="0.25">
      <c r="B111" s="8"/>
      <c r="C111" s="97">
        <v>89</v>
      </c>
      <c r="D111" s="69"/>
      <c r="E111" s="86"/>
      <c r="F111" s="86"/>
      <c r="G111" s="9"/>
    </row>
    <row r="112" spans="2:7" ht="15" hidden="1" customHeight="1" x14ac:dyDescent="0.25">
      <c r="B112" s="8"/>
      <c r="C112" s="97">
        <v>90</v>
      </c>
      <c r="D112" s="69"/>
      <c r="E112" s="86"/>
      <c r="F112" s="86"/>
      <c r="G112" s="9"/>
    </row>
    <row r="113" spans="2:7" ht="15" hidden="1" customHeight="1" x14ac:dyDescent="0.25">
      <c r="B113" s="8"/>
      <c r="C113" s="97">
        <v>91</v>
      </c>
      <c r="D113" s="69"/>
      <c r="E113" s="86"/>
      <c r="F113" s="86"/>
      <c r="G113" s="9"/>
    </row>
    <row r="114" spans="2:7" ht="15" hidden="1" customHeight="1" x14ac:dyDescent="0.25">
      <c r="B114" s="8"/>
      <c r="C114" s="97">
        <v>92</v>
      </c>
      <c r="D114" s="69"/>
      <c r="E114" s="86"/>
      <c r="F114" s="86"/>
      <c r="G114" s="9"/>
    </row>
    <row r="115" spans="2:7" ht="15" hidden="1" customHeight="1" x14ac:dyDescent="0.25">
      <c r="B115" s="8"/>
      <c r="C115" s="97">
        <v>93</v>
      </c>
      <c r="D115" s="69"/>
      <c r="E115" s="86"/>
      <c r="F115" s="86"/>
      <c r="G115" s="9"/>
    </row>
    <row r="116" spans="2:7" ht="15" hidden="1" customHeight="1" x14ac:dyDescent="0.25">
      <c r="B116" s="8"/>
      <c r="C116" s="97">
        <v>94</v>
      </c>
      <c r="D116" s="69"/>
      <c r="E116" s="86"/>
      <c r="F116" s="86"/>
      <c r="G116" s="9"/>
    </row>
    <row r="117" spans="2:7" ht="15" hidden="1" customHeight="1" x14ac:dyDescent="0.25">
      <c r="B117" s="8"/>
      <c r="C117" s="97">
        <v>95</v>
      </c>
      <c r="D117" s="69"/>
      <c r="E117" s="86"/>
      <c r="F117" s="86"/>
      <c r="G117" s="9"/>
    </row>
    <row r="118" spans="2:7" ht="15" hidden="1" customHeight="1" x14ac:dyDescent="0.25">
      <c r="B118" s="8"/>
      <c r="C118" s="97">
        <v>96</v>
      </c>
      <c r="D118" s="69"/>
      <c r="E118" s="86"/>
      <c r="F118" s="86"/>
      <c r="G118" s="9"/>
    </row>
    <row r="119" spans="2:7" ht="15" hidden="1" customHeight="1" x14ac:dyDescent="0.25">
      <c r="B119" s="8"/>
      <c r="C119" s="97">
        <v>97</v>
      </c>
      <c r="D119" s="69"/>
      <c r="E119" s="86"/>
      <c r="F119" s="86"/>
      <c r="G119" s="9"/>
    </row>
    <row r="120" spans="2:7" ht="15" hidden="1" customHeight="1" x14ac:dyDescent="0.25">
      <c r="B120" s="8"/>
      <c r="C120" s="97">
        <v>98</v>
      </c>
      <c r="D120" s="69"/>
      <c r="E120" s="86"/>
      <c r="F120" s="86"/>
      <c r="G120" s="9"/>
    </row>
    <row r="121" spans="2:7" ht="15" hidden="1" customHeight="1" x14ac:dyDescent="0.25">
      <c r="B121" s="8"/>
      <c r="C121" s="97">
        <v>99</v>
      </c>
      <c r="D121" s="69"/>
      <c r="E121" s="86"/>
      <c r="F121" s="86"/>
      <c r="G121" s="9"/>
    </row>
    <row r="122" spans="2:7" ht="15" hidden="1" customHeight="1" x14ac:dyDescent="0.25">
      <c r="B122" s="8"/>
      <c r="C122" s="97">
        <v>100</v>
      </c>
      <c r="D122" s="69"/>
      <c r="E122" s="86"/>
      <c r="F122" s="86"/>
      <c r="G122" s="9"/>
    </row>
    <row r="123" spans="2:7" ht="15" hidden="1" customHeight="1" x14ac:dyDescent="0.25">
      <c r="B123" s="8"/>
      <c r="C123" s="97">
        <v>101</v>
      </c>
      <c r="D123" s="69"/>
      <c r="E123" s="86"/>
      <c r="F123" s="86"/>
      <c r="G123" s="9"/>
    </row>
    <row r="124" spans="2:7" ht="15" hidden="1" customHeight="1" x14ac:dyDescent="0.25">
      <c r="B124" s="8"/>
      <c r="C124" s="97">
        <v>102</v>
      </c>
      <c r="D124" s="69"/>
      <c r="E124" s="86"/>
      <c r="F124" s="86"/>
      <c r="G124" s="9"/>
    </row>
    <row r="125" spans="2:7" ht="15" hidden="1" customHeight="1" x14ac:dyDescent="0.25">
      <c r="B125" s="8"/>
      <c r="C125" s="97">
        <v>103</v>
      </c>
      <c r="D125" s="69"/>
      <c r="E125" s="86"/>
      <c r="F125" s="86"/>
      <c r="G125" s="9"/>
    </row>
    <row r="126" spans="2:7" ht="15" hidden="1" customHeight="1" x14ac:dyDescent="0.25">
      <c r="B126" s="8"/>
      <c r="C126" s="97">
        <v>104</v>
      </c>
      <c r="D126" s="69"/>
      <c r="E126" s="86"/>
      <c r="F126" s="86"/>
      <c r="G126" s="9"/>
    </row>
    <row r="127" spans="2:7" ht="15" hidden="1" customHeight="1" x14ac:dyDescent="0.25">
      <c r="B127" s="8"/>
      <c r="C127" s="97">
        <v>105</v>
      </c>
      <c r="D127" s="69"/>
      <c r="E127" s="86"/>
      <c r="F127" s="86"/>
      <c r="G127" s="9"/>
    </row>
    <row r="128" spans="2:7" ht="15" hidden="1" customHeight="1" x14ac:dyDescent="0.25">
      <c r="B128" s="8"/>
      <c r="C128" s="97">
        <v>106</v>
      </c>
      <c r="D128" s="69"/>
      <c r="E128" s="86"/>
      <c r="F128" s="86"/>
      <c r="G128" s="9"/>
    </row>
    <row r="129" spans="2:7" ht="15" hidden="1" customHeight="1" x14ac:dyDescent="0.25">
      <c r="B129" s="8"/>
      <c r="C129" s="97">
        <v>107</v>
      </c>
      <c r="D129" s="69"/>
      <c r="E129" s="86"/>
      <c r="F129" s="86"/>
      <c r="G129" s="9"/>
    </row>
    <row r="130" spans="2:7" ht="15" hidden="1" customHeight="1" x14ac:dyDescent="0.25">
      <c r="B130" s="8"/>
      <c r="C130" s="97">
        <v>108</v>
      </c>
      <c r="D130" s="69"/>
      <c r="E130" s="86"/>
      <c r="F130" s="86"/>
      <c r="G130" s="9"/>
    </row>
    <row r="131" spans="2:7" ht="15" hidden="1" customHeight="1" x14ac:dyDescent="0.25">
      <c r="B131" s="8"/>
      <c r="C131" s="97">
        <v>109</v>
      </c>
      <c r="D131" s="69"/>
      <c r="E131" s="86"/>
      <c r="F131" s="86"/>
      <c r="G131" s="9"/>
    </row>
    <row r="132" spans="2:7" ht="15" hidden="1" customHeight="1" x14ac:dyDescent="0.25">
      <c r="B132" s="8"/>
      <c r="C132" s="97">
        <v>110</v>
      </c>
      <c r="D132" s="69"/>
      <c r="E132" s="86"/>
      <c r="F132" s="86"/>
      <c r="G132" s="9"/>
    </row>
    <row r="133" spans="2:7" ht="15" hidden="1" customHeight="1" x14ac:dyDescent="0.25">
      <c r="B133" s="8"/>
      <c r="C133" s="97">
        <v>111</v>
      </c>
      <c r="D133" s="69"/>
      <c r="E133" s="86"/>
      <c r="F133" s="86"/>
      <c r="G133" s="9"/>
    </row>
    <row r="134" spans="2:7" ht="15" hidden="1" customHeight="1" x14ac:dyDescent="0.25">
      <c r="B134" s="8"/>
      <c r="C134" s="97">
        <v>112</v>
      </c>
      <c r="D134" s="69"/>
      <c r="E134" s="86"/>
      <c r="F134" s="86"/>
      <c r="G134" s="9"/>
    </row>
    <row r="135" spans="2:7" ht="15" hidden="1" customHeight="1" x14ac:dyDescent="0.25">
      <c r="B135" s="8"/>
      <c r="C135" s="97">
        <v>113</v>
      </c>
      <c r="D135" s="69"/>
      <c r="E135" s="86"/>
      <c r="F135" s="86"/>
      <c r="G135" s="9"/>
    </row>
    <row r="136" spans="2:7" ht="15" hidden="1" customHeight="1" x14ac:dyDescent="0.25">
      <c r="B136" s="8"/>
      <c r="C136" s="97">
        <v>114</v>
      </c>
      <c r="D136" s="69"/>
      <c r="E136" s="86"/>
      <c r="F136" s="86"/>
      <c r="G136" s="9"/>
    </row>
    <row r="137" spans="2:7" ht="15" hidden="1" customHeight="1" x14ac:dyDescent="0.25">
      <c r="B137" s="8"/>
      <c r="C137" s="97">
        <v>115</v>
      </c>
      <c r="D137" s="69"/>
      <c r="E137" s="86"/>
      <c r="F137" s="86"/>
      <c r="G137" s="9"/>
    </row>
    <row r="138" spans="2:7" ht="15" hidden="1" customHeight="1" x14ac:dyDescent="0.25">
      <c r="B138" s="8"/>
      <c r="C138" s="97">
        <v>116</v>
      </c>
      <c r="D138" s="69"/>
      <c r="E138" s="86"/>
      <c r="F138" s="86"/>
      <c r="G138" s="9"/>
    </row>
    <row r="139" spans="2:7" ht="15" hidden="1" customHeight="1" x14ac:dyDescent="0.25">
      <c r="B139" s="8"/>
      <c r="C139" s="97">
        <v>117</v>
      </c>
      <c r="D139" s="69"/>
      <c r="E139" s="86"/>
      <c r="F139" s="86"/>
      <c r="G139" s="9"/>
    </row>
    <row r="140" spans="2:7" ht="15" hidden="1" customHeight="1" x14ac:dyDescent="0.25">
      <c r="B140" s="8"/>
      <c r="C140" s="97">
        <v>118</v>
      </c>
      <c r="D140" s="69"/>
      <c r="E140" s="86"/>
      <c r="F140" s="86"/>
      <c r="G140" s="9"/>
    </row>
    <row r="141" spans="2:7" ht="15" hidden="1" customHeight="1" x14ac:dyDescent="0.25">
      <c r="B141" s="8"/>
      <c r="C141" s="97">
        <v>119</v>
      </c>
      <c r="D141" s="69"/>
      <c r="E141" s="86"/>
      <c r="F141" s="86"/>
      <c r="G141" s="9"/>
    </row>
    <row r="142" spans="2:7" ht="15" hidden="1" customHeight="1" x14ac:dyDescent="0.25">
      <c r="B142" s="8"/>
      <c r="C142" s="97">
        <v>120</v>
      </c>
      <c r="D142" s="69"/>
      <c r="E142" s="86"/>
      <c r="F142" s="86"/>
      <c r="G142" s="9"/>
    </row>
    <row r="143" spans="2:7" ht="15" hidden="1" customHeight="1" x14ac:dyDescent="0.25">
      <c r="B143" s="8"/>
      <c r="C143" s="97">
        <v>121</v>
      </c>
      <c r="D143" s="69"/>
      <c r="E143" s="86"/>
      <c r="F143" s="86"/>
      <c r="G143" s="9"/>
    </row>
    <row r="144" spans="2:7" ht="15" hidden="1" customHeight="1" x14ac:dyDescent="0.25">
      <c r="B144" s="8"/>
      <c r="C144" s="97">
        <v>122</v>
      </c>
      <c r="D144" s="69"/>
      <c r="E144" s="86"/>
      <c r="F144" s="86"/>
      <c r="G144" s="9"/>
    </row>
    <row r="145" spans="2:7" ht="15" hidden="1" customHeight="1" x14ac:dyDescent="0.25">
      <c r="B145" s="8"/>
      <c r="C145" s="97">
        <v>123</v>
      </c>
      <c r="D145" s="69"/>
      <c r="E145" s="86"/>
      <c r="F145" s="86"/>
      <c r="G145" s="9"/>
    </row>
    <row r="146" spans="2:7" ht="15" hidden="1" customHeight="1" x14ac:dyDescent="0.25">
      <c r="B146" s="8"/>
      <c r="C146" s="97">
        <v>124</v>
      </c>
      <c r="D146" s="69"/>
      <c r="E146" s="86"/>
      <c r="F146" s="86"/>
      <c r="G146" s="9"/>
    </row>
    <row r="147" spans="2:7" ht="15" hidden="1" customHeight="1" x14ac:dyDescent="0.25">
      <c r="B147" s="8"/>
      <c r="C147" s="97">
        <v>125</v>
      </c>
      <c r="D147" s="69"/>
      <c r="E147" s="86"/>
      <c r="F147" s="86"/>
      <c r="G147" s="9"/>
    </row>
    <row r="148" spans="2:7" ht="15" hidden="1" customHeight="1" x14ac:dyDescent="0.25">
      <c r="B148" s="8"/>
      <c r="C148" s="97">
        <v>126</v>
      </c>
      <c r="D148" s="69"/>
      <c r="E148" s="86"/>
      <c r="F148" s="86"/>
      <c r="G148" s="9"/>
    </row>
    <row r="149" spans="2:7" ht="15" hidden="1" customHeight="1" x14ac:dyDescent="0.25">
      <c r="B149" s="8"/>
      <c r="C149" s="97">
        <v>127</v>
      </c>
      <c r="D149" s="69"/>
      <c r="E149" s="86"/>
      <c r="F149" s="86"/>
      <c r="G149" s="9"/>
    </row>
    <row r="150" spans="2:7" ht="15" hidden="1" customHeight="1" x14ac:dyDescent="0.25">
      <c r="B150" s="8"/>
      <c r="C150" s="97">
        <v>128</v>
      </c>
      <c r="D150" s="69"/>
      <c r="E150" s="86"/>
      <c r="F150" s="86"/>
      <c r="G150" s="9"/>
    </row>
    <row r="151" spans="2:7" ht="15" hidden="1" customHeight="1" x14ac:dyDescent="0.25">
      <c r="B151" s="8"/>
      <c r="C151" s="97">
        <v>129</v>
      </c>
      <c r="D151" s="69"/>
      <c r="E151" s="86"/>
      <c r="F151" s="86"/>
      <c r="G151" s="9"/>
    </row>
    <row r="152" spans="2:7" ht="15" hidden="1" customHeight="1" x14ac:dyDescent="0.25">
      <c r="B152" s="8"/>
      <c r="C152" s="97">
        <v>130</v>
      </c>
      <c r="D152" s="69"/>
      <c r="E152" s="86"/>
      <c r="F152" s="86"/>
      <c r="G152" s="9"/>
    </row>
    <row r="153" spans="2:7" ht="15" hidden="1" customHeight="1" x14ac:dyDescent="0.25">
      <c r="B153" s="8"/>
      <c r="C153" s="97">
        <v>131</v>
      </c>
      <c r="D153" s="69"/>
      <c r="E153" s="86"/>
      <c r="F153" s="86"/>
      <c r="G153" s="9"/>
    </row>
    <row r="154" spans="2:7" ht="15" hidden="1" customHeight="1" x14ac:dyDescent="0.25">
      <c r="B154" s="8"/>
      <c r="C154" s="97">
        <v>132</v>
      </c>
      <c r="D154" s="69"/>
      <c r="E154" s="86"/>
      <c r="F154" s="86"/>
      <c r="G154" s="9"/>
    </row>
    <row r="155" spans="2:7" ht="15" hidden="1" customHeight="1" x14ac:dyDescent="0.25">
      <c r="B155" s="8"/>
      <c r="C155" s="97">
        <v>133</v>
      </c>
      <c r="D155" s="69"/>
      <c r="E155" s="86"/>
      <c r="F155" s="86"/>
      <c r="G155" s="9"/>
    </row>
    <row r="156" spans="2:7" ht="15" hidden="1" customHeight="1" x14ac:dyDescent="0.25">
      <c r="B156" s="8"/>
      <c r="C156" s="97">
        <v>134</v>
      </c>
      <c r="D156" s="69"/>
      <c r="E156" s="86"/>
      <c r="F156" s="86"/>
      <c r="G156" s="9"/>
    </row>
    <row r="157" spans="2:7" ht="15" hidden="1" customHeight="1" x14ac:dyDescent="0.25">
      <c r="B157" s="8"/>
      <c r="C157" s="97">
        <v>135</v>
      </c>
      <c r="D157" s="69"/>
      <c r="E157" s="86"/>
      <c r="F157" s="86"/>
      <c r="G157" s="9"/>
    </row>
    <row r="158" spans="2:7" ht="15" hidden="1" customHeight="1" x14ac:dyDescent="0.25">
      <c r="B158" s="8"/>
      <c r="C158" s="97">
        <v>136</v>
      </c>
      <c r="D158" s="69"/>
      <c r="E158" s="86"/>
      <c r="F158" s="86"/>
      <c r="G158" s="9"/>
    </row>
    <row r="159" spans="2:7" ht="15" hidden="1" customHeight="1" x14ac:dyDescent="0.25">
      <c r="B159" s="8"/>
      <c r="C159" s="97">
        <v>137</v>
      </c>
      <c r="D159" s="69"/>
      <c r="E159" s="86"/>
      <c r="F159" s="86"/>
      <c r="G159" s="9"/>
    </row>
    <row r="160" spans="2:7" ht="15" hidden="1" customHeight="1" x14ac:dyDescent="0.25">
      <c r="B160" s="8"/>
      <c r="C160" s="97">
        <v>138</v>
      </c>
      <c r="D160" s="69"/>
      <c r="E160" s="86"/>
      <c r="F160" s="86"/>
      <c r="G160" s="9"/>
    </row>
    <row r="161" spans="2:7" ht="15" hidden="1" customHeight="1" x14ac:dyDescent="0.25">
      <c r="B161" s="8"/>
      <c r="C161" s="97">
        <v>139</v>
      </c>
      <c r="D161" s="69"/>
      <c r="E161" s="86"/>
      <c r="F161" s="86"/>
      <c r="G161" s="9"/>
    </row>
    <row r="162" spans="2:7" ht="15" hidden="1" customHeight="1" x14ac:dyDescent="0.25">
      <c r="B162" s="8"/>
      <c r="C162" s="97">
        <v>140</v>
      </c>
      <c r="D162" s="69"/>
      <c r="E162" s="86"/>
      <c r="F162" s="86"/>
      <c r="G162" s="9"/>
    </row>
    <row r="163" spans="2:7" ht="15" hidden="1" customHeight="1" x14ac:dyDescent="0.25">
      <c r="B163" s="8"/>
      <c r="C163" s="97">
        <v>141</v>
      </c>
      <c r="D163" s="69"/>
      <c r="E163" s="86"/>
      <c r="F163" s="86"/>
      <c r="G163" s="9"/>
    </row>
    <row r="164" spans="2:7" ht="15" hidden="1" customHeight="1" x14ac:dyDescent="0.25">
      <c r="B164" s="8"/>
      <c r="C164" s="97">
        <v>142</v>
      </c>
      <c r="D164" s="69"/>
      <c r="E164" s="86"/>
      <c r="F164" s="86"/>
      <c r="G164" s="9"/>
    </row>
    <row r="165" spans="2:7" ht="15" hidden="1" customHeight="1" x14ac:dyDescent="0.25">
      <c r="B165" s="8"/>
      <c r="C165" s="97">
        <v>143</v>
      </c>
      <c r="D165" s="69"/>
      <c r="E165" s="86"/>
      <c r="F165" s="86"/>
      <c r="G165" s="9"/>
    </row>
    <row r="166" spans="2:7" ht="15" hidden="1" customHeight="1" x14ac:dyDescent="0.25">
      <c r="B166" s="8"/>
      <c r="C166" s="97">
        <v>144</v>
      </c>
      <c r="D166" s="69"/>
      <c r="E166" s="86"/>
      <c r="F166" s="86"/>
      <c r="G166" s="9"/>
    </row>
    <row r="167" spans="2:7" ht="15" hidden="1" customHeight="1" x14ac:dyDescent="0.25">
      <c r="B167" s="8"/>
      <c r="C167" s="97">
        <v>145</v>
      </c>
      <c r="D167" s="69"/>
      <c r="E167" s="86"/>
      <c r="F167" s="86"/>
      <c r="G167" s="9"/>
    </row>
    <row r="168" spans="2:7" ht="15" hidden="1" customHeight="1" x14ac:dyDescent="0.25">
      <c r="B168" s="8"/>
      <c r="C168" s="97">
        <v>146</v>
      </c>
      <c r="D168" s="69"/>
      <c r="E168" s="86"/>
      <c r="F168" s="86"/>
      <c r="G168" s="9"/>
    </row>
    <row r="169" spans="2:7" ht="15" hidden="1" customHeight="1" x14ac:dyDescent="0.25">
      <c r="B169" s="8"/>
      <c r="C169" s="97">
        <v>147</v>
      </c>
      <c r="D169" s="69"/>
      <c r="E169" s="86"/>
      <c r="F169" s="86"/>
      <c r="G169" s="9"/>
    </row>
    <row r="170" spans="2:7" ht="15" hidden="1" customHeight="1" x14ac:dyDescent="0.25">
      <c r="B170" s="8"/>
      <c r="C170" s="97">
        <v>148</v>
      </c>
      <c r="D170" s="69"/>
      <c r="E170" s="86"/>
      <c r="F170" s="86"/>
      <c r="G170" s="9"/>
    </row>
    <row r="171" spans="2:7" ht="15" hidden="1" customHeight="1" x14ac:dyDescent="0.25">
      <c r="B171" s="8"/>
      <c r="C171" s="97">
        <v>149</v>
      </c>
      <c r="D171" s="69"/>
      <c r="E171" s="86"/>
      <c r="F171" s="86"/>
      <c r="G171" s="9"/>
    </row>
    <row r="172" spans="2:7" ht="15" hidden="1" customHeight="1" x14ac:dyDescent="0.25">
      <c r="B172" s="8"/>
      <c r="C172" s="97">
        <v>150</v>
      </c>
      <c r="D172" s="69"/>
      <c r="E172" s="86"/>
      <c r="F172" s="86"/>
      <c r="G172" s="9"/>
    </row>
    <row r="173" spans="2:7" ht="15" hidden="1" customHeight="1" x14ac:dyDescent="0.25">
      <c r="B173" s="8"/>
      <c r="C173" s="97">
        <v>151</v>
      </c>
      <c r="D173" s="69"/>
      <c r="E173" s="86"/>
      <c r="F173" s="86"/>
      <c r="G173" s="9"/>
    </row>
    <row r="174" spans="2:7" ht="15" hidden="1" customHeight="1" x14ac:dyDescent="0.25">
      <c r="B174" s="8"/>
      <c r="C174" s="97">
        <v>152</v>
      </c>
      <c r="D174" s="69"/>
      <c r="E174" s="86"/>
      <c r="F174" s="86"/>
      <c r="G174" s="9"/>
    </row>
    <row r="175" spans="2:7" ht="15" hidden="1" customHeight="1" x14ac:dyDescent="0.25">
      <c r="B175" s="8"/>
      <c r="C175" s="97">
        <v>153</v>
      </c>
      <c r="D175" s="69"/>
      <c r="E175" s="86"/>
      <c r="F175" s="86"/>
      <c r="G175" s="9"/>
    </row>
    <row r="176" spans="2:7" ht="15" hidden="1" customHeight="1" x14ac:dyDescent="0.25">
      <c r="B176" s="8"/>
      <c r="C176" s="97">
        <v>154</v>
      </c>
      <c r="D176" s="69"/>
      <c r="E176" s="86"/>
      <c r="F176" s="86"/>
      <c r="G176" s="9"/>
    </row>
    <row r="177" spans="2:7" ht="15" hidden="1" customHeight="1" x14ac:dyDescent="0.25">
      <c r="B177" s="8"/>
      <c r="C177" s="97">
        <v>155</v>
      </c>
      <c r="D177" s="69"/>
      <c r="E177" s="86"/>
      <c r="F177" s="86"/>
      <c r="G177" s="9"/>
    </row>
    <row r="178" spans="2:7" ht="15" hidden="1" customHeight="1" x14ac:dyDescent="0.25">
      <c r="B178" s="8"/>
      <c r="C178" s="97">
        <v>156</v>
      </c>
      <c r="D178" s="69"/>
      <c r="E178" s="86"/>
      <c r="F178" s="86"/>
      <c r="G178" s="9"/>
    </row>
    <row r="179" spans="2:7" ht="15" hidden="1" customHeight="1" x14ac:dyDescent="0.25">
      <c r="B179" s="8"/>
      <c r="C179" s="97">
        <v>157</v>
      </c>
      <c r="D179" s="69"/>
      <c r="E179" s="86"/>
      <c r="F179" s="86"/>
      <c r="G179" s="9"/>
    </row>
    <row r="180" spans="2:7" ht="15" hidden="1" customHeight="1" x14ac:dyDescent="0.25">
      <c r="B180" s="8"/>
      <c r="C180" s="97">
        <v>158</v>
      </c>
      <c r="D180" s="69"/>
      <c r="E180" s="86"/>
      <c r="F180" s="86"/>
      <c r="G180" s="9"/>
    </row>
    <row r="181" spans="2:7" ht="15" hidden="1" customHeight="1" x14ac:dyDescent="0.25">
      <c r="B181" s="8"/>
      <c r="C181" s="97">
        <v>159</v>
      </c>
      <c r="D181" s="69"/>
      <c r="E181" s="86"/>
      <c r="F181" s="86"/>
      <c r="G181" s="9"/>
    </row>
    <row r="182" spans="2:7" ht="15" hidden="1" customHeight="1" x14ac:dyDescent="0.25">
      <c r="B182" s="8"/>
      <c r="C182" s="97">
        <v>160</v>
      </c>
      <c r="D182" s="69"/>
      <c r="E182" s="86"/>
      <c r="F182" s="86"/>
      <c r="G182" s="9"/>
    </row>
    <row r="183" spans="2:7" ht="15" hidden="1" customHeight="1" x14ac:dyDescent="0.25">
      <c r="B183" s="8"/>
      <c r="C183" s="97">
        <v>161</v>
      </c>
      <c r="D183" s="69"/>
      <c r="E183" s="86"/>
      <c r="F183" s="86"/>
      <c r="G183" s="9"/>
    </row>
    <row r="184" spans="2:7" ht="15" hidden="1" customHeight="1" x14ac:dyDescent="0.25">
      <c r="B184" s="8"/>
      <c r="C184" s="97">
        <v>162</v>
      </c>
      <c r="D184" s="69"/>
      <c r="E184" s="86"/>
      <c r="F184" s="86"/>
      <c r="G184" s="9"/>
    </row>
    <row r="185" spans="2:7" ht="15" hidden="1" customHeight="1" x14ac:dyDescent="0.25">
      <c r="B185" s="8"/>
      <c r="C185" s="97">
        <v>163</v>
      </c>
      <c r="D185" s="69"/>
      <c r="E185" s="86"/>
      <c r="F185" s="86"/>
      <c r="G185" s="9"/>
    </row>
    <row r="186" spans="2:7" ht="15" hidden="1" customHeight="1" x14ac:dyDescent="0.25">
      <c r="B186" s="8"/>
      <c r="C186" s="97">
        <v>164</v>
      </c>
      <c r="D186" s="69"/>
      <c r="E186" s="86"/>
      <c r="F186" s="86"/>
      <c r="G186" s="9"/>
    </row>
    <row r="187" spans="2:7" ht="15" hidden="1" customHeight="1" x14ac:dyDescent="0.25">
      <c r="B187" s="8"/>
      <c r="C187" s="97">
        <v>165</v>
      </c>
      <c r="D187" s="69"/>
      <c r="E187" s="86"/>
      <c r="F187" s="86"/>
      <c r="G187" s="9"/>
    </row>
    <row r="188" spans="2:7" ht="15" hidden="1" customHeight="1" x14ac:dyDescent="0.25">
      <c r="B188" s="8"/>
      <c r="C188" s="97">
        <v>166</v>
      </c>
      <c r="D188" s="69"/>
      <c r="E188" s="86"/>
      <c r="F188" s="86"/>
      <c r="G188" s="9"/>
    </row>
    <row r="189" spans="2:7" ht="15" hidden="1" customHeight="1" x14ac:dyDescent="0.25">
      <c r="B189" s="8"/>
      <c r="C189" s="97">
        <v>167</v>
      </c>
      <c r="D189" s="69"/>
      <c r="E189" s="86"/>
      <c r="F189" s="86"/>
      <c r="G189" s="9"/>
    </row>
    <row r="190" spans="2:7" ht="15" hidden="1" customHeight="1" x14ac:dyDescent="0.25">
      <c r="B190" s="8"/>
      <c r="C190" s="97">
        <v>168</v>
      </c>
      <c r="D190" s="69"/>
      <c r="E190" s="86"/>
      <c r="F190" s="86"/>
      <c r="G190" s="9"/>
    </row>
    <row r="191" spans="2:7" ht="15" hidden="1" customHeight="1" x14ac:dyDescent="0.25">
      <c r="B191" s="8"/>
      <c r="C191" s="97">
        <v>169</v>
      </c>
      <c r="D191" s="69"/>
      <c r="E191" s="86"/>
      <c r="F191" s="86"/>
      <c r="G191" s="9"/>
    </row>
    <row r="192" spans="2:7" ht="15" hidden="1" customHeight="1" x14ac:dyDescent="0.25">
      <c r="B192" s="8"/>
      <c r="C192" s="97">
        <v>170</v>
      </c>
      <c r="D192" s="69"/>
      <c r="E192" s="86"/>
      <c r="F192" s="86"/>
      <c r="G192" s="9"/>
    </row>
    <row r="193" spans="2:7" ht="15" hidden="1" customHeight="1" x14ac:dyDescent="0.25">
      <c r="B193" s="8"/>
      <c r="C193" s="97">
        <v>171</v>
      </c>
      <c r="D193" s="69"/>
      <c r="E193" s="86"/>
      <c r="F193" s="86"/>
      <c r="G193" s="9"/>
    </row>
    <row r="194" spans="2:7" ht="15" hidden="1" customHeight="1" x14ac:dyDescent="0.25">
      <c r="B194" s="8"/>
      <c r="C194" s="97">
        <v>172</v>
      </c>
      <c r="D194" s="69"/>
      <c r="E194" s="86"/>
      <c r="F194" s="86"/>
      <c r="G194" s="9"/>
    </row>
    <row r="195" spans="2:7" ht="15" hidden="1" customHeight="1" x14ac:dyDescent="0.25">
      <c r="B195" s="8"/>
      <c r="C195" s="97">
        <v>173</v>
      </c>
      <c r="D195" s="69"/>
      <c r="E195" s="86"/>
      <c r="F195" s="86"/>
      <c r="G195" s="9"/>
    </row>
    <row r="196" spans="2:7" ht="15" hidden="1" customHeight="1" x14ac:dyDescent="0.25">
      <c r="B196" s="8"/>
      <c r="C196" s="97">
        <v>174</v>
      </c>
      <c r="D196" s="69"/>
      <c r="E196" s="86"/>
      <c r="F196" s="86"/>
      <c r="G196" s="9"/>
    </row>
    <row r="197" spans="2:7" ht="15" hidden="1" customHeight="1" x14ac:dyDescent="0.25">
      <c r="B197" s="8"/>
      <c r="C197" s="97">
        <v>175</v>
      </c>
      <c r="D197" s="69"/>
      <c r="E197" s="86"/>
      <c r="F197" s="86"/>
      <c r="G197" s="9"/>
    </row>
    <row r="198" spans="2:7" ht="15" hidden="1" customHeight="1" x14ac:dyDescent="0.25">
      <c r="B198" s="8"/>
      <c r="C198" s="97">
        <v>176</v>
      </c>
      <c r="D198" s="69"/>
      <c r="E198" s="86"/>
      <c r="F198" s="86"/>
      <c r="G198" s="9"/>
    </row>
    <row r="199" spans="2:7" ht="15" hidden="1" customHeight="1" x14ac:dyDescent="0.25">
      <c r="B199" s="8"/>
      <c r="C199" s="97">
        <v>177</v>
      </c>
      <c r="D199" s="69"/>
      <c r="E199" s="86"/>
      <c r="F199" s="86"/>
      <c r="G199" s="9"/>
    </row>
    <row r="200" spans="2:7" ht="15" hidden="1" customHeight="1" x14ac:dyDescent="0.25">
      <c r="B200" s="8"/>
      <c r="C200" s="97">
        <v>178</v>
      </c>
      <c r="D200" s="69"/>
      <c r="E200" s="86"/>
      <c r="F200" s="86"/>
      <c r="G200" s="9"/>
    </row>
    <row r="201" spans="2:7" ht="15" hidden="1" customHeight="1" x14ac:dyDescent="0.25">
      <c r="B201" s="8"/>
      <c r="C201" s="97">
        <v>179</v>
      </c>
      <c r="D201" s="69"/>
      <c r="E201" s="86"/>
      <c r="F201" s="86"/>
      <c r="G201" s="9"/>
    </row>
    <row r="202" spans="2:7" ht="15" hidden="1" customHeight="1" x14ac:dyDescent="0.25">
      <c r="B202" s="8"/>
      <c r="C202" s="97">
        <v>180</v>
      </c>
      <c r="D202" s="69"/>
      <c r="E202" s="86"/>
      <c r="F202" s="86"/>
      <c r="G202" s="9"/>
    </row>
    <row r="203" spans="2:7" ht="15" hidden="1" customHeight="1" x14ac:dyDescent="0.25">
      <c r="B203" s="8"/>
      <c r="C203" s="97">
        <v>181</v>
      </c>
      <c r="D203" s="69"/>
      <c r="E203" s="86"/>
      <c r="F203" s="86"/>
      <c r="G203" s="9"/>
    </row>
    <row r="204" spans="2:7" ht="15" hidden="1" customHeight="1" x14ac:dyDescent="0.25">
      <c r="B204" s="8"/>
      <c r="C204" s="97">
        <v>182</v>
      </c>
      <c r="D204" s="69"/>
      <c r="E204" s="86"/>
      <c r="F204" s="86"/>
      <c r="G204" s="9"/>
    </row>
    <row r="205" spans="2:7" ht="15" hidden="1" customHeight="1" x14ac:dyDescent="0.25">
      <c r="B205" s="8"/>
      <c r="C205" s="97">
        <v>183</v>
      </c>
      <c r="D205" s="69"/>
      <c r="E205" s="86"/>
      <c r="F205" s="86"/>
      <c r="G205" s="9"/>
    </row>
    <row r="206" spans="2:7" ht="15" hidden="1" customHeight="1" x14ac:dyDescent="0.25">
      <c r="B206" s="8"/>
      <c r="C206" s="97">
        <v>184</v>
      </c>
      <c r="D206" s="69"/>
      <c r="E206" s="86"/>
      <c r="F206" s="86"/>
      <c r="G206" s="9"/>
    </row>
    <row r="207" spans="2:7" ht="15" hidden="1" customHeight="1" x14ac:dyDescent="0.25">
      <c r="B207" s="8"/>
      <c r="C207" s="97">
        <v>185</v>
      </c>
      <c r="D207" s="69"/>
      <c r="E207" s="86"/>
      <c r="F207" s="86"/>
      <c r="G207" s="9"/>
    </row>
    <row r="208" spans="2:7" ht="15" hidden="1" customHeight="1" x14ac:dyDescent="0.25">
      <c r="B208" s="8"/>
      <c r="C208" s="97">
        <v>186</v>
      </c>
      <c r="D208" s="69"/>
      <c r="E208" s="86"/>
      <c r="F208" s="86"/>
      <c r="G208" s="9"/>
    </row>
    <row r="209" spans="2:7" ht="15" hidden="1" customHeight="1" x14ac:dyDescent="0.25">
      <c r="B209" s="8"/>
      <c r="C209" s="97">
        <v>187</v>
      </c>
      <c r="D209" s="69"/>
      <c r="E209" s="86"/>
      <c r="F209" s="86"/>
      <c r="G209" s="9"/>
    </row>
    <row r="210" spans="2:7" ht="15" hidden="1" customHeight="1" x14ac:dyDescent="0.25">
      <c r="B210" s="8"/>
      <c r="C210" s="97">
        <v>188</v>
      </c>
      <c r="D210" s="69"/>
      <c r="E210" s="86"/>
      <c r="F210" s="86"/>
      <c r="G210" s="9"/>
    </row>
    <row r="211" spans="2:7" ht="15" hidden="1" customHeight="1" x14ac:dyDescent="0.25">
      <c r="B211" s="8"/>
      <c r="C211" s="97">
        <v>189</v>
      </c>
      <c r="D211" s="69"/>
      <c r="E211" s="86"/>
      <c r="F211" s="86"/>
      <c r="G211" s="9"/>
    </row>
    <row r="212" spans="2:7" ht="15" hidden="1" customHeight="1" x14ac:dyDescent="0.25">
      <c r="B212" s="8"/>
      <c r="C212" s="97">
        <v>190</v>
      </c>
      <c r="D212" s="69"/>
      <c r="E212" s="86"/>
      <c r="F212" s="86"/>
      <c r="G212" s="9"/>
    </row>
    <row r="213" spans="2:7" ht="15" hidden="1" customHeight="1" x14ac:dyDescent="0.25">
      <c r="B213" s="8"/>
      <c r="C213" s="97">
        <v>191</v>
      </c>
      <c r="D213" s="69"/>
      <c r="E213" s="86"/>
      <c r="F213" s="86"/>
      <c r="G213" s="9"/>
    </row>
    <row r="214" spans="2:7" ht="15" hidden="1" customHeight="1" x14ac:dyDescent="0.25">
      <c r="B214" s="8"/>
      <c r="C214" s="97">
        <v>192</v>
      </c>
      <c r="D214" s="69"/>
      <c r="E214" s="86"/>
      <c r="F214" s="86"/>
      <c r="G214" s="9"/>
    </row>
    <row r="215" spans="2:7" ht="15" hidden="1" customHeight="1" x14ac:dyDescent="0.25">
      <c r="B215" s="8"/>
      <c r="C215" s="97">
        <v>193</v>
      </c>
      <c r="D215" s="69"/>
      <c r="E215" s="86"/>
      <c r="F215" s="86"/>
      <c r="G215" s="9"/>
    </row>
    <row r="216" spans="2:7" ht="15" hidden="1" customHeight="1" x14ac:dyDescent="0.25">
      <c r="B216" s="8"/>
      <c r="C216" s="97">
        <v>194</v>
      </c>
      <c r="D216" s="69"/>
      <c r="E216" s="86"/>
      <c r="F216" s="86"/>
      <c r="G216" s="9"/>
    </row>
    <row r="217" spans="2:7" ht="15" hidden="1" customHeight="1" x14ac:dyDescent="0.25">
      <c r="B217" s="8"/>
      <c r="C217" s="97">
        <v>195</v>
      </c>
      <c r="D217" s="69"/>
      <c r="E217" s="86"/>
      <c r="F217" s="86"/>
      <c r="G217" s="9"/>
    </row>
    <row r="218" spans="2:7" ht="15" hidden="1" customHeight="1" x14ac:dyDescent="0.25">
      <c r="B218" s="8"/>
      <c r="C218" s="97">
        <v>196</v>
      </c>
      <c r="D218" s="69"/>
      <c r="E218" s="86"/>
      <c r="F218" s="86"/>
      <c r="G218" s="9"/>
    </row>
    <row r="219" spans="2:7" ht="15" hidden="1" customHeight="1" x14ac:dyDescent="0.25">
      <c r="B219" s="8"/>
      <c r="C219" s="97">
        <v>197</v>
      </c>
      <c r="D219" s="69"/>
      <c r="E219" s="86"/>
      <c r="F219" s="86"/>
      <c r="G219" s="9"/>
    </row>
    <row r="220" spans="2:7" ht="15" hidden="1" customHeight="1" x14ac:dyDescent="0.25">
      <c r="B220" s="8"/>
      <c r="C220" s="97">
        <v>198</v>
      </c>
      <c r="D220" s="69"/>
      <c r="E220" s="86"/>
      <c r="F220" s="86"/>
      <c r="G220" s="9"/>
    </row>
    <row r="221" spans="2:7" ht="15" hidden="1" customHeight="1" x14ac:dyDescent="0.25">
      <c r="B221" s="8"/>
      <c r="C221" s="97">
        <v>199</v>
      </c>
      <c r="D221" s="69"/>
      <c r="E221" s="86"/>
      <c r="F221" s="86"/>
      <c r="G221" s="9"/>
    </row>
    <row r="222" spans="2:7" ht="15" hidden="1" customHeight="1" x14ac:dyDescent="0.25">
      <c r="B222" s="8"/>
      <c r="C222" s="97">
        <v>200</v>
      </c>
      <c r="D222" s="69"/>
      <c r="E222" s="86"/>
      <c r="F222" s="86"/>
      <c r="G222" s="9"/>
    </row>
    <row r="223" spans="2:7" ht="15" hidden="1" customHeight="1" x14ac:dyDescent="0.25">
      <c r="B223" s="8"/>
      <c r="C223" s="97">
        <v>201</v>
      </c>
      <c r="D223" s="69"/>
      <c r="E223" s="86"/>
      <c r="F223" s="86"/>
      <c r="G223" s="9"/>
    </row>
    <row r="224" spans="2:7" ht="15" hidden="1" customHeight="1" x14ac:dyDescent="0.25">
      <c r="B224" s="8"/>
      <c r="C224" s="97">
        <v>202</v>
      </c>
      <c r="D224" s="69"/>
      <c r="E224" s="86"/>
      <c r="F224" s="86"/>
      <c r="G224" s="9"/>
    </row>
    <row r="225" spans="2:7" ht="15" hidden="1" customHeight="1" x14ac:dyDescent="0.25">
      <c r="B225" s="8"/>
      <c r="C225" s="97">
        <v>203</v>
      </c>
      <c r="D225" s="69"/>
      <c r="E225" s="86"/>
      <c r="F225" s="86"/>
      <c r="G225" s="9"/>
    </row>
    <row r="226" spans="2:7" ht="15" hidden="1" customHeight="1" x14ac:dyDescent="0.25">
      <c r="B226" s="8"/>
      <c r="C226" s="97">
        <v>204</v>
      </c>
      <c r="D226" s="69"/>
      <c r="E226" s="86"/>
      <c r="F226" s="86"/>
      <c r="G226" s="9"/>
    </row>
    <row r="227" spans="2:7" ht="15" hidden="1" customHeight="1" x14ac:dyDescent="0.25">
      <c r="B227" s="8"/>
      <c r="C227" s="97">
        <v>205</v>
      </c>
      <c r="D227" s="69"/>
      <c r="E227" s="86"/>
      <c r="F227" s="86"/>
      <c r="G227" s="9"/>
    </row>
    <row r="228" spans="2:7" ht="15" hidden="1" customHeight="1" x14ac:dyDescent="0.25">
      <c r="B228" s="8"/>
      <c r="C228" s="97">
        <v>206</v>
      </c>
      <c r="D228" s="69"/>
      <c r="E228" s="86"/>
      <c r="F228" s="86"/>
      <c r="G228" s="9"/>
    </row>
    <row r="229" spans="2:7" ht="15" hidden="1" customHeight="1" x14ac:dyDescent="0.25">
      <c r="B229" s="8"/>
      <c r="C229" s="97">
        <v>207</v>
      </c>
      <c r="D229" s="69"/>
      <c r="E229" s="86"/>
      <c r="F229" s="86"/>
      <c r="G229" s="9"/>
    </row>
    <row r="230" spans="2:7" ht="15" hidden="1" customHeight="1" x14ac:dyDescent="0.25">
      <c r="B230" s="8"/>
      <c r="C230" s="97">
        <v>208</v>
      </c>
      <c r="D230" s="69"/>
      <c r="E230" s="86"/>
      <c r="F230" s="86"/>
      <c r="G230" s="9"/>
    </row>
    <row r="231" spans="2:7" ht="15" hidden="1" customHeight="1" x14ac:dyDescent="0.25">
      <c r="B231" s="8"/>
      <c r="C231" s="97">
        <v>209</v>
      </c>
      <c r="D231" s="69"/>
      <c r="E231" s="86"/>
      <c r="F231" s="86"/>
      <c r="G231" s="9"/>
    </row>
    <row r="232" spans="2:7" ht="15" hidden="1" customHeight="1" x14ac:dyDescent="0.25">
      <c r="B232" s="8"/>
      <c r="C232" s="97">
        <v>210</v>
      </c>
      <c r="D232" s="69"/>
      <c r="E232" s="86"/>
      <c r="F232" s="86"/>
      <c r="G232" s="9"/>
    </row>
    <row r="233" spans="2:7" ht="15" hidden="1" customHeight="1" x14ac:dyDescent="0.25">
      <c r="B233" s="8"/>
      <c r="C233" s="97">
        <v>211</v>
      </c>
      <c r="D233" s="69"/>
      <c r="E233" s="86"/>
      <c r="F233" s="86"/>
      <c r="G233" s="9"/>
    </row>
    <row r="234" spans="2:7" ht="15" hidden="1" customHeight="1" x14ac:dyDescent="0.25">
      <c r="B234" s="8"/>
      <c r="C234" s="97">
        <v>212</v>
      </c>
      <c r="D234" s="69"/>
      <c r="E234" s="86"/>
      <c r="F234" s="86"/>
      <c r="G234" s="9"/>
    </row>
    <row r="235" spans="2:7" ht="15" hidden="1" customHeight="1" x14ac:dyDescent="0.25">
      <c r="B235" s="8"/>
      <c r="C235" s="97">
        <v>213</v>
      </c>
      <c r="D235" s="69"/>
      <c r="E235" s="86"/>
      <c r="F235" s="86"/>
      <c r="G235" s="9"/>
    </row>
    <row r="236" spans="2:7" ht="15" hidden="1" customHeight="1" x14ac:dyDescent="0.25">
      <c r="B236" s="8"/>
      <c r="C236" s="97">
        <v>214</v>
      </c>
      <c r="D236" s="69"/>
      <c r="E236" s="86"/>
      <c r="F236" s="86"/>
      <c r="G236" s="9"/>
    </row>
    <row r="237" spans="2:7" ht="15" hidden="1" customHeight="1" x14ac:dyDescent="0.25">
      <c r="B237" s="8"/>
      <c r="C237" s="97">
        <v>215</v>
      </c>
      <c r="D237" s="69"/>
      <c r="E237" s="86"/>
      <c r="F237" s="86"/>
      <c r="G237" s="9"/>
    </row>
    <row r="238" spans="2:7" ht="15" hidden="1" customHeight="1" x14ac:dyDescent="0.25">
      <c r="B238" s="8"/>
      <c r="C238" s="97">
        <v>216</v>
      </c>
      <c r="D238" s="69"/>
      <c r="E238" s="86"/>
      <c r="F238" s="86"/>
      <c r="G238" s="9"/>
    </row>
    <row r="239" spans="2:7" ht="15" hidden="1" customHeight="1" x14ac:dyDescent="0.25">
      <c r="B239" s="8"/>
      <c r="C239" s="97">
        <v>217</v>
      </c>
      <c r="D239" s="69"/>
      <c r="E239" s="86"/>
      <c r="F239" s="86"/>
      <c r="G239" s="9"/>
    </row>
    <row r="240" spans="2:7" ht="15" hidden="1" customHeight="1" x14ac:dyDescent="0.25">
      <c r="B240" s="8"/>
      <c r="C240" s="97">
        <v>218</v>
      </c>
      <c r="D240" s="69"/>
      <c r="E240" s="86"/>
      <c r="F240" s="86"/>
      <c r="G240" s="9"/>
    </row>
    <row r="241" spans="2:7" ht="15" hidden="1" customHeight="1" x14ac:dyDescent="0.25">
      <c r="B241" s="8"/>
      <c r="C241" s="97">
        <v>219</v>
      </c>
      <c r="D241" s="69"/>
      <c r="E241" s="86"/>
      <c r="F241" s="86"/>
      <c r="G241" s="9"/>
    </row>
    <row r="242" spans="2:7" ht="15" hidden="1" customHeight="1" x14ac:dyDescent="0.25">
      <c r="B242" s="8"/>
      <c r="C242" s="97">
        <v>220</v>
      </c>
      <c r="D242" s="69"/>
      <c r="E242" s="86"/>
      <c r="F242" s="86"/>
      <c r="G242" s="9"/>
    </row>
    <row r="243" spans="2:7" ht="15" hidden="1" customHeight="1" x14ac:dyDescent="0.25">
      <c r="B243" s="8"/>
      <c r="C243" s="97">
        <v>221</v>
      </c>
      <c r="D243" s="69"/>
      <c r="E243" s="86"/>
      <c r="F243" s="86"/>
      <c r="G243" s="9"/>
    </row>
    <row r="244" spans="2:7" ht="15" hidden="1" customHeight="1" x14ac:dyDescent="0.25">
      <c r="B244" s="8"/>
      <c r="C244" s="97">
        <v>222</v>
      </c>
      <c r="D244" s="69"/>
      <c r="E244" s="86"/>
      <c r="F244" s="86"/>
      <c r="G244" s="9"/>
    </row>
    <row r="245" spans="2:7" ht="15" hidden="1" customHeight="1" x14ac:dyDescent="0.25">
      <c r="B245" s="8"/>
      <c r="C245" s="97">
        <v>223</v>
      </c>
      <c r="D245" s="69"/>
      <c r="E245" s="86"/>
      <c r="F245" s="86"/>
      <c r="G245" s="9"/>
    </row>
    <row r="246" spans="2:7" ht="15" hidden="1" customHeight="1" x14ac:dyDescent="0.25">
      <c r="B246" s="8"/>
      <c r="C246" s="97">
        <v>224</v>
      </c>
      <c r="D246" s="69"/>
      <c r="E246" s="86"/>
      <c r="F246" s="86"/>
      <c r="G246" s="9"/>
    </row>
    <row r="247" spans="2:7" ht="15" hidden="1" customHeight="1" x14ac:dyDescent="0.25">
      <c r="B247" s="8"/>
      <c r="C247" s="97">
        <v>225</v>
      </c>
      <c r="D247" s="69"/>
      <c r="E247" s="86"/>
      <c r="F247" s="86"/>
      <c r="G247" s="9"/>
    </row>
    <row r="248" spans="2:7" ht="15" hidden="1" customHeight="1" x14ac:dyDescent="0.25">
      <c r="B248" s="8"/>
      <c r="C248" s="97">
        <v>226</v>
      </c>
      <c r="D248" s="69"/>
      <c r="E248" s="86"/>
      <c r="F248" s="86"/>
      <c r="G248" s="9"/>
    </row>
    <row r="249" spans="2:7" ht="15" hidden="1" customHeight="1" x14ac:dyDescent="0.25">
      <c r="B249" s="8"/>
      <c r="C249" s="97">
        <v>227</v>
      </c>
      <c r="D249" s="69"/>
      <c r="E249" s="86"/>
      <c r="F249" s="86"/>
      <c r="G249" s="9"/>
    </row>
    <row r="250" spans="2:7" ht="15" hidden="1" customHeight="1" x14ac:dyDescent="0.25">
      <c r="B250" s="8"/>
      <c r="C250" s="97">
        <v>228</v>
      </c>
      <c r="D250" s="69"/>
      <c r="E250" s="86"/>
      <c r="F250" s="86"/>
      <c r="G250" s="9"/>
    </row>
    <row r="251" spans="2:7" ht="15" hidden="1" customHeight="1" x14ac:dyDescent="0.25">
      <c r="B251" s="8"/>
      <c r="C251" s="97">
        <v>229</v>
      </c>
      <c r="D251" s="69"/>
      <c r="E251" s="86"/>
      <c r="F251" s="86"/>
      <c r="G251" s="9"/>
    </row>
    <row r="252" spans="2:7" ht="15" hidden="1" customHeight="1" x14ac:dyDescent="0.25">
      <c r="B252" s="8"/>
      <c r="C252" s="97">
        <v>230</v>
      </c>
      <c r="D252" s="69"/>
      <c r="E252" s="86"/>
      <c r="F252" s="86"/>
      <c r="G252" s="9"/>
    </row>
    <row r="253" spans="2:7" ht="15" hidden="1" customHeight="1" x14ac:dyDescent="0.25">
      <c r="B253" s="8"/>
      <c r="C253" s="97">
        <v>231</v>
      </c>
      <c r="D253" s="69"/>
      <c r="E253" s="86"/>
      <c r="F253" s="86"/>
      <c r="G253" s="9"/>
    </row>
    <row r="254" spans="2:7" ht="15" hidden="1" customHeight="1" x14ac:dyDescent="0.25">
      <c r="B254" s="8"/>
      <c r="C254" s="97">
        <v>232</v>
      </c>
      <c r="D254" s="69"/>
      <c r="E254" s="86"/>
      <c r="F254" s="86"/>
      <c r="G254" s="9"/>
    </row>
    <row r="255" spans="2:7" ht="15" hidden="1" customHeight="1" x14ac:dyDescent="0.25">
      <c r="B255" s="8"/>
      <c r="C255" s="97">
        <v>233</v>
      </c>
      <c r="D255" s="69"/>
      <c r="E255" s="86"/>
      <c r="F255" s="86"/>
      <c r="G255" s="9"/>
    </row>
    <row r="256" spans="2:7" ht="15" hidden="1" customHeight="1" x14ac:dyDescent="0.25">
      <c r="B256" s="8"/>
      <c r="C256" s="97">
        <v>234</v>
      </c>
      <c r="D256" s="69"/>
      <c r="E256" s="86"/>
      <c r="F256" s="86"/>
      <c r="G256" s="9"/>
    </row>
    <row r="257" spans="2:7" ht="15" hidden="1" customHeight="1" x14ac:dyDescent="0.25">
      <c r="B257" s="8"/>
      <c r="C257" s="97">
        <v>235</v>
      </c>
      <c r="D257" s="69"/>
      <c r="E257" s="86"/>
      <c r="F257" s="86"/>
      <c r="G257" s="9"/>
    </row>
    <row r="258" spans="2:7" ht="15" hidden="1" customHeight="1" x14ac:dyDescent="0.25">
      <c r="B258" s="8"/>
      <c r="C258" s="97">
        <v>236</v>
      </c>
      <c r="D258" s="69"/>
      <c r="E258" s="86"/>
      <c r="F258" s="86"/>
      <c r="G258" s="9"/>
    </row>
    <row r="259" spans="2:7" ht="15" hidden="1" customHeight="1" x14ac:dyDescent="0.25">
      <c r="B259" s="8"/>
      <c r="C259" s="97">
        <v>237</v>
      </c>
      <c r="D259" s="69"/>
      <c r="E259" s="86"/>
      <c r="F259" s="86"/>
      <c r="G259" s="9"/>
    </row>
    <row r="260" spans="2:7" ht="15" hidden="1" customHeight="1" x14ac:dyDescent="0.25">
      <c r="B260" s="8"/>
      <c r="C260" s="97">
        <v>238</v>
      </c>
      <c r="D260" s="69"/>
      <c r="E260" s="86"/>
      <c r="F260" s="86"/>
      <c r="G260" s="9"/>
    </row>
    <row r="261" spans="2:7" ht="15" hidden="1" customHeight="1" x14ac:dyDescent="0.25">
      <c r="B261" s="8"/>
      <c r="C261" s="97">
        <v>239</v>
      </c>
      <c r="D261" s="69"/>
      <c r="E261" s="86"/>
      <c r="F261" s="86"/>
      <c r="G261" s="9"/>
    </row>
    <row r="262" spans="2:7" ht="15" hidden="1" customHeight="1" x14ac:dyDescent="0.25">
      <c r="B262" s="8"/>
      <c r="C262" s="97">
        <v>240</v>
      </c>
      <c r="D262" s="69"/>
      <c r="E262" s="86"/>
      <c r="F262" s="86"/>
      <c r="G262" s="9"/>
    </row>
    <row r="263" spans="2:7" ht="15" hidden="1" customHeight="1" x14ac:dyDescent="0.25">
      <c r="B263" s="8"/>
      <c r="C263" s="97">
        <v>241</v>
      </c>
      <c r="D263" s="69"/>
      <c r="E263" s="86"/>
      <c r="F263" s="86"/>
      <c r="G263" s="9"/>
    </row>
    <row r="264" spans="2:7" ht="15" hidden="1" customHeight="1" x14ac:dyDescent="0.25">
      <c r="B264" s="8"/>
      <c r="C264" s="97">
        <v>242</v>
      </c>
      <c r="D264" s="69"/>
      <c r="E264" s="86"/>
      <c r="F264" s="86"/>
      <c r="G264" s="9"/>
    </row>
    <row r="265" spans="2:7" ht="15" hidden="1" customHeight="1" x14ac:dyDescent="0.25">
      <c r="B265" s="8"/>
      <c r="C265" s="97">
        <v>243</v>
      </c>
      <c r="D265" s="69"/>
      <c r="E265" s="86"/>
      <c r="F265" s="86"/>
      <c r="G265" s="9"/>
    </row>
    <row r="266" spans="2:7" ht="15" hidden="1" customHeight="1" x14ac:dyDescent="0.25">
      <c r="B266" s="8"/>
      <c r="C266" s="97">
        <v>244</v>
      </c>
      <c r="D266" s="69"/>
      <c r="E266" s="86"/>
      <c r="F266" s="86"/>
      <c r="G266" s="9"/>
    </row>
    <row r="267" spans="2:7" ht="15" hidden="1" customHeight="1" x14ac:dyDescent="0.25">
      <c r="B267" s="8"/>
      <c r="C267" s="97">
        <v>245</v>
      </c>
      <c r="D267" s="69"/>
      <c r="E267" s="86"/>
      <c r="F267" s="86"/>
      <c r="G267" s="9"/>
    </row>
    <row r="268" spans="2:7" ht="15" hidden="1" customHeight="1" x14ac:dyDescent="0.25">
      <c r="B268" s="8"/>
      <c r="C268" s="97">
        <v>246</v>
      </c>
      <c r="D268" s="69"/>
      <c r="E268" s="86"/>
      <c r="F268" s="86"/>
      <c r="G268" s="9"/>
    </row>
    <row r="269" spans="2:7" ht="15" hidden="1" customHeight="1" x14ac:dyDescent="0.25">
      <c r="B269" s="8"/>
      <c r="C269" s="97">
        <v>247</v>
      </c>
      <c r="D269" s="69"/>
      <c r="E269" s="86"/>
      <c r="F269" s="86"/>
      <c r="G269" s="9"/>
    </row>
    <row r="270" spans="2:7" ht="15" hidden="1" customHeight="1" x14ac:dyDescent="0.25">
      <c r="B270" s="8"/>
      <c r="C270" s="97">
        <v>248</v>
      </c>
      <c r="D270" s="69"/>
      <c r="E270" s="86"/>
      <c r="F270" s="86"/>
      <c r="G270" s="9"/>
    </row>
    <row r="271" spans="2:7" ht="15" hidden="1" customHeight="1" x14ac:dyDescent="0.25">
      <c r="B271" s="8"/>
      <c r="C271" s="97">
        <v>249</v>
      </c>
      <c r="D271" s="69"/>
      <c r="E271" s="86"/>
      <c r="F271" s="86"/>
      <c r="G271" s="9"/>
    </row>
    <row r="272" spans="2:7" ht="15" hidden="1" customHeight="1" x14ac:dyDescent="0.25">
      <c r="B272" s="8"/>
      <c r="C272" s="97">
        <v>250</v>
      </c>
      <c r="D272" s="69"/>
      <c r="E272" s="86"/>
      <c r="F272" s="86"/>
      <c r="G272" s="9"/>
    </row>
    <row r="273" spans="2:7" ht="15" hidden="1" customHeight="1" x14ac:dyDescent="0.25">
      <c r="B273" s="8"/>
      <c r="C273" s="97">
        <v>251</v>
      </c>
      <c r="D273" s="69"/>
      <c r="E273" s="86"/>
      <c r="F273" s="86"/>
      <c r="G273" s="9"/>
    </row>
    <row r="274" spans="2:7" ht="15" hidden="1" customHeight="1" x14ac:dyDescent="0.25">
      <c r="B274" s="8"/>
      <c r="C274" s="97">
        <v>252</v>
      </c>
      <c r="D274" s="69"/>
      <c r="E274" s="86"/>
      <c r="F274" s="86"/>
      <c r="G274" s="9"/>
    </row>
    <row r="275" spans="2:7" ht="15" hidden="1" customHeight="1" x14ac:dyDescent="0.25">
      <c r="B275" s="8"/>
      <c r="C275" s="97">
        <v>253</v>
      </c>
      <c r="D275" s="69"/>
      <c r="E275" s="86"/>
      <c r="F275" s="86"/>
      <c r="G275" s="9"/>
    </row>
    <row r="276" spans="2:7" ht="15" hidden="1" customHeight="1" x14ac:dyDescent="0.25">
      <c r="B276" s="8"/>
      <c r="C276" s="97">
        <v>254</v>
      </c>
      <c r="D276" s="69"/>
      <c r="E276" s="86"/>
      <c r="F276" s="86"/>
      <c r="G276" s="9"/>
    </row>
    <row r="277" spans="2:7" ht="15" hidden="1" customHeight="1" x14ac:dyDescent="0.25">
      <c r="B277" s="8"/>
      <c r="C277" s="97">
        <v>255</v>
      </c>
      <c r="D277" s="69"/>
      <c r="E277" s="86"/>
      <c r="F277" s="86"/>
      <c r="G277" s="9"/>
    </row>
    <row r="278" spans="2:7" ht="15" hidden="1" customHeight="1" x14ac:dyDescent="0.25">
      <c r="B278" s="8"/>
      <c r="C278" s="97">
        <v>256</v>
      </c>
      <c r="D278" s="69"/>
      <c r="E278" s="86"/>
      <c r="F278" s="86"/>
      <c r="G278" s="9"/>
    </row>
    <row r="279" spans="2:7" ht="15" hidden="1" customHeight="1" x14ac:dyDescent="0.25">
      <c r="B279" s="8"/>
      <c r="C279" s="97">
        <v>257</v>
      </c>
      <c r="D279" s="69"/>
      <c r="E279" s="86"/>
      <c r="F279" s="86"/>
      <c r="G279" s="9"/>
    </row>
    <row r="280" spans="2:7" ht="15" hidden="1" customHeight="1" x14ac:dyDescent="0.25">
      <c r="B280" s="8"/>
      <c r="C280" s="97">
        <v>258</v>
      </c>
      <c r="D280" s="69"/>
      <c r="E280" s="86"/>
      <c r="F280" s="86"/>
      <c r="G280" s="9"/>
    </row>
    <row r="281" spans="2:7" ht="15" hidden="1" customHeight="1" x14ac:dyDescent="0.25">
      <c r="B281" s="8"/>
      <c r="C281" s="97">
        <v>259</v>
      </c>
      <c r="D281" s="69"/>
      <c r="E281" s="86"/>
      <c r="F281" s="86"/>
      <c r="G281" s="9"/>
    </row>
    <row r="282" spans="2:7" ht="15" hidden="1" customHeight="1" x14ac:dyDescent="0.25">
      <c r="B282" s="8"/>
      <c r="C282" s="97">
        <v>260</v>
      </c>
      <c r="D282" s="69"/>
      <c r="E282" s="86"/>
      <c r="F282" s="86"/>
      <c r="G282" s="9"/>
    </row>
    <row r="283" spans="2:7" ht="15" hidden="1" customHeight="1" x14ac:dyDescent="0.25">
      <c r="B283" s="8"/>
      <c r="C283" s="97">
        <v>261</v>
      </c>
      <c r="D283" s="69"/>
      <c r="E283" s="86"/>
      <c r="F283" s="86"/>
      <c r="G283" s="9"/>
    </row>
    <row r="284" spans="2:7" ht="15" hidden="1" customHeight="1" x14ac:dyDescent="0.25">
      <c r="B284" s="8"/>
      <c r="C284" s="97">
        <v>262</v>
      </c>
      <c r="D284" s="69"/>
      <c r="E284" s="86"/>
      <c r="F284" s="86"/>
      <c r="G284" s="9"/>
    </row>
    <row r="285" spans="2:7" ht="15" hidden="1" customHeight="1" x14ac:dyDescent="0.25">
      <c r="B285" s="8"/>
      <c r="C285" s="97">
        <v>263</v>
      </c>
      <c r="D285" s="69"/>
      <c r="E285" s="86"/>
      <c r="F285" s="86"/>
      <c r="G285" s="9"/>
    </row>
    <row r="286" spans="2:7" ht="15" hidden="1" customHeight="1" x14ac:dyDescent="0.25">
      <c r="B286" s="8"/>
      <c r="C286" s="97">
        <v>264</v>
      </c>
      <c r="D286" s="69"/>
      <c r="E286" s="86"/>
      <c r="F286" s="86"/>
      <c r="G286" s="9"/>
    </row>
    <row r="287" spans="2:7" ht="15" hidden="1" customHeight="1" x14ac:dyDescent="0.25">
      <c r="B287" s="8"/>
      <c r="C287" s="97">
        <v>265</v>
      </c>
      <c r="D287" s="69"/>
      <c r="E287" s="86"/>
      <c r="F287" s="86"/>
      <c r="G287" s="9"/>
    </row>
    <row r="288" spans="2:7" ht="15" hidden="1" customHeight="1" x14ac:dyDescent="0.25">
      <c r="B288" s="8"/>
      <c r="C288" s="97">
        <v>266</v>
      </c>
      <c r="D288" s="69"/>
      <c r="E288" s="86"/>
      <c r="F288" s="86"/>
      <c r="G288" s="9"/>
    </row>
    <row r="289" spans="2:7" ht="15" hidden="1" customHeight="1" x14ac:dyDescent="0.25">
      <c r="B289" s="8"/>
      <c r="C289" s="97">
        <v>267</v>
      </c>
      <c r="D289" s="69"/>
      <c r="E289" s="86"/>
      <c r="F289" s="86"/>
      <c r="G289" s="9"/>
    </row>
    <row r="290" spans="2:7" ht="15" hidden="1" customHeight="1" x14ac:dyDescent="0.25">
      <c r="B290" s="8"/>
      <c r="C290" s="97">
        <v>268</v>
      </c>
      <c r="D290" s="69"/>
      <c r="E290" s="86"/>
      <c r="F290" s="86"/>
      <c r="G290" s="9"/>
    </row>
    <row r="291" spans="2:7" ht="15" hidden="1" customHeight="1" x14ac:dyDescent="0.25">
      <c r="B291" s="8"/>
      <c r="C291" s="97">
        <v>269</v>
      </c>
      <c r="D291" s="69"/>
      <c r="E291" s="86"/>
      <c r="F291" s="86"/>
      <c r="G291" s="9"/>
    </row>
    <row r="292" spans="2:7" ht="15" hidden="1" customHeight="1" x14ac:dyDescent="0.25">
      <c r="B292" s="8"/>
      <c r="C292" s="97">
        <v>270</v>
      </c>
      <c r="D292" s="69"/>
      <c r="E292" s="86"/>
      <c r="F292" s="86"/>
      <c r="G292" s="9"/>
    </row>
    <row r="293" spans="2:7" ht="15" hidden="1" customHeight="1" x14ac:dyDescent="0.25">
      <c r="B293" s="8"/>
      <c r="C293" s="97">
        <v>271</v>
      </c>
      <c r="D293" s="69"/>
      <c r="E293" s="86"/>
      <c r="F293" s="86"/>
      <c r="G293" s="9"/>
    </row>
    <row r="294" spans="2:7" ht="15" hidden="1" customHeight="1" x14ac:dyDescent="0.25">
      <c r="B294" s="8"/>
      <c r="C294" s="97">
        <v>272</v>
      </c>
      <c r="D294" s="69"/>
      <c r="E294" s="86"/>
      <c r="F294" s="86"/>
      <c r="G294" s="9"/>
    </row>
    <row r="295" spans="2:7" ht="15" hidden="1" customHeight="1" x14ac:dyDescent="0.25">
      <c r="B295" s="8"/>
      <c r="C295" s="97">
        <v>273</v>
      </c>
      <c r="D295" s="69"/>
      <c r="E295" s="86"/>
      <c r="F295" s="86"/>
      <c r="G295" s="9"/>
    </row>
    <row r="296" spans="2:7" ht="15" hidden="1" customHeight="1" x14ac:dyDescent="0.25">
      <c r="B296" s="8"/>
      <c r="C296" s="97">
        <v>274</v>
      </c>
      <c r="D296" s="69"/>
      <c r="E296" s="86"/>
      <c r="F296" s="86"/>
      <c r="G296" s="9"/>
    </row>
    <row r="297" spans="2:7" ht="15" hidden="1" customHeight="1" x14ac:dyDescent="0.25">
      <c r="B297" s="8"/>
      <c r="C297" s="97">
        <v>275</v>
      </c>
      <c r="D297" s="69"/>
      <c r="E297" s="86"/>
      <c r="F297" s="86"/>
      <c r="G297" s="9"/>
    </row>
    <row r="298" spans="2:7" ht="15" hidden="1" customHeight="1" x14ac:dyDescent="0.25">
      <c r="B298" s="8"/>
      <c r="C298" s="97">
        <v>276</v>
      </c>
      <c r="D298" s="69"/>
      <c r="E298" s="86"/>
      <c r="F298" s="86"/>
      <c r="G298" s="9"/>
    </row>
    <row r="299" spans="2:7" ht="15" hidden="1" customHeight="1" x14ac:dyDescent="0.25">
      <c r="B299" s="8"/>
      <c r="C299" s="97">
        <v>277</v>
      </c>
      <c r="D299" s="69"/>
      <c r="E299" s="86"/>
      <c r="F299" s="86"/>
      <c r="G299" s="9"/>
    </row>
    <row r="300" spans="2:7" ht="15" hidden="1" customHeight="1" x14ac:dyDescent="0.25">
      <c r="B300" s="8"/>
      <c r="C300" s="97">
        <v>278</v>
      </c>
      <c r="D300" s="69"/>
      <c r="E300" s="86"/>
      <c r="F300" s="86"/>
      <c r="G300" s="9"/>
    </row>
    <row r="301" spans="2:7" ht="15" hidden="1" customHeight="1" x14ac:dyDescent="0.25">
      <c r="B301" s="8"/>
      <c r="C301" s="97">
        <v>279</v>
      </c>
      <c r="D301" s="69"/>
      <c r="E301" s="86"/>
      <c r="F301" s="86"/>
      <c r="G301" s="9"/>
    </row>
    <row r="302" spans="2:7" ht="15" hidden="1" customHeight="1" x14ac:dyDescent="0.25">
      <c r="B302" s="8"/>
      <c r="C302" s="97">
        <v>280</v>
      </c>
      <c r="D302" s="69"/>
      <c r="E302" s="86"/>
      <c r="F302" s="86"/>
      <c r="G302" s="9"/>
    </row>
    <row r="303" spans="2:7" ht="15" hidden="1" customHeight="1" x14ac:dyDescent="0.25">
      <c r="B303" s="8"/>
      <c r="C303" s="97">
        <v>281</v>
      </c>
      <c r="D303" s="69"/>
      <c r="E303" s="86"/>
      <c r="F303" s="86"/>
      <c r="G303" s="9"/>
    </row>
    <row r="304" spans="2:7" ht="15" hidden="1" customHeight="1" x14ac:dyDescent="0.25">
      <c r="B304" s="8"/>
      <c r="C304" s="97">
        <v>282</v>
      </c>
      <c r="D304" s="69"/>
      <c r="E304" s="86"/>
      <c r="F304" s="86"/>
      <c r="G304" s="9"/>
    </row>
    <row r="305" spans="2:7" ht="15" hidden="1" customHeight="1" x14ac:dyDescent="0.25">
      <c r="B305" s="8"/>
      <c r="C305" s="97">
        <v>283</v>
      </c>
      <c r="D305" s="69"/>
      <c r="E305" s="86"/>
      <c r="F305" s="86"/>
      <c r="G305" s="9"/>
    </row>
    <row r="306" spans="2:7" ht="15" hidden="1" customHeight="1" x14ac:dyDescent="0.25">
      <c r="B306" s="8"/>
      <c r="C306" s="97">
        <v>284</v>
      </c>
      <c r="D306" s="69"/>
      <c r="E306" s="86"/>
      <c r="F306" s="86"/>
      <c r="G306" s="9"/>
    </row>
    <row r="307" spans="2:7" ht="15" hidden="1" customHeight="1" x14ac:dyDescent="0.25">
      <c r="B307" s="8"/>
      <c r="C307" s="97">
        <v>285</v>
      </c>
      <c r="D307" s="69"/>
      <c r="E307" s="86"/>
      <c r="F307" s="86"/>
      <c r="G307" s="9"/>
    </row>
    <row r="308" spans="2:7" ht="15" hidden="1" customHeight="1" x14ac:dyDescent="0.25">
      <c r="B308" s="8"/>
      <c r="C308" s="97">
        <v>286</v>
      </c>
      <c r="D308" s="69"/>
      <c r="E308" s="86"/>
      <c r="F308" s="86"/>
      <c r="G308" s="9"/>
    </row>
    <row r="309" spans="2:7" ht="15" hidden="1" customHeight="1" x14ac:dyDescent="0.25">
      <c r="B309" s="8"/>
      <c r="C309" s="97">
        <v>287</v>
      </c>
      <c r="D309" s="69"/>
      <c r="E309" s="86"/>
      <c r="F309" s="86"/>
      <c r="G309" s="9"/>
    </row>
    <row r="310" spans="2:7" ht="15" hidden="1" customHeight="1" x14ac:dyDescent="0.25">
      <c r="B310" s="8"/>
      <c r="C310" s="97">
        <v>288</v>
      </c>
      <c r="D310" s="69"/>
      <c r="E310" s="86"/>
      <c r="F310" s="86"/>
      <c r="G310" s="9"/>
    </row>
    <row r="311" spans="2:7" ht="15" hidden="1" customHeight="1" x14ac:dyDescent="0.25">
      <c r="B311" s="8"/>
      <c r="C311" s="97">
        <v>289</v>
      </c>
      <c r="D311" s="69"/>
      <c r="E311" s="86"/>
      <c r="F311" s="86"/>
      <c r="G311" s="9"/>
    </row>
    <row r="312" spans="2:7" ht="15" hidden="1" customHeight="1" x14ac:dyDescent="0.25">
      <c r="B312" s="8"/>
      <c r="C312" s="97">
        <v>290</v>
      </c>
      <c r="D312" s="69"/>
      <c r="E312" s="86"/>
      <c r="F312" s="86"/>
      <c r="G312" s="9"/>
    </row>
    <row r="313" spans="2:7" ht="15" hidden="1" customHeight="1" x14ac:dyDescent="0.25">
      <c r="B313" s="8"/>
      <c r="C313" s="97">
        <v>291</v>
      </c>
      <c r="D313" s="69"/>
      <c r="E313" s="86"/>
      <c r="F313" s="86"/>
      <c r="G313" s="9"/>
    </row>
    <row r="314" spans="2:7" ht="15" hidden="1" customHeight="1" x14ac:dyDescent="0.25">
      <c r="B314" s="8"/>
      <c r="C314" s="97">
        <v>292</v>
      </c>
      <c r="D314" s="69"/>
      <c r="E314" s="86"/>
      <c r="F314" s="86"/>
      <c r="G314" s="9"/>
    </row>
    <row r="315" spans="2:7" ht="15" hidden="1" customHeight="1" x14ac:dyDescent="0.25">
      <c r="B315" s="8"/>
      <c r="C315" s="97">
        <v>293</v>
      </c>
      <c r="D315" s="69"/>
      <c r="E315" s="86"/>
      <c r="F315" s="86"/>
      <c r="G315" s="9"/>
    </row>
    <row r="316" spans="2:7" ht="15" hidden="1" customHeight="1" x14ac:dyDescent="0.25">
      <c r="B316" s="8"/>
      <c r="C316" s="97">
        <v>294</v>
      </c>
      <c r="D316" s="69"/>
      <c r="E316" s="86"/>
      <c r="F316" s="86"/>
      <c r="G316" s="9"/>
    </row>
    <row r="317" spans="2:7" ht="15" hidden="1" customHeight="1" x14ac:dyDescent="0.25">
      <c r="B317" s="8"/>
      <c r="C317" s="97">
        <v>295</v>
      </c>
      <c r="D317" s="69"/>
      <c r="E317" s="86"/>
      <c r="F317" s="86"/>
      <c r="G317" s="9"/>
    </row>
    <row r="318" spans="2:7" ht="15" hidden="1" customHeight="1" x14ac:dyDescent="0.25">
      <c r="B318" s="8"/>
      <c r="C318" s="97">
        <v>296</v>
      </c>
      <c r="D318" s="69"/>
      <c r="E318" s="86"/>
      <c r="F318" s="86"/>
      <c r="G318" s="9"/>
    </row>
    <row r="319" spans="2:7" ht="15" hidden="1" customHeight="1" x14ac:dyDescent="0.25">
      <c r="B319" s="8"/>
      <c r="C319" s="97">
        <v>297</v>
      </c>
      <c r="D319" s="69"/>
      <c r="E319" s="86"/>
      <c r="F319" s="86"/>
      <c r="G319" s="9"/>
    </row>
    <row r="320" spans="2:7" ht="15" hidden="1" customHeight="1" x14ac:dyDescent="0.25">
      <c r="B320" s="8"/>
      <c r="C320" s="97">
        <v>298</v>
      </c>
      <c r="D320" s="69"/>
      <c r="E320" s="86"/>
      <c r="F320" s="86"/>
      <c r="G320" s="9"/>
    </row>
    <row r="321" spans="2:7" ht="15" hidden="1" customHeight="1" x14ac:dyDescent="0.25">
      <c r="B321" s="8"/>
      <c r="C321" s="97">
        <v>299</v>
      </c>
      <c r="D321" s="69"/>
      <c r="E321" s="86"/>
      <c r="F321" s="86"/>
      <c r="G321" s="9"/>
    </row>
    <row r="322" spans="2:7" ht="15" hidden="1" customHeight="1" x14ac:dyDescent="0.25">
      <c r="B322" s="8"/>
      <c r="C322" s="97">
        <v>300</v>
      </c>
      <c r="D322" s="69"/>
      <c r="E322" s="86"/>
      <c r="F322" s="86"/>
      <c r="G322" s="9"/>
    </row>
    <row r="323" spans="2:7" ht="15" hidden="1" customHeight="1" x14ac:dyDescent="0.25">
      <c r="B323" s="8"/>
      <c r="C323" s="97">
        <v>301</v>
      </c>
      <c r="D323" s="69"/>
      <c r="E323" s="86"/>
      <c r="F323" s="86"/>
      <c r="G323" s="9"/>
    </row>
    <row r="324" spans="2:7" ht="15" hidden="1" customHeight="1" x14ac:dyDescent="0.25">
      <c r="B324" s="8"/>
      <c r="C324" s="97">
        <v>302</v>
      </c>
      <c r="D324" s="69"/>
      <c r="E324" s="86"/>
      <c r="F324" s="86"/>
      <c r="G324" s="9"/>
    </row>
    <row r="325" spans="2:7" ht="15" hidden="1" customHeight="1" x14ac:dyDescent="0.25">
      <c r="B325" s="8"/>
      <c r="C325" s="97">
        <v>303</v>
      </c>
      <c r="D325" s="69"/>
      <c r="E325" s="86"/>
      <c r="F325" s="86"/>
      <c r="G325" s="9"/>
    </row>
    <row r="326" spans="2:7" ht="15" hidden="1" customHeight="1" x14ac:dyDescent="0.25">
      <c r="B326" s="8"/>
      <c r="C326" s="97">
        <v>304</v>
      </c>
      <c r="D326" s="69"/>
      <c r="E326" s="86"/>
      <c r="F326" s="86"/>
      <c r="G326" s="9"/>
    </row>
    <row r="327" spans="2:7" ht="15" hidden="1" customHeight="1" x14ac:dyDescent="0.25">
      <c r="B327" s="8"/>
      <c r="C327" s="97">
        <v>305</v>
      </c>
      <c r="D327" s="69"/>
      <c r="E327" s="86"/>
      <c r="F327" s="86"/>
      <c r="G327" s="9"/>
    </row>
    <row r="328" spans="2:7" ht="15" hidden="1" customHeight="1" x14ac:dyDescent="0.25">
      <c r="B328" s="8"/>
      <c r="C328" s="97">
        <v>306</v>
      </c>
      <c r="D328" s="69"/>
      <c r="E328" s="86"/>
      <c r="F328" s="86"/>
      <c r="G328" s="9"/>
    </row>
    <row r="329" spans="2:7" ht="15" hidden="1" customHeight="1" x14ac:dyDescent="0.25">
      <c r="B329" s="8"/>
      <c r="C329" s="97">
        <v>307</v>
      </c>
      <c r="D329" s="69"/>
      <c r="E329" s="86"/>
      <c r="F329" s="86"/>
      <c r="G329" s="9"/>
    </row>
    <row r="330" spans="2:7" ht="15" hidden="1" customHeight="1" x14ac:dyDescent="0.25">
      <c r="B330" s="8"/>
      <c r="C330" s="97">
        <v>308</v>
      </c>
      <c r="D330" s="69"/>
      <c r="E330" s="86"/>
      <c r="F330" s="86"/>
      <c r="G330" s="9"/>
    </row>
    <row r="331" spans="2:7" ht="15" hidden="1" customHeight="1" x14ac:dyDescent="0.25">
      <c r="B331" s="8"/>
      <c r="C331" s="97">
        <v>309</v>
      </c>
      <c r="D331" s="69"/>
      <c r="E331" s="86"/>
      <c r="F331" s="86"/>
      <c r="G331" s="9"/>
    </row>
    <row r="332" spans="2:7" ht="15" hidden="1" customHeight="1" x14ac:dyDescent="0.25">
      <c r="B332" s="8"/>
      <c r="C332" s="97">
        <v>310</v>
      </c>
      <c r="D332" s="69"/>
      <c r="E332" s="86"/>
      <c r="F332" s="86"/>
      <c r="G332" s="9"/>
    </row>
    <row r="333" spans="2:7" ht="15" hidden="1" customHeight="1" x14ac:dyDescent="0.25">
      <c r="B333" s="8"/>
      <c r="C333" s="97">
        <v>311</v>
      </c>
      <c r="D333" s="69"/>
      <c r="E333" s="86"/>
      <c r="F333" s="86"/>
      <c r="G333" s="9"/>
    </row>
    <row r="334" spans="2:7" ht="15" hidden="1" customHeight="1" x14ac:dyDescent="0.25">
      <c r="B334" s="8"/>
      <c r="C334" s="97">
        <v>312</v>
      </c>
      <c r="D334" s="69"/>
      <c r="E334" s="86"/>
      <c r="F334" s="86"/>
      <c r="G334" s="9"/>
    </row>
    <row r="335" spans="2:7" ht="15" hidden="1" customHeight="1" x14ac:dyDescent="0.25">
      <c r="B335" s="8"/>
      <c r="C335" s="97">
        <v>313</v>
      </c>
      <c r="D335" s="69"/>
      <c r="E335" s="86"/>
      <c r="F335" s="86"/>
      <c r="G335" s="9"/>
    </row>
    <row r="336" spans="2:7" ht="15" hidden="1" customHeight="1" x14ac:dyDescent="0.25">
      <c r="B336" s="8"/>
      <c r="C336" s="97">
        <v>314</v>
      </c>
      <c r="D336" s="69"/>
      <c r="E336" s="86"/>
      <c r="F336" s="86"/>
      <c r="G336" s="9"/>
    </row>
    <row r="337" spans="2:7" ht="15" hidden="1" customHeight="1" x14ac:dyDescent="0.25">
      <c r="B337" s="8"/>
      <c r="C337" s="97">
        <v>315</v>
      </c>
      <c r="D337" s="69"/>
      <c r="E337" s="86"/>
      <c r="F337" s="86"/>
      <c r="G337" s="9"/>
    </row>
    <row r="338" spans="2:7" ht="15" hidden="1" customHeight="1" x14ac:dyDescent="0.25">
      <c r="B338" s="8"/>
      <c r="C338" s="97">
        <v>316</v>
      </c>
      <c r="D338" s="69"/>
      <c r="E338" s="86"/>
      <c r="F338" s="86"/>
      <c r="G338" s="9"/>
    </row>
    <row r="339" spans="2:7" ht="15" hidden="1" customHeight="1" x14ac:dyDescent="0.25">
      <c r="B339" s="8"/>
      <c r="C339" s="97">
        <v>317</v>
      </c>
      <c r="D339" s="69"/>
      <c r="E339" s="86"/>
      <c r="F339" s="86"/>
      <c r="G339" s="9"/>
    </row>
    <row r="340" spans="2:7" ht="15" hidden="1" customHeight="1" x14ac:dyDescent="0.25">
      <c r="B340" s="8"/>
      <c r="C340" s="97">
        <v>318</v>
      </c>
      <c r="D340" s="69"/>
      <c r="E340" s="86"/>
      <c r="F340" s="86"/>
      <c r="G340" s="9"/>
    </row>
    <row r="341" spans="2:7" ht="15" hidden="1" customHeight="1" x14ac:dyDescent="0.25">
      <c r="B341" s="8"/>
      <c r="C341" s="97">
        <v>319</v>
      </c>
      <c r="D341" s="69"/>
      <c r="E341" s="86"/>
      <c r="F341" s="86"/>
      <c r="G341" s="9"/>
    </row>
    <row r="342" spans="2:7" ht="15" hidden="1" customHeight="1" x14ac:dyDescent="0.25">
      <c r="B342" s="8"/>
      <c r="C342" s="97">
        <v>320</v>
      </c>
      <c r="D342" s="69"/>
      <c r="E342" s="86"/>
      <c r="F342" s="86"/>
      <c r="G342" s="9"/>
    </row>
    <row r="343" spans="2:7" ht="15" hidden="1" customHeight="1" x14ac:dyDescent="0.25">
      <c r="B343" s="8"/>
      <c r="C343" s="97">
        <v>321</v>
      </c>
      <c r="D343" s="69"/>
      <c r="E343" s="86"/>
      <c r="F343" s="86"/>
      <c r="G343" s="9"/>
    </row>
    <row r="344" spans="2:7" ht="15" hidden="1" customHeight="1" x14ac:dyDescent="0.25">
      <c r="B344" s="8"/>
      <c r="C344" s="97">
        <v>322</v>
      </c>
      <c r="D344" s="69"/>
      <c r="E344" s="86"/>
      <c r="F344" s="86"/>
      <c r="G344" s="9"/>
    </row>
    <row r="345" spans="2:7" ht="15" hidden="1" customHeight="1" x14ac:dyDescent="0.25">
      <c r="B345" s="8"/>
      <c r="C345" s="97">
        <v>323</v>
      </c>
      <c r="D345" s="69"/>
      <c r="E345" s="86"/>
      <c r="F345" s="86"/>
      <c r="G345" s="9"/>
    </row>
    <row r="346" spans="2:7" ht="15" hidden="1" customHeight="1" x14ac:dyDescent="0.25">
      <c r="B346" s="8"/>
      <c r="C346" s="97">
        <v>324</v>
      </c>
      <c r="D346" s="69"/>
      <c r="E346" s="86"/>
      <c r="F346" s="86"/>
      <c r="G346" s="9"/>
    </row>
    <row r="347" spans="2:7" ht="15" hidden="1" customHeight="1" x14ac:dyDescent="0.25">
      <c r="B347" s="8"/>
      <c r="C347" s="97">
        <v>325</v>
      </c>
      <c r="D347" s="69"/>
      <c r="E347" s="86"/>
      <c r="F347" s="86"/>
      <c r="G347" s="9"/>
    </row>
    <row r="348" spans="2:7" ht="15" hidden="1" customHeight="1" x14ac:dyDescent="0.25">
      <c r="B348" s="8"/>
      <c r="C348" s="97">
        <v>326</v>
      </c>
      <c r="D348" s="69"/>
      <c r="E348" s="86"/>
      <c r="F348" s="86"/>
      <c r="G348" s="9"/>
    </row>
    <row r="349" spans="2:7" ht="15" hidden="1" customHeight="1" x14ac:dyDescent="0.25">
      <c r="B349" s="8"/>
      <c r="C349" s="97">
        <v>327</v>
      </c>
      <c r="D349" s="69"/>
      <c r="E349" s="86"/>
      <c r="F349" s="86"/>
      <c r="G349" s="9"/>
    </row>
    <row r="350" spans="2:7" ht="15" hidden="1" customHeight="1" x14ac:dyDescent="0.25">
      <c r="B350" s="8"/>
      <c r="C350" s="97">
        <v>328</v>
      </c>
      <c r="D350" s="69"/>
      <c r="E350" s="86"/>
      <c r="F350" s="86"/>
      <c r="G350" s="9"/>
    </row>
    <row r="351" spans="2:7" ht="15" hidden="1" customHeight="1" x14ac:dyDescent="0.25">
      <c r="B351" s="8"/>
      <c r="C351" s="97">
        <v>329</v>
      </c>
      <c r="D351" s="69"/>
      <c r="E351" s="86"/>
      <c r="F351" s="86"/>
      <c r="G351" s="9"/>
    </row>
    <row r="352" spans="2:7" ht="15" hidden="1" customHeight="1" x14ac:dyDescent="0.25">
      <c r="B352" s="8"/>
      <c r="C352" s="97">
        <v>330</v>
      </c>
      <c r="D352" s="69"/>
      <c r="E352" s="86"/>
      <c r="F352" s="86"/>
      <c r="G352" s="9"/>
    </row>
    <row r="353" spans="2:7" ht="15" hidden="1" customHeight="1" x14ac:dyDescent="0.25">
      <c r="B353" s="8"/>
      <c r="C353" s="97">
        <v>331</v>
      </c>
      <c r="D353" s="69"/>
      <c r="E353" s="86"/>
      <c r="F353" s="86"/>
      <c r="G353" s="9"/>
    </row>
    <row r="354" spans="2:7" ht="15" hidden="1" customHeight="1" x14ac:dyDescent="0.25">
      <c r="B354" s="8"/>
      <c r="C354" s="97">
        <v>332</v>
      </c>
      <c r="D354" s="69"/>
      <c r="E354" s="86"/>
      <c r="F354" s="86"/>
      <c r="G354" s="9"/>
    </row>
    <row r="355" spans="2:7" ht="15" hidden="1" customHeight="1" x14ac:dyDescent="0.25">
      <c r="B355" s="8"/>
      <c r="C355" s="97">
        <v>333</v>
      </c>
      <c r="D355" s="69"/>
      <c r="E355" s="86"/>
      <c r="F355" s="86"/>
      <c r="G355" s="9"/>
    </row>
    <row r="356" spans="2:7" ht="15" hidden="1" customHeight="1" x14ac:dyDescent="0.25">
      <c r="B356" s="8"/>
      <c r="C356" s="97">
        <v>334</v>
      </c>
      <c r="D356" s="69"/>
      <c r="E356" s="86"/>
      <c r="F356" s="86"/>
      <c r="G356" s="9"/>
    </row>
    <row r="357" spans="2:7" ht="15" hidden="1" customHeight="1" x14ac:dyDescent="0.25">
      <c r="B357" s="8"/>
      <c r="C357" s="97">
        <v>335</v>
      </c>
      <c r="D357" s="69"/>
      <c r="E357" s="86"/>
      <c r="F357" s="86"/>
      <c r="G357" s="9"/>
    </row>
    <row r="358" spans="2:7" ht="15" hidden="1" customHeight="1" x14ac:dyDescent="0.25">
      <c r="B358" s="8"/>
      <c r="C358" s="97">
        <v>336</v>
      </c>
      <c r="D358" s="69"/>
      <c r="E358" s="86"/>
      <c r="F358" s="86"/>
      <c r="G358" s="9"/>
    </row>
    <row r="359" spans="2:7" ht="15" hidden="1" customHeight="1" x14ac:dyDescent="0.25">
      <c r="B359" s="8"/>
      <c r="C359" s="97">
        <v>337</v>
      </c>
      <c r="D359" s="69"/>
      <c r="E359" s="86"/>
      <c r="F359" s="86"/>
      <c r="G359" s="9"/>
    </row>
    <row r="360" spans="2:7" ht="15" hidden="1" customHeight="1" x14ac:dyDescent="0.25">
      <c r="B360" s="8"/>
      <c r="C360" s="97">
        <v>338</v>
      </c>
      <c r="D360" s="69"/>
      <c r="E360" s="86"/>
      <c r="F360" s="86"/>
      <c r="G360" s="9"/>
    </row>
    <row r="361" spans="2:7" ht="15" hidden="1" customHeight="1" x14ac:dyDescent="0.25">
      <c r="B361" s="8"/>
      <c r="C361" s="97">
        <v>339</v>
      </c>
      <c r="D361" s="69"/>
      <c r="E361" s="86"/>
      <c r="F361" s="86"/>
      <c r="G361" s="9"/>
    </row>
    <row r="362" spans="2:7" ht="15" hidden="1" customHeight="1" x14ac:dyDescent="0.25">
      <c r="B362" s="8"/>
      <c r="C362" s="97">
        <v>340</v>
      </c>
      <c r="D362" s="69"/>
      <c r="E362" s="86"/>
      <c r="F362" s="86"/>
      <c r="G362" s="9"/>
    </row>
    <row r="363" spans="2:7" ht="15" hidden="1" customHeight="1" x14ac:dyDescent="0.25">
      <c r="B363" s="8"/>
      <c r="C363" s="97">
        <v>341</v>
      </c>
      <c r="D363" s="69"/>
      <c r="E363" s="86"/>
      <c r="F363" s="86"/>
      <c r="G363" s="9"/>
    </row>
    <row r="364" spans="2:7" ht="15" hidden="1" customHeight="1" x14ac:dyDescent="0.25">
      <c r="B364" s="8"/>
      <c r="C364" s="97">
        <v>342</v>
      </c>
      <c r="D364" s="69"/>
      <c r="E364" s="86"/>
      <c r="F364" s="86"/>
      <c r="G364" s="9"/>
    </row>
    <row r="365" spans="2:7" ht="15" hidden="1" customHeight="1" x14ac:dyDescent="0.25">
      <c r="B365" s="8"/>
      <c r="C365" s="97">
        <v>343</v>
      </c>
      <c r="D365" s="69"/>
      <c r="E365" s="86"/>
      <c r="F365" s="86"/>
      <c r="G365" s="9"/>
    </row>
    <row r="366" spans="2:7" ht="15" hidden="1" customHeight="1" x14ac:dyDescent="0.25">
      <c r="B366" s="8"/>
      <c r="C366" s="97">
        <v>344</v>
      </c>
      <c r="D366" s="69"/>
      <c r="E366" s="86"/>
      <c r="F366" s="86"/>
      <c r="G366" s="9"/>
    </row>
    <row r="367" spans="2:7" ht="15" hidden="1" customHeight="1" x14ac:dyDescent="0.25">
      <c r="B367" s="8"/>
      <c r="C367" s="97">
        <v>345</v>
      </c>
      <c r="D367" s="69"/>
      <c r="E367" s="86"/>
      <c r="F367" s="86"/>
      <c r="G367" s="9"/>
    </row>
    <row r="368" spans="2:7" ht="15" hidden="1" customHeight="1" x14ac:dyDescent="0.25">
      <c r="B368" s="8"/>
      <c r="C368" s="97">
        <v>346</v>
      </c>
      <c r="D368" s="69"/>
      <c r="E368" s="86"/>
      <c r="F368" s="86"/>
      <c r="G368" s="9"/>
    </row>
    <row r="369" spans="2:7" ht="15" hidden="1" customHeight="1" x14ac:dyDescent="0.25">
      <c r="B369" s="8"/>
      <c r="C369" s="97">
        <v>347</v>
      </c>
      <c r="D369" s="69"/>
      <c r="E369" s="86"/>
      <c r="F369" s="86"/>
      <c r="G369" s="9"/>
    </row>
    <row r="370" spans="2:7" ht="15" hidden="1" customHeight="1" x14ac:dyDescent="0.25">
      <c r="B370" s="8"/>
      <c r="C370" s="97">
        <v>348</v>
      </c>
      <c r="D370" s="69"/>
      <c r="E370" s="86"/>
      <c r="F370" s="86"/>
      <c r="G370" s="9"/>
    </row>
    <row r="371" spans="2:7" ht="15" hidden="1" customHeight="1" x14ac:dyDescent="0.25">
      <c r="B371" s="8"/>
      <c r="C371" s="97">
        <v>349</v>
      </c>
      <c r="D371" s="69"/>
      <c r="E371" s="86"/>
      <c r="F371" s="86"/>
      <c r="G371" s="9"/>
    </row>
    <row r="372" spans="2:7" ht="15" hidden="1" customHeight="1" x14ac:dyDescent="0.25">
      <c r="B372" s="8"/>
      <c r="C372" s="97">
        <v>350</v>
      </c>
      <c r="D372" s="69"/>
      <c r="E372" s="86"/>
      <c r="F372" s="86"/>
      <c r="G372" s="9"/>
    </row>
    <row r="373" spans="2:7" ht="15" hidden="1" customHeight="1" x14ac:dyDescent="0.25">
      <c r="B373" s="8"/>
      <c r="C373" s="97">
        <v>351</v>
      </c>
      <c r="D373" s="69"/>
      <c r="E373" s="86"/>
      <c r="F373" s="86"/>
      <c r="G373" s="9"/>
    </row>
    <row r="374" spans="2:7" ht="15" hidden="1" customHeight="1" x14ac:dyDescent="0.25">
      <c r="B374" s="8"/>
      <c r="C374" s="97">
        <v>352</v>
      </c>
      <c r="D374" s="69"/>
      <c r="E374" s="86"/>
      <c r="F374" s="86"/>
      <c r="G374" s="9"/>
    </row>
    <row r="375" spans="2:7" ht="15" hidden="1" customHeight="1" x14ac:dyDescent="0.25">
      <c r="B375" s="8"/>
      <c r="C375" s="97">
        <v>353</v>
      </c>
      <c r="D375" s="69"/>
      <c r="E375" s="86"/>
      <c r="F375" s="86"/>
      <c r="G375" s="9"/>
    </row>
    <row r="376" spans="2:7" ht="15" hidden="1" customHeight="1" x14ac:dyDescent="0.25">
      <c r="B376" s="8"/>
      <c r="C376" s="97">
        <v>354</v>
      </c>
      <c r="D376" s="69"/>
      <c r="E376" s="86"/>
      <c r="F376" s="86"/>
      <c r="G376" s="9"/>
    </row>
    <row r="377" spans="2:7" ht="15" hidden="1" customHeight="1" x14ac:dyDescent="0.25">
      <c r="B377" s="8"/>
      <c r="C377" s="97">
        <v>355</v>
      </c>
      <c r="D377" s="69"/>
      <c r="E377" s="86"/>
      <c r="F377" s="86"/>
      <c r="G377" s="9"/>
    </row>
    <row r="378" spans="2:7" ht="15" hidden="1" customHeight="1" x14ac:dyDescent="0.25">
      <c r="B378" s="8"/>
      <c r="C378" s="97">
        <v>356</v>
      </c>
      <c r="D378" s="69"/>
      <c r="E378" s="86"/>
      <c r="F378" s="86"/>
      <c r="G378" s="9"/>
    </row>
    <row r="379" spans="2:7" ht="15" hidden="1" customHeight="1" x14ac:dyDescent="0.25">
      <c r="B379" s="8"/>
      <c r="C379" s="97">
        <v>357</v>
      </c>
      <c r="D379" s="69"/>
      <c r="E379" s="86"/>
      <c r="F379" s="86"/>
      <c r="G379" s="9"/>
    </row>
    <row r="380" spans="2:7" ht="15" hidden="1" customHeight="1" x14ac:dyDescent="0.25">
      <c r="B380" s="8"/>
      <c r="C380" s="97">
        <v>358</v>
      </c>
      <c r="D380" s="69"/>
      <c r="E380" s="86"/>
      <c r="F380" s="86"/>
      <c r="G380" s="9"/>
    </row>
    <row r="381" spans="2:7" ht="15" hidden="1" customHeight="1" x14ac:dyDescent="0.25">
      <c r="B381" s="8"/>
      <c r="C381" s="97">
        <v>359</v>
      </c>
      <c r="D381" s="69"/>
      <c r="E381" s="86"/>
      <c r="F381" s="86"/>
      <c r="G381" s="9"/>
    </row>
    <row r="382" spans="2:7" ht="15" hidden="1" customHeight="1" x14ac:dyDescent="0.25">
      <c r="B382" s="8"/>
      <c r="C382" s="97">
        <v>360</v>
      </c>
      <c r="D382" s="69"/>
      <c r="E382" s="86"/>
      <c r="F382" s="86"/>
      <c r="G382" s="9"/>
    </row>
    <row r="383" spans="2:7" ht="15" hidden="1" customHeight="1" x14ac:dyDescent="0.25">
      <c r="B383" s="8"/>
      <c r="C383" s="97">
        <v>361</v>
      </c>
      <c r="D383" s="69"/>
      <c r="E383" s="86"/>
      <c r="F383" s="86"/>
      <c r="G383" s="9"/>
    </row>
    <row r="384" spans="2:7" ht="15" hidden="1" customHeight="1" x14ac:dyDescent="0.25">
      <c r="B384" s="8"/>
      <c r="C384" s="97">
        <v>362</v>
      </c>
      <c r="D384" s="69"/>
      <c r="E384" s="86"/>
      <c r="F384" s="86"/>
      <c r="G384" s="9"/>
    </row>
    <row r="385" spans="2:7" ht="15" hidden="1" customHeight="1" x14ac:dyDescent="0.25">
      <c r="B385" s="8"/>
      <c r="C385" s="97">
        <v>363</v>
      </c>
      <c r="D385" s="69"/>
      <c r="E385" s="86"/>
      <c r="F385" s="86"/>
      <c r="G385" s="9"/>
    </row>
    <row r="386" spans="2:7" ht="15" hidden="1" customHeight="1" x14ac:dyDescent="0.25">
      <c r="B386" s="8"/>
      <c r="C386" s="97">
        <v>364</v>
      </c>
      <c r="D386" s="69"/>
      <c r="E386" s="86"/>
      <c r="F386" s="86"/>
      <c r="G386" s="9"/>
    </row>
    <row r="387" spans="2:7" ht="15" hidden="1" customHeight="1" x14ac:dyDescent="0.25">
      <c r="B387" s="8"/>
      <c r="C387" s="97">
        <v>365</v>
      </c>
      <c r="D387" s="69"/>
      <c r="E387" s="86"/>
      <c r="F387" s="86"/>
      <c r="G387" s="9"/>
    </row>
    <row r="388" spans="2:7" ht="15" hidden="1" customHeight="1" x14ac:dyDescent="0.25">
      <c r="B388" s="8"/>
      <c r="C388" s="97">
        <v>366</v>
      </c>
      <c r="D388" s="69"/>
      <c r="E388" s="86"/>
      <c r="F388" s="86"/>
      <c r="G388" s="9"/>
    </row>
    <row r="389" spans="2:7" ht="15" hidden="1" customHeight="1" x14ac:dyDescent="0.25">
      <c r="B389" s="8"/>
      <c r="C389" s="97">
        <v>367</v>
      </c>
      <c r="D389" s="69"/>
      <c r="E389" s="86"/>
      <c r="F389" s="86"/>
      <c r="G389" s="9"/>
    </row>
    <row r="390" spans="2:7" ht="15" hidden="1" customHeight="1" x14ac:dyDescent="0.25">
      <c r="B390" s="8"/>
      <c r="C390" s="97">
        <v>368</v>
      </c>
      <c r="D390" s="69"/>
      <c r="E390" s="86"/>
      <c r="F390" s="86"/>
      <c r="G390" s="9"/>
    </row>
    <row r="391" spans="2:7" ht="15" hidden="1" customHeight="1" x14ac:dyDescent="0.25">
      <c r="B391" s="8"/>
      <c r="C391" s="97">
        <v>369</v>
      </c>
      <c r="D391" s="69"/>
      <c r="E391" s="86"/>
      <c r="F391" s="86"/>
      <c r="G391" s="9"/>
    </row>
    <row r="392" spans="2:7" ht="15" hidden="1" customHeight="1" x14ac:dyDescent="0.25">
      <c r="B392" s="8"/>
      <c r="C392" s="97">
        <v>370</v>
      </c>
      <c r="D392" s="69"/>
      <c r="E392" s="86"/>
      <c r="F392" s="86"/>
      <c r="G392" s="9"/>
    </row>
    <row r="393" spans="2:7" ht="15" hidden="1" customHeight="1" x14ac:dyDescent="0.25">
      <c r="B393" s="8"/>
      <c r="C393" s="97">
        <v>371</v>
      </c>
      <c r="D393" s="69"/>
      <c r="E393" s="86"/>
      <c r="F393" s="86"/>
      <c r="G393" s="9"/>
    </row>
    <row r="394" spans="2:7" ht="15" hidden="1" customHeight="1" x14ac:dyDescent="0.25">
      <c r="B394" s="8"/>
      <c r="C394" s="97">
        <v>372</v>
      </c>
      <c r="D394" s="69"/>
      <c r="E394" s="86"/>
      <c r="F394" s="86"/>
      <c r="G394" s="9"/>
    </row>
    <row r="395" spans="2:7" ht="15" hidden="1" customHeight="1" x14ac:dyDescent="0.25">
      <c r="B395" s="8"/>
      <c r="C395" s="97">
        <v>373</v>
      </c>
      <c r="D395" s="69"/>
      <c r="E395" s="86"/>
      <c r="F395" s="86"/>
      <c r="G395" s="9"/>
    </row>
    <row r="396" spans="2:7" ht="15" hidden="1" customHeight="1" x14ac:dyDescent="0.25">
      <c r="B396" s="8"/>
      <c r="C396" s="97">
        <v>374</v>
      </c>
      <c r="D396" s="69"/>
      <c r="E396" s="86"/>
      <c r="F396" s="86"/>
      <c r="G396" s="9"/>
    </row>
    <row r="397" spans="2:7" ht="15" hidden="1" customHeight="1" x14ac:dyDescent="0.25">
      <c r="B397" s="8"/>
      <c r="C397" s="97">
        <v>375</v>
      </c>
      <c r="D397" s="69"/>
      <c r="E397" s="86"/>
      <c r="F397" s="86"/>
      <c r="G397" s="9"/>
    </row>
    <row r="398" spans="2:7" ht="15" hidden="1" customHeight="1" x14ac:dyDescent="0.25">
      <c r="B398" s="8"/>
      <c r="C398" s="97">
        <v>376</v>
      </c>
      <c r="D398" s="69"/>
      <c r="E398" s="86"/>
      <c r="F398" s="86"/>
      <c r="G398" s="9"/>
    </row>
    <row r="399" spans="2:7" ht="15" hidden="1" customHeight="1" x14ac:dyDescent="0.25">
      <c r="B399" s="8"/>
      <c r="C399" s="97">
        <v>377</v>
      </c>
      <c r="D399" s="69"/>
      <c r="E399" s="86"/>
      <c r="F399" s="86"/>
      <c r="G399" s="9"/>
    </row>
    <row r="400" spans="2:7" ht="15" hidden="1" customHeight="1" x14ac:dyDescent="0.25">
      <c r="B400" s="8"/>
      <c r="C400" s="97">
        <v>378</v>
      </c>
      <c r="D400" s="69"/>
      <c r="E400" s="86"/>
      <c r="F400" s="86"/>
      <c r="G400" s="9"/>
    </row>
    <row r="401" spans="2:7" ht="15" hidden="1" customHeight="1" x14ac:dyDescent="0.25">
      <c r="B401" s="8"/>
      <c r="C401" s="97">
        <v>379</v>
      </c>
      <c r="D401" s="69"/>
      <c r="E401" s="86"/>
      <c r="F401" s="86"/>
      <c r="G401" s="9"/>
    </row>
    <row r="402" spans="2:7" ht="15" hidden="1" customHeight="1" x14ac:dyDescent="0.25">
      <c r="B402" s="8"/>
      <c r="C402" s="97">
        <v>380</v>
      </c>
      <c r="D402" s="69"/>
      <c r="E402" s="86"/>
      <c r="F402" s="86"/>
      <c r="G402" s="9"/>
    </row>
    <row r="403" spans="2:7" ht="15" hidden="1" customHeight="1" x14ac:dyDescent="0.25">
      <c r="B403" s="8"/>
      <c r="C403" s="97">
        <v>381</v>
      </c>
      <c r="D403" s="69"/>
      <c r="E403" s="86"/>
      <c r="F403" s="86"/>
      <c r="G403" s="9"/>
    </row>
    <row r="404" spans="2:7" ht="15" hidden="1" customHeight="1" x14ac:dyDescent="0.25">
      <c r="B404" s="8"/>
      <c r="C404" s="97">
        <v>382</v>
      </c>
      <c r="D404" s="69"/>
      <c r="E404" s="86"/>
      <c r="F404" s="86"/>
      <c r="G404" s="9"/>
    </row>
    <row r="405" spans="2:7" ht="15" hidden="1" customHeight="1" x14ac:dyDescent="0.25">
      <c r="B405" s="8"/>
      <c r="C405" s="97">
        <v>383</v>
      </c>
      <c r="D405" s="69"/>
      <c r="E405" s="86"/>
      <c r="F405" s="86"/>
      <c r="G405" s="9"/>
    </row>
    <row r="406" spans="2:7" ht="15" hidden="1" customHeight="1" x14ac:dyDescent="0.25">
      <c r="B406" s="8"/>
      <c r="C406" s="97">
        <v>384</v>
      </c>
      <c r="D406" s="69"/>
      <c r="E406" s="86"/>
      <c r="F406" s="86"/>
      <c r="G406" s="9"/>
    </row>
    <row r="407" spans="2:7" ht="15" hidden="1" customHeight="1" x14ac:dyDescent="0.25">
      <c r="B407" s="8"/>
      <c r="C407" s="97">
        <v>385</v>
      </c>
      <c r="D407" s="69"/>
      <c r="E407" s="86"/>
      <c r="F407" s="86"/>
      <c r="G407" s="9"/>
    </row>
    <row r="408" spans="2:7" ht="15" hidden="1" customHeight="1" x14ac:dyDescent="0.25">
      <c r="B408" s="8"/>
      <c r="C408" s="97">
        <v>386</v>
      </c>
      <c r="D408" s="69"/>
      <c r="E408" s="86"/>
      <c r="F408" s="86"/>
      <c r="G408" s="9"/>
    </row>
    <row r="409" spans="2:7" ht="15" hidden="1" customHeight="1" x14ac:dyDescent="0.25">
      <c r="B409" s="8"/>
      <c r="C409" s="97">
        <v>387</v>
      </c>
      <c r="D409" s="69"/>
      <c r="E409" s="86"/>
      <c r="F409" s="86"/>
      <c r="G409" s="9"/>
    </row>
    <row r="410" spans="2:7" ht="15" hidden="1" customHeight="1" x14ac:dyDescent="0.25">
      <c r="B410" s="8"/>
      <c r="C410" s="97">
        <v>388</v>
      </c>
      <c r="D410" s="69"/>
      <c r="E410" s="86"/>
      <c r="F410" s="86"/>
      <c r="G410" s="9"/>
    </row>
    <row r="411" spans="2:7" ht="15" hidden="1" customHeight="1" x14ac:dyDescent="0.25">
      <c r="B411" s="8"/>
      <c r="C411" s="97">
        <v>389</v>
      </c>
      <c r="D411" s="69"/>
      <c r="E411" s="86"/>
      <c r="F411" s="86"/>
      <c r="G411" s="9"/>
    </row>
    <row r="412" spans="2:7" ht="15" hidden="1" customHeight="1" x14ac:dyDescent="0.25">
      <c r="B412" s="8"/>
      <c r="C412" s="97">
        <v>390</v>
      </c>
      <c r="D412" s="69"/>
      <c r="E412" s="86"/>
      <c r="F412" s="86"/>
      <c r="G412" s="9"/>
    </row>
    <row r="413" spans="2:7" ht="15" hidden="1" customHeight="1" x14ac:dyDescent="0.25">
      <c r="B413" s="8"/>
      <c r="C413" s="97">
        <v>391</v>
      </c>
      <c r="D413" s="69"/>
      <c r="E413" s="86"/>
      <c r="F413" s="86"/>
      <c r="G413" s="9"/>
    </row>
    <row r="414" spans="2:7" ht="15" hidden="1" customHeight="1" x14ac:dyDescent="0.25">
      <c r="B414" s="8"/>
      <c r="C414" s="97">
        <v>392</v>
      </c>
      <c r="D414" s="69"/>
      <c r="E414" s="86"/>
      <c r="F414" s="86"/>
      <c r="G414" s="9"/>
    </row>
    <row r="415" spans="2:7" ht="15" hidden="1" customHeight="1" x14ac:dyDescent="0.25">
      <c r="B415" s="8"/>
      <c r="C415" s="97">
        <v>393</v>
      </c>
      <c r="D415" s="69"/>
      <c r="E415" s="86"/>
      <c r="F415" s="86"/>
      <c r="G415" s="9"/>
    </row>
    <row r="416" spans="2:7" ht="15" hidden="1" customHeight="1" x14ac:dyDescent="0.25">
      <c r="B416" s="8"/>
      <c r="C416" s="97">
        <v>394</v>
      </c>
      <c r="D416" s="69"/>
      <c r="E416" s="86"/>
      <c r="F416" s="86"/>
      <c r="G416" s="9"/>
    </row>
    <row r="417" spans="2:7" ht="15" hidden="1" customHeight="1" x14ac:dyDescent="0.25">
      <c r="B417" s="8"/>
      <c r="C417" s="97">
        <v>395</v>
      </c>
      <c r="D417" s="69"/>
      <c r="E417" s="86"/>
      <c r="F417" s="86"/>
      <c r="G417" s="9"/>
    </row>
    <row r="418" spans="2:7" ht="15" hidden="1" customHeight="1" x14ac:dyDescent="0.25">
      <c r="B418" s="8"/>
      <c r="C418" s="97">
        <v>396</v>
      </c>
      <c r="D418" s="69"/>
      <c r="E418" s="86"/>
      <c r="F418" s="86"/>
      <c r="G418" s="9"/>
    </row>
    <row r="419" spans="2:7" ht="15" hidden="1" customHeight="1" x14ac:dyDescent="0.25">
      <c r="B419" s="8"/>
      <c r="C419" s="97">
        <v>397</v>
      </c>
      <c r="D419" s="69"/>
      <c r="E419" s="86"/>
      <c r="F419" s="86"/>
      <c r="G419" s="9"/>
    </row>
    <row r="420" spans="2:7" ht="15" hidden="1" customHeight="1" x14ac:dyDescent="0.25">
      <c r="B420" s="8"/>
      <c r="C420" s="97">
        <v>398</v>
      </c>
      <c r="D420" s="69"/>
      <c r="E420" s="86"/>
      <c r="F420" s="86"/>
      <c r="G420" s="9"/>
    </row>
    <row r="421" spans="2:7" ht="15" hidden="1" customHeight="1" x14ac:dyDescent="0.25">
      <c r="B421" s="8"/>
      <c r="C421" s="97">
        <v>399</v>
      </c>
      <c r="D421" s="69"/>
      <c r="E421" s="86"/>
      <c r="F421" s="86"/>
      <c r="G421" s="9"/>
    </row>
    <row r="422" spans="2:7" ht="15" hidden="1" customHeight="1" x14ac:dyDescent="0.25">
      <c r="B422" s="8"/>
      <c r="C422" s="97">
        <v>400</v>
      </c>
      <c r="D422" s="69"/>
      <c r="E422" s="86"/>
      <c r="F422" s="86"/>
      <c r="G422" s="9"/>
    </row>
    <row r="423" spans="2:7" ht="15" hidden="1" customHeight="1" x14ac:dyDescent="0.25">
      <c r="B423" s="8"/>
      <c r="C423" s="97">
        <v>401</v>
      </c>
      <c r="D423" s="69"/>
      <c r="E423" s="86"/>
      <c r="F423" s="86"/>
      <c r="G423" s="9"/>
    </row>
    <row r="424" spans="2:7" ht="15" hidden="1" customHeight="1" x14ac:dyDescent="0.25">
      <c r="B424" s="8"/>
      <c r="C424" s="97">
        <v>402</v>
      </c>
      <c r="D424" s="69"/>
      <c r="E424" s="86"/>
      <c r="F424" s="86"/>
      <c r="G424" s="9"/>
    </row>
    <row r="425" spans="2:7" ht="15" hidden="1" customHeight="1" x14ac:dyDescent="0.25">
      <c r="B425" s="8"/>
      <c r="C425" s="97">
        <v>403</v>
      </c>
      <c r="D425" s="69"/>
      <c r="E425" s="86"/>
      <c r="F425" s="86"/>
      <c r="G425" s="9"/>
    </row>
    <row r="426" spans="2:7" ht="15" hidden="1" customHeight="1" x14ac:dyDescent="0.25">
      <c r="B426" s="8"/>
      <c r="C426" s="97">
        <v>404</v>
      </c>
      <c r="D426" s="69"/>
      <c r="E426" s="86"/>
      <c r="F426" s="86"/>
      <c r="G426" s="9"/>
    </row>
    <row r="427" spans="2:7" ht="15" hidden="1" customHeight="1" x14ac:dyDescent="0.25">
      <c r="B427" s="8"/>
      <c r="C427" s="97">
        <v>405</v>
      </c>
      <c r="D427" s="69"/>
      <c r="E427" s="86"/>
      <c r="F427" s="86"/>
      <c r="G427" s="9"/>
    </row>
    <row r="428" spans="2:7" ht="15" hidden="1" customHeight="1" x14ac:dyDescent="0.25">
      <c r="B428" s="8"/>
      <c r="C428" s="97">
        <v>406</v>
      </c>
      <c r="D428" s="69"/>
      <c r="E428" s="86"/>
      <c r="F428" s="86"/>
      <c r="G428" s="9"/>
    </row>
    <row r="429" spans="2:7" ht="15" hidden="1" customHeight="1" x14ac:dyDescent="0.25">
      <c r="B429" s="8"/>
      <c r="C429" s="97">
        <v>407</v>
      </c>
      <c r="D429" s="69"/>
      <c r="E429" s="86"/>
      <c r="F429" s="86"/>
      <c r="G429" s="9"/>
    </row>
    <row r="430" spans="2:7" ht="15" hidden="1" customHeight="1" x14ac:dyDescent="0.25">
      <c r="B430" s="8"/>
      <c r="C430" s="97">
        <v>408</v>
      </c>
      <c r="D430" s="69"/>
      <c r="E430" s="86"/>
      <c r="F430" s="86"/>
      <c r="G430" s="9"/>
    </row>
    <row r="431" spans="2:7" ht="15" hidden="1" customHeight="1" x14ac:dyDescent="0.25">
      <c r="B431" s="8"/>
      <c r="C431" s="97">
        <v>409</v>
      </c>
      <c r="D431" s="69"/>
      <c r="E431" s="86"/>
      <c r="F431" s="86"/>
      <c r="G431" s="9"/>
    </row>
    <row r="432" spans="2:7" ht="15" hidden="1" customHeight="1" x14ac:dyDescent="0.25">
      <c r="B432" s="8"/>
      <c r="C432" s="97">
        <v>410</v>
      </c>
      <c r="D432" s="69"/>
      <c r="E432" s="86"/>
      <c r="F432" s="86"/>
      <c r="G432" s="9"/>
    </row>
    <row r="433" spans="2:7" ht="15" hidden="1" customHeight="1" x14ac:dyDescent="0.25">
      <c r="B433" s="8"/>
      <c r="C433" s="97">
        <v>411</v>
      </c>
      <c r="D433" s="69"/>
      <c r="E433" s="86"/>
      <c r="F433" s="86"/>
      <c r="G433" s="9"/>
    </row>
    <row r="434" spans="2:7" ht="15" hidden="1" customHeight="1" x14ac:dyDescent="0.25">
      <c r="B434" s="8"/>
      <c r="C434" s="97">
        <v>412</v>
      </c>
      <c r="D434" s="69"/>
      <c r="E434" s="86"/>
      <c r="F434" s="86"/>
      <c r="G434" s="9"/>
    </row>
    <row r="435" spans="2:7" ht="15" hidden="1" customHeight="1" x14ac:dyDescent="0.25">
      <c r="B435" s="8"/>
      <c r="C435" s="97">
        <v>413</v>
      </c>
      <c r="D435" s="69"/>
      <c r="E435" s="86"/>
      <c r="F435" s="86"/>
      <c r="G435" s="9"/>
    </row>
    <row r="436" spans="2:7" ht="15" hidden="1" customHeight="1" x14ac:dyDescent="0.25">
      <c r="B436" s="8"/>
      <c r="C436" s="97">
        <v>414</v>
      </c>
      <c r="D436" s="69"/>
      <c r="E436" s="86"/>
      <c r="F436" s="86"/>
      <c r="G436" s="9"/>
    </row>
    <row r="437" spans="2:7" ht="15" hidden="1" customHeight="1" x14ac:dyDescent="0.25">
      <c r="B437" s="8"/>
      <c r="C437" s="97">
        <v>415</v>
      </c>
      <c r="D437" s="69"/>
      <c r="E437" s="86"/>
      <c r="F437" s="86"/>
      <c r="G437" s="9"/>
    </row>
    <row r="438" spans="2:7" ht="15" hidden="1" customHeight="1" x14ac:dyDescent="0.25">
      <c r="B438" s="8"/>
      <c r="C438" s="97">
        <v>416</v>
      </c>
      <c r="D438" s="69"/>
      <c r="E438" s="86"/>
      <c r="F438" s="86"/>
      <c r="G438" s="9"/>
    </row>
    <row r="439" spans="2:7" ht="15" hidden="1" customHeight="1" x14ac:dyDescent="0.25">
      <c r="B439" s="8"/>
      <c r="C439" s="97">
        <v>417</v>
      </c>
      <c r="D439" s="69"/>
      <c r="E439" s="86"/>
      <c r="F439" s="86"/>
      <c r="G439" s="9"/>
    </row>
    <row r="440" spans="2:7" ht="15" hidden="1" customHeight="1" x14ac:dyDescent="0.25">
      <c r="B440" s="8"/>
      <c r="C440" s="97">
        <v>418</v>
      </c>
      <c r="D440" s="69"/>
      <c r="E440" s="86"/>
      <c r="F440" s="86"/>
      <c r="G440" s="9"/>
    </row>
    <row r="441" spans="2:7" ht="15" hidden="1" customHeight="1" x14ac:dyDescent="0.25">
      <c r="B441" s="8"/>
      <c r="C441" s="97">
        <v>419</v>
      </c>
      <c r="D441" s="69"/>
      <c r="E441" s="86"/>
      <c r="F441" s="86"/>
      <c r="G441" s="9"/>
    </row>
    <row r="442" spans="2:7" ht="15" hidden="1" customHeight="1" x14ac:dyDescent="0.25">
      <c r="B442" s="8"/>
      <c r="C442" s="97">
        <v>420</v>
      </c>
      <c r="D442" s="69"/>
      <c r="E442" s="86"/>
      <c r="F442" s="86"/>
      <c r="G442" s="9"/>
    </row>
    <row r="443" spans="2:7" ht="15" hidden="1" customHeight="1" x14ac:dyDescent="0.25">
      <c r="B443" s="8"/>
      <c r="C443" s="97">
        <v>421</v>
      </c>
      <c r="D443" s="69"/>
      <c r="E443" s="86"/>
      <c r="F443" s="86"/>
      <c r="G443" s="9"/>
    </row>
    <row r="444" spans="2:7" ht="15" hidden="1" customHeight="1" x14ac:dyDescent="0.25">
      <c r="B444" s="8"/>
      <c r="C444" s="97">
        <v>422</v>
      </c>
      <c r="D444" s="69"/>
      <c r="E444" s="86"/>
      <c r="F444" s="86"/>
      <c r="G444" s="9"/>
    </row>
    <row r="445" spans="2:7" ht="15" hidden="1" customHeight="1" x14ac:dyDescent="0.25">
      <c r="B445" s="8"/>
      <c r="C445" s="97">
        <v>423</v>
      </c>
      <c r="D445" s="69"/>
      <c r="E445" s="86"/>
      <c r="F445" s="86"/>
      <c r="G445" s="9"/>
    </row>
    <row r="446" spans="2:7" ht="15" hidden="1" customHeight="1" x14ac:dyDescent="0.25">
      <c r="B446" s="8"/>
      <c r="C446" s="97">
        <v>424</v>
      </c>
      <c r="D446" s="69"/>
      <c r="E446" s="86"/>
      <c r="F446" s="86"/>
      <c r="G446" s="9"/>
    </row>
    <row r="447" spans="2:7" ht="15" hidden="1" customHeight="1" x14ac:dyDescent="0.25">
      <c r="B447" s="8"/>
      <c r="C447" s="97">
        <v>425</v>
      </c>
      <c r="D447" s="69"/>
      <c r="E447" s="86"/>
      <c r="F447" s="86"/>
      <c r="G447" s="9"/>
    </row>
    <row r="448" spans="2:7" ht="15" hidden="1" customHeight="1" x14ac:dyDescent="0.25">
      <c r="B448" s="8"/>
      <c r="C448" s="97">
        <v>426</v>
      </c>
      <c r="D448" s="69"/>
      <c r="E448" s="86"/>
      <c r="F448" s="86"/>
      <c r="G448" s="9"/>
    </row>
    <row r="449" spans="2:7" ht="15" hidden="1" customHeight="1" x14ac:dyDescent="0.25">
      <c r="B449" s="8"/>
      <c r="C449" s="97">
        <v>427</v>
      </c>
      <c r="D449" s="69"/>
      <c r="E449" s="86"/>
      <c r="F449" s="86"/>
      <c r="G449" s="9"/>
    </row>
    <row r="450" spans="2:7" ht="15" hidden="1" customHeight="1" x14ac:dyDescent="0.25">
      <c r="B450" s="8"/>
      <c r="C450" s="97">
        <v>428</v>
      </c>
      <c r="D450" s="69"/>
      <c r="E450" s="86"/>
      <c r="F450" s="86"/>
      <c r="G450" s="9"/>
    </row>
    <row r="451" spans="2:7" ht="15" hidden="1" customHeight="1" x14ac:dyDescent="0.25">
      <c r="B451" s="8"/>
      <c r="C451" s="97">
        <v>429</v>
      </c>
      <c r="D451" s="69"/>
      <c r="E451" s="86"/>
      <c r="F451" s="86"/>
      <c r="G451" s="9"/>
    </row>
    <row r="452" spans="2:7" ht="15" hidden="1" customHeight="1" x14ac:dyDescent="0.25">
      <c r="B452" s="8"/>
      <c r="C452" s="97">
        <v>430</v>
      </c>
      <c r="D452" s="69"/>
      <c r="E452" s="86"/>
      <c r="F452" s="86"/>
      <c r="G452" s="9"/>
    </row>
    <row r="453" spans="2:7" ht="15" hidden="1" customHeight="1" x14ac:dyDescent="0.25">
      <c r="B453" s="8"/>
      <c r="C453" s="97">
        <v>431</v>
      </c>
      <c r="D453" s="69"/>
      <c r="E453" s="86"/>
      <c r="F453" s="86"/>
      <c r="G453" s="9"/>
    </row>
    <row r="454" spans="2:7" ht="15" hidden="1" customHeight="1" x14ac:dyDescent="0.25">
      <c r="B454" s="8"/>
      <c r="C454" s="97">
        <v>432</v>
      </c>
      <c r="D454" s="69"/>
      <c r="E454" s="86"/>
      <c r="F454" s="86"/>
      <c r="G454" s="9"/>
    </row>
    <row r="455" spans="2:7" ht="15" hidden="1" customHeight="1" x14ac:dyDescent="0.25">
      <c r="B455" s="8"/>
      <c r="C455" s="97">
        <v>433</v>
      </c>
      <c r="D455" s="69"/>
      <c r="E455" s="86"/>
      <c r="F455" s="86"/>
      <c r="G455" s="9"/>
    </row>
    <row r="456" spans="2:7" ht="15" hidden="1" customHeight="1" x14ac:dyDescent="0.25">
      <c r="B456" s="8"/>
      <c r="C456" s="97">
        <v>434</v>
      </c>
      <c r="D456" s="69"/>
      <c r="E456" s="86"/>
      <c r="F456" s="86"/>
      <c r="G456" s="9"/>
    </row>
    <row r="457" spans="2:7" ht="15" hidden="1" customHeight="1" x14ac:dyDescent="0.25">
      <c r="B457" s="8"/>
      <c r="C457" s="97">
        <v>435</v>
      </c>
      <c r="D457" s="69"/>
      <c r="E457" s="86"/>
      <c r="F457" s="86"/>
      <c r="G457" s="9"/>
    </row>
    <row r="458" spans="2:7" ht="15" hidden="1" customHeight="1" x14ac:dyDescent="0.25">
      <c r="B458" s="8"/>
      <c r="C458" s="97">
        <v>436</v>
      </c>
      <c r="D458" s="69"/>
      <c r="E458" s="86"/>
      <c r="F458" s="86"/>
      <c r="G458" s="9"/>
    </row>
    <row r="459" spans="2:7" ht="15" hidden="1" customHeight="1" x14ac:dyDescent="0.25">
      <c r="B459" s="8"/>
      <c r="C459" s="97">
        <v>437</v>
      </c>
      <c r="D459" s="69"/>
      <c r="E459" s="86"/>
      <c r="F459" s="86"/>
      <c r="G459" s="9"/>
    </row>
    <row r="460" spans="2:7" ht="15" hidden="1" customHeight="1" x14ac:dyDescent="0.25">
      <c r="B460" s="8"/>
      <c r="C460" s="97">
        <v>438</v>
      </c>
      <c r="D460" s="69"/>
      <c r="E460" s="86"/>
      <c r="F460" s="86"/>
      <c r="G460" s="9"/>
    </row>
    <row r="461" spans="2:7" ht="15" hidden="1" customHeight="1" x14ac:dyDescent="0.25">
      <c r="B461" s="8"/>
      <c r="C461" s="97">
        <v>439</v>
      </c>
      <c r="D461" s="69"/>
      <c r="E461" s="86"/>
      <c r="F461" s="86"/>
      <c r="G461" s="9"/>
    </row>
    <row r="462" spans="2:7" ht="15" hidden="1" customHeight="1" x14ac:dyDescent="0.25">
      <c r="B462" s="8"/>
      <c r="C462" s="97">
        <v>440</v>
      </c>
      <c r="D462" s="69"/>
      <c r="E462" s="86"/>
      <c r="F462" s="86"/>
      <c r="G462" s="9"/>
    </row>
    <row r="463" spans="2:7" ht="15" hidden="1" customHeight="1" x14ac:dyDescent="0.25">
      <c r="B463" s="8"/>
      <c r="C463" s="97">
        <v>441</v>
      </c>
      <c r="D463" s="69"/>
      <c r="E463" s="86"/>
      <c r="F463" s="86"/>
      <c r="G463" s="9"/>
    </row>
    <row r="464" spans="2:7" ht="15" hidden="1" customHeight="1" x14ac:dyDescent="0.25">
      <c r="B464" s="8"/>
      <c r="C464" s="97">
        <v>442</v>
      </c>
      <c r="D464" s="69"/>
      <c r="E464" s="86"/>
      <c r="F464" s="86"/>
      <c r="G464" s="9"/>
    </row>
    <row r="465" spans="2:7" ht="15" hidden="1" customHeight="1" x14ac:dyDescent="0.25">
      <c r="B465" s="8"/>
      <c r="C465" s="97">
        <v>443</v>
      </c>
      <c r="D465" s="69"/>
      <c r="E465" s="86"/>
      <c r="F465" s="86"/>
      <c r="G465" s="9"/>
    </row>
    <row r="466" spans="2:7" ht="15" hidden="1" customHeight="1" x14ac:dyDescent="0.25">
      <c r="B466" s="8"/>
      <c r="C466" s="97">
        <v>444</v>
      </c>
      <c r="D466" s="69"/>
      <c r="E466" s="86"/>
      <c r="F466" s="86"/>
      <c r="G466" s="9"/>
    </row>
    <row r="467" spans="2:7" ht="15" hidden="1" customHeight="1" x14ac:dyDescent="0.25">
      <c r="B467" s="8"/>
      <c r="C467" s="97">
        <v>445</v>
      </c>
      <c r="D467" s="69"/>
      <c r="E467" s="86"/>
      <c r="F467" s="86"/>
      <c r="G467" s="9"/>
    </row>
    <row r="468" spans="2:7" ht="15" hidden="1" customHeight="1" x14ac:dyDescent="0.25">
      <c r="B468" s="8"/>
      <c r="C468" s="97">
        <v>446</v>
      </c>
      <c r="D468" s="69"/>
      <c r="E468" s="86"/>
      <c r="F468" s="86"/>
      <c r="G468" s="9"/>
    </row>
    <row r="469" spans="2:7" ht="15" hidden="1" customHeight="1" x14ac:dyDescent="0.25">
      <c r="B469" s="8"/>
      <c r="C469" s="97">
        <v>447</v>
      </c>
      <c r="D469" s="69"/>
      <c r="E469" s="86"/>
      <c r="F469" s="86"/>
      <c r="G469" s="9"/>
    </row>
    <row r="470" spans="2:7" ht="15" hidden="1" customHeight="1" x14ac:dyDescent="0.25">
      <c r="B470" s="8"/>
      <c r="C470" s="97">
        <v>448</v>
      </c>
      <c r="D470" s="69"/>
      <c r="E470" s="86"/>
      <c r="F470" s="86"/>
      <c r="G470" s="9"/>
    </row>
    <row r="471" spans="2:7" ht="15" hidden="1" customHeight="1" x14ac:dyDescent="0.25">
      <c r="B471" s="8"/>
      <c r="C471" s="97">
        <v>449</v>
      </c>
      <c r="D471" s="69"/>
      <c r="E471" s="86"/>
      <c r="F471" s="86"/>
      <c r="G471" s="9"/>
    </row>
    <row r="472" spans="2:7" ht="15" hidden="1" customHeight="1" x14ac:dyDescent="0.25">
      <c r="B472" s="8"/>
      <c r="C472" s="97">
        <v>450</v>
      </c>
      <c r="D472" s="69"/>
      <c r="E472" s="86"/>
      <c r="F472" s="86"/>
      <c r="G472" s="9"/>
    </row>
    <row r="473" spans="2:7" ht="15" hidden="1" customHeight="1" x14ac:dyDescent="0.25">
      <c r="B473" s="8"/>
      <c r="C473" s="97">
        <v>451</v>
      </c>
      <c r="D473" s="69"/>
      <c r="E473" s="86"/>
      <c r="F473" s="86"/>
      <c r="G473" s="9"/>
    </row>
    <row r="474" spans="2:7" ht="15" hidden="1" customHeight="1" x14ac:dyDescent="0.25">
      <c r="B474" s="8"/>
      <c r="C474" s="97">
        <v>452</v>
      </c>
      <c r="D474" s="69"/>
      <c r="E474" s="86"/>
      <c r="F474" s="86"/>
      <c r="G474" s="9"/>
    </row>
    <row r="475" spans="2:7" ht="15" hidden="1" customHeight="1" x14ac:dyDescent="0.25">
      <c r="B475" s="8"/>
      <c r="C475" s="97">
        <v>453</v>
      </c>
      <c r="D475" s="69"/>
      <c r="E475" s="86"/>
      <c r="F475" s="86"/>
      <c r="G475" s="9"/>
    </row>
    <row r="476" spans="2:7" ht="15" hidden="1" customHeight="1" x14ac:dyDescent="0.25">
      <c r="B476" s="8"/>
      <c r="C476" s="97">
        <v>454</v>
      </c>
      <c r="D476" s="69"/>
      <c r="E476" s="86"/>
      <c r="F476" s="86"/>
      <c r="G476" s="9"/>
    </row>
    <row r="477" spans="2:7" ht="15" hidden="1" customHeight="1" x14ac:dyDescent="0.25">
      <c r="B477" s="8"/>
      <c r="C477" s="97">
        <v>455</v>
      </c>
      <c r="D477" s="69"/>
      <c r="E477" s="86"/>
      <c r="F477" s="86"/>
      <c r="G477" s="9"/>
    </row>
    <row r="478" spans="2:7" ht="15" hidden="1" customHeight="1" x14ac:dyDescent="0.25">
      <c r="B478" s="8"/>
      <c r="C478" s="97">
        <v>456</v>
      </c>
      <c r="D478" s="69"/>
      <c r="E478" s="86"/>
      <c r="F478" s="86"/>
      <c r="G478" s="9"/>
    </row>
    <row r="479" spans="2:7" ht="15" hidden="1" customHeight="1" x14ac:dyDescent="0.25">
      <c r="B479" s="8"/>
      <c r="C479" s="97">
        <v>457</v>
      </c>
      <c r="D479" s="69"/>
      <c r="E479" s="86"/>
      <c r="F479" s="86"/>
      <c r="G479" s="9"/>
    </row>
    <row r="480" spans="2:7" ht="15" hidden="1" customHeight="1" x14ac:dyDescent="0.25">
      <c r="B480" s="8"/>
      <c r="C480" s="97">
        <v>458</v>
      </c>
      <c r="D480" s="69"/>
      <c r="E480" s="86"/>
      <c r="F480" s="86"/>
      <c r="G480" s="9"/>
    </row>
    <row r="481" spans="2:7" ht="15" hidden="1" customHeight="1" x14ac:dyDescent="0.25">
      <c r="B481" s="8"/>
      <c r="C481" s="97">
        <v>459</v>
      </c>
      <c r="D481" s="69"/>
      <c r="E481" s="86"/>
      <c r="F481" s="86"/>
      <c r="G481" s="9"/>
    </row>
    <row r="482" spans="2:7" ht="15" hidden="1" customHeight="1" x14ac:dyDescent="0.25">
      <c r="B482" s="8"/>
      <c r="C482" s="97">
        <v>460</v>
      </c>
      <c r="D482" s="69"/>
      <c r="E482" s="86"/>
      <c r="F482" s="86"/>
      <c r="G482" s="9"/>
    </row>
    <row r="483" spans="2:7" ht="15" hidden="1" customHeight="1" x14ac:dyDescent="0.25">
      <c r="B483" s="8"/>
      <c r="C483" s="97">
        <v>461</v>
      </c>
      <c r="D483" s="69"/>
      <c r="E483" s="86"/>
      <c r="F483" s="86"/>
      <c r="G483" s="9"/>
    </row>
    <row r="484" spans="2:7" ht="15" hidden="1" customHeight="1" x14ac:dyDescent="0.25">
      <c r="B484" s="8"/>
      <c r="C484" s="97">
        <v>462</v>
      </c>
      <c r="D484" s="69"/>
      <c r="E484" s="86"/>
      <c r="F484" s="86"/>
      <c r="G484" s="9"/>
    </row>
    <row r="485" spans="2:7" ht="15" hidden="1" customHeight="1" x14ac:dyDescent="0.25">
      <c r="B485" s="8"/>
      <c r="C485" s="97">
        <v>463</v>
      </c>
      <c r="D485" s="69"/>
      <c r="E485" s="86"/>
      <c r="F485" s="86"/>
      <c r="G485" s="9"/>
    </row>
    <row r="486" spans="2:7" ht="15" hidden="1" customHeight="1" x14ac:dyDescent="0.25">
      <c r="B486" s="8"/>
      <c r="C486" s="97">
        <v>464</v>
      </c>
      <c r="D486" s="69"/>
      <c r="E486" s="86"/>
      <c r="F486" s="86"/>
      <c r="G486" s="9"/>
    </row>
    <row r="487" spans="2:7" ht="15" hidden="1" customHeight="1" x14ac:dyDescent="0.25">
      <c r="B487" s="8"/>
      <c r="C487" s="97">
        <v>465</v>
      </c>
      <c r="D487" s="69"/>
      <c r="E487" s="86"/>
      <c r="F487" s="86"/>
      <c r="G487" s="9"/>
    </row>
    <row r="488" spans="2:7" ht="15" hidden="1" customHeight="1" x14ac:dyDescent="0.25">
      <c r="B488" s="8"/>
      <c r="C488" s="97">
        <v>466</v>
      </c>
      <c r="D488" s="69"/>
      <c r="E488" s="86"/>
      <c r="F488" s="86"/>
      <c r="G488" s="9"/>
    </row>
    <row r="489" spans="2:7" ht="15" hidden="1" customHeight="1" x14ac:dyDescent="0.25">
      <c r="B489" s="8"/>
      <c r="C489" s="97">
        <v>467</v>
      </c>
      <c r="D489" s="69"/>
      <c r="E489" s="86"/>
      <c r="F489" s="86"/>
      <c r="G489" s="9"/>
    </row>
    <row r="490" spans="2:7" ht="15" hidden="1" customHeight="1" x14ac:dyDescent="0.25">
      <c r="B490" s="8"/>
      <c r="C490" s="97">
        <v>468</v>
      </c>
      <c r="D490" s="69"/>
      <c r="E490" s="86"/>
      <c r="F490" s="86"/>
      <c r="G490" s="9"/>
    </row>
    <row r="491" spans="2:7" ht="15" hidden="1" customHeight="1" x14ac:dyDescent="0.25">
      <c r="B491" s="8"/>
      <c r="C491" s="97">
        <v>469</v>
      </c>
      <c r="D491" s="69"/>
      <c r="E491" s="86"/>
      <c r="F491" s="86"/>
      <c r="G491" s="9"/>
    </row>
    <row r="492" spans="2:7" ht="15" hidden="1" customHeight="1" x14ac:dyDescent="0.25">
      <c r="B492" s="8"/>
      <c r="C492" s="97">
        <v>470</v>
      </c>
      <c r="D492" s="69"/>
      <c r="E492" s="86"/>
      <c r="F492" s="86"/>
      <c r="G492" s="9"/>
    </row>
    <row r="493" spans="2:7" ht="15" hidden="1" customHeight="1" x14ac:dyDescent="0.25">
      <c r="B493" s="8"/>
      <c r="C493" s="97">
        <v>471</v>
      </c>
      <c r="D493" s="69"/>
      <c r="E493" s="86"/>
      <c r="F493" s="86"/>
      <c r="G493" s="9"/>
    </row>
    <row r="494" spans="2:7" ht="15" hidden="1" customHeight="1" x14ac:dyDescent="0.25">
      <c r="B494" s="8"/>
      <c r="C494" s="97">
        <v>472</v>
      </c>
      <c r="D494" s="69"/>
      <c r="E494" s="86"/>
      <c r="F494" s="86"/>
      <c r="G494" s="9"/>
    </row>
    <row r="495" spans="2:7" ht="15" hidden="1" customHeight="1" x14ac:dyDescent="0.25">
      <c r="B495" s="8"/>
      <c r="C495" s="97">
        <v>473</v>
      </c>
      <c r="D495" s="69"/>
      <c r="E495" s="86"/>
      <c r="F495" s="86"/>
      <c r="G495" s="9"/>
    </row>
    <row r="496" spans="2:7" ht="15" hidden="1" customHeight="1" x14ac:dyDescent="0.25">
      <c r="B496" s="8"/>
      <c r="C496" s="97">
        <v>474</v>
      </c>
      <c r="D496" s="69"/>
      <c r="E496" s="86"/>
      <c r="F496" s="86"/>
      <c r="G496" s="9"/>
    </row>
    <row r="497" spans="2:7" ht="15" hidden="1" customHeight="1" x14ac:dyDescent="0.25">
      <c r="B497" s="8"/>
      <c r="C497" s="97">
        <v>475</v>
      </c>
      <c r="D497" s="69"/>
      <c r="E497" s="86"/>
      <c r="F497" s="86"/>
      <c r="G497" s="9"/>
    </row>
    <row r="498" spans="2:7" ht="15" hidden="1" customHeight="1" x14ac:dyDescent="0.25">
      <c r="B498" s="8"/>
      <c r="C498" s="97">
        <v>476</v>
      </c>
      <c r="D498" s="69"/>
      <c r="E498" s="86"/>
      <c r="F498" s="86"/>
      <c r="G498" s="9"/>
    </row>
    <row r="499" spans="2:7" ht="15" hidden="1" customHeight="1" x14ac:dyDescent="0.25">
      <c r="B499" s="8"/>
      <c r="C499" s="97">
        <v>477</v>
      </c>
      <c r="D499" s="69"/>
      <c r="E499" s="86"/>
      <c r="F499" s="86"/>
      <c r="G499" s="9"/>
    </row>
    <row r="500" spans="2:7" ht="15" hidden="1" customHeight="1" x14ac:dyDescent="0.25">
      <c r="B500" s="8"/>
      <c r="C500" s="97">
        <v>478</v>
      </c>
      <c r="D500" s="69"/>
      <c r="E500" s="86"/>
      <c r="F500" s="86"/>
      <c r="G500" s="9"/>
    </row>
    <row r="501" spans="2:7" ht="15" hidden="1" customHeight="1" x14ac:dyDescent="0.25">
      <c r="B501" s="8"/>
      <c r="C501" s="97">
        <v>479</v>
      </c>
      <c r="D501" s="69"/>
      <c r="E501" s="86"/>
      <c r="F501" s="86"/>
      <c r="G501" s="9"/>
    </row>
    <row r="502" spans="2:7" ht="15" hidden="1" customHeight="1" x14ac:dyDescent="0.25">
      <c r="B502" s="8"/>
      <c r="C502" s="97">
        <v>480</v>
      </c>
      <c r="D502" s="69"/>
      <c r="E502" s="86"/>
      <c r="F502" s="86"/>
      <c r="G502" s="9"/>
    </row>
    <row r="503" spans="2:7" ht="15" hidden="1" customHeight="1" x14ac:dyDescent="0.25">
      <c r="B503" s="8"/>
      <c r="C503" s="97">
        <v>481</v>
      </c>
      <c r="D503" s="69"/>
      <c r="E503" s="86"/>
      <c r="F503" s="86"/>
      <c r="G503" s="9"/>
    </row>
    <row r="504" spans="2:7" ht="15" hidden="1" customHeight="1" x14ac:dyDescent="0.25">
      <c r="B504" s="8"/>
      <c r="C504" s="97">
        <v>482</v>
      </c>
      <c r="D504" s="69"/>
      <c r="E504" s="86"/>
      <c r="F504" s="86"/>
      <c r="G504" s="9"/>
    </row>
    <row r="505" spans="2:7" ht="15" hidden="1" customHeight="1" x14ac:dyDescent="0.25">
      <c r="B505" s="8"/>
      <c r="C505" s="97">
        <v>483</v>
      </c>
      <c r="D505" s="69"/>
      <c r="E505" s="86"/>
      <c r="F505" s="86"/>
      <c r="G505" s="9"/>
    </row>
    <row r="506" spans="2:7" ht="15" hidden="1" customHeight="1" x14ac:dyDescent="0.25">
      <c r="B506" s="8"/>
      <c r="C506" s="97">
        <v>484</v>
      </c>
      <c r="D506" s="69"/>
      <c r="E506" s="86"/>
      <c r="F506" s="86"/>
      <c r="G506" s="9"/>
    </row>
    <row r="507" spans="2:7" ht="15" hidden="1" customHeight="1" x14ac:dyDescent="0.25">
      <c r="B507" s="8"/>
      <c r="C507" s="97">
        <v>485</v>
      </c>
      <c r="D507" s="69"/>
      <c r="E507" s="86"/>
      <c r="F507" s="86"/>
      <c r="G507" s="9"/>
    </row>
    <row r="508" spans="2:7" ht="15" hidden="1" customHeight="1" x14ac:dyDescent="0.25">
      <c r="B508" s="8"/>
      <c r="C508" s="97">
        <v>486</v>
      </c>
      <c r="D508" s="69"/>
      <c r="E508" s="86"/>
      <c r="F508" s="86"/>
      <c r="G508" s="9"/>
    </row>
    <row r="509" spans="2:7" ht="15" hidden="1" customHeight="1" x14ac:dyDescent="0.25">
      <c r="B509" s="8"/>
      <c r="C509" s="97">
        <v>487</v>
      </c>
      <c r="D509" s="69"/>
      <c r="E509" s="86"/>
      <c r="F509" s="86"/>
      <c r="G509" s="9"/>
    </row>
    <row r="510" spans="2:7" ht="15" hidden="1" customHeight="1" x14ac:dyDescent="0.25">
      <c r="B510" s="8"/>
      <c r="C510" s="97">
        <v>488</v>
      </c>
      <c r="D510" s="69"/>
      <c r="E510" s="86"/>
      <c r="F510" s="86"/>
      <c r="G510" s="9"/>
    </row>
    <row r="511" spans="2:7" ht="15" hidden="1" customHeight="1" x14ac:dyDescent="0.25">
      <c r="B511" s="8"/>
      <c r="C511" s="97">
        <v>489</v>
      </c>
      <c r="D511" s="69"/>
      <c r="E511" s="86"/>
      <c r="F511" s="86"/>
      <c r="G511" s="9"/>
    </row>
    <row r="512" spans="2:7" ht="15" hidden="1" customHeight="1" x14ac:dyDescent="0.25">
      <c r="B512" s="8"/>
      <c r="C512" s="97">
        <v>490</v>
      </c>
      <c r="D512" s="69"/>
      <c r="E512" s="86"/>
      <c r="F512" s="86"/>
      <c r="G512" s="9"/>
    </row>
    <row r="513" spans="2:7" ht="15" hidden="1" customHeight="1" x14ac:dyDescent="0.25">
      <c r="B513" s="8"/>
      <c r="C513" s="97">
        <v>491</v>
      </c>
      <c r="D513" s="69"/>
      <c r="E513" s="86"/>
      <c r="F513" s="86"/>
      <c r="G513" s="9"/>
    </row>
    <row r="514" spans="2:7" ht="15" hidden="1" customHeight="1" x14ac:dyDescent="0.25">
      <c r="B514" s="8"/>
      <c r="C514" s="97">
        <v>492</v>
      </c>
      <c r="D514" s="69"/>
      <c r="E514" s="86"/>
      <c r="F514" s="86"/>
      <c r="G514" s="9"/>
    </row>
    <row r="515" spans="2:7" ht="15" hidden="1" customHeight="1" x14ac:dyDescent="0.25">
      <c r="B515" s="8"/>
      <c r="C515" s="97">
        <v>493</v>
      </c>
      <c r="D515" s="69"/>
      <c r="E515" s="86"/>
      <c r="F515" s="86"/>
      <c r="G515" s="9"/>
    </row>
    <row r="516" spans="2:7" ht="15" hidden="1" customHeight="1" x14ac:dyDescent="0.25">
      <c r="B516" s="8"/>
      <c r="C516" s="97">
        <v>494</v>
      </c>
      <c r="D516" s="69"/>
      <c r="E516" s="86"/>
      <c r="F516" s="86"/>
      <c r="G516" s="9"/>
    </row>
    <row r="517" spans="2:7" ht="15" hidden="1" customHeight="1" x14ac:dyDescent="0.25">
      <c r="B517" s="8"/>
      <c r="C517" s="97">
        <v>495</v>
      </c>
      <c r="D517" s="69"/>
      <c r="E517" s="86"/>
      <c r="F517" s="86"/>
      <c r="G517" s="9"/>
    </row>
    <row r="518" spans="2:7" ht="15" hidden="1" customHeight="1" x14ac:dyDescent="0.25">
      <c r="B518" s="8"/>
      <c r="C518" s="97">
        <v>496</v>
      </c>
      <c r="D518" s="69"/>
      <c r="E518" s="86"/>
      <c r="F518" s="86"/>
      <c r="G518" s="9"/>
    </row>
    <row r="519" spans="2:7" ht="15" hidden="1" customHeight="1" x14ac:dyDescent="0.25">
      <c r="B519" s="8"/>
      <c r="C519" s="97">
        <v>497</v>
      </c>
      <c r="D519" s="69"/>
      <c r="E519" s="86"/>
      <c r="F519" s="86"/>
      <c r="G519" s="9"/>
    </row>
    <row r="520" spans="2:7" ht="15" hidden="1" customHeight="1" x14ac:dyDescent="0.25">
      <c r="B520" s="8"/>
      <c r="C520" s="97">
        <v>498</v>
      </c>
      <c r="D520" s="69"/>
      <c r="E520" s="86"/>
      <c r="F520" s="86"/>
      <c r="G520" s="9"/>
    </row>
    <row r="521" spans="2:7" ht="15" hidden="1" customHeight="1" x14ac:dyDescent="0.25">
      <c r="B521" s="8"/>
      <c r="C521" s="97">
        <v>499</v>
      </c>
      <c r="D521" s="69"/>
      <c r="E521" s="86"/>
      <c r="F521" s="86"/>
      <c r="G521" s="9"/>
    </row>
    <row r="522" spans="2:7" ht="15" hidden="1" customHeight="1" x14ac:dyDescent="0.25">
      <c r="B522" s="8"/>
      <c r="C522" s="97">
        <v>500</v>
      </c>
      <c r="D522" s="69"/>
      <c r="E522" s="86"/>
      <c r="F522" s="86"/>
      <c r="G522" s="9"/>
    </row>
    <row r="523" spans="2:7" ht="15" customHeight="1" x14ac:dyDescent="0.25">
      <c r="B523" s="8"/>
      <c r="C523" s="86"/>
      <c r="D523" s="86"/>
      <c r="E523" s="86"/>
      <c r="F523" s="86"/>
      <c r="G523" s="9"/>
    </row>
    <row r="524" spans="2:7" ht="15" customHeight="1" x14ac:dyDescent="0.25">
      <c r="B524" s="8"/>
      <c r="C524" s="108"/>
      <c r="D524" s="108"/>
      <c r="E524" s="86"/>
      <c r="F524" s="86"/>
      <c r="G524" s="9"/>
    </row>
    <row r="525" spans="2:7" ht="15" customHeight="1" x14ac:dyDescent="0.25">
      <c r="B525" s="8"/>
      <c r="C525" s="86"/>
      <c r="D525" s="86"/>
      <c r="E525" s="86"/>
      <c r="F525" s="86"/>
      <c r="G525" s="9"/>
    </row>
    <row r="526" spans="2:7" ht="15" customHeight="1" x14ac:dyDescent="0.25">
      <c r="B526" s="10"/>
      <c r="C526" s="109">
        <f>R.Instructions.VersionNumber</f>
        <v>3.01</v>
      </c>
      <c r="D526" s="109"/>
      <c r="E526" s="11"/>
      <c r="F526" s="12">
        <f>R.Instructions.VersionDate</f>
        <v>45329</v>
      </c>
      <c r="G526" s="13"/>
    </row>
    <row r="528" spans="2:7" ht="15" customHeight="1" x14ac:dyDescent="0.25">
      <c r="C528" s="110" t="str">
        <f>IFERROR(VLOOKUP("Incomplete",Developer!H4:I509,2,FALSE),"Sheet complete.")</f>
        <v>Enter the facility name.</v>
      </c>
      <c r="D528" s="110"/>
      <c r="E528" s="110"/>
      <c r="F528" s="110"/>
    </row>
    <row r="529" spans="3:6" ht="15" customHeight="1" x14ac:dyDescent="0.25">
      <c r="C529" s="110"/>
      <c r="D529" s="110"/>
      <c r="E529" s="110"/>
      <c r="F529" s="110"/>
    </row>
    <row r="530" spans="3:6" ht="15" customHeight="1" x14ac:dyDescent="0.25">
      <c r="C530" s="110"/>
      <c r="D530" s="110"/>
      <c r="E530" s="110"/>
      <c r="F530" s="110"/>
    </row>
  </sheetData>
  <sheetProtection algorithmName="SHA-512" hashValue="kKOuE+MeaVYDpolFEiTZhdI7ngS0a1IKA9ZOm+kzMDj1rKLUTeYPXazyT9i089lZdMK2AGeHydqku5XaItQR1w==" saltValue="ReeViGcfG4fEH6+9eDBO2w==" spinCount="100000" sheet="1" objects="1" scenarios="1" selectLockedCells="1"/>
  <mergeCells count="14">
    <mergeCell ref="C21:F21"/>
    <mergeCell ref="C524:D524"/>
    <mergeCell ref="C526:D526"/>
    <mergeCell ref="C528:F530"/>
    <mergeCell ref="C4:F4"/>
    <mergeCell ref="C7:D7"/>
    <mergeCell ref="C10:D10"/>
    <mergeCell ref="C13:D13"/>
    <mergeCell ref="C16:D16"/>
    <mergeCell ref="C19:D19"/>
    <mergeCell ref="C9:F9"/>
    <mergeCell ref="C12:F12"/>
    <mergeCell ref="C15:F15"/>
    <mergeCell ref="C18:F18"/>
  </mergeCells>
  <phoneticPr fontId="3" type="noConversion"/>
  <conditionalFormatting sqref="C528">
    <cfRule type="cellIs" dxfId="5" priority="1" stopIfTrue="1" operator="equal">
      <formula>"Sheet complete."</formula>
    </cfRule>
  </conditionalFormatting>
  <dataValidations count="2">
    <dataValidation type="list" allowBlank="1" showInputMessage="1" showErrorMessage="1" sqref="C16 C13" xr:uid="{63F23BC3-47B8-4F91-9D25-41D1FF05BB2A}">
      <formula1>"Yes,No"</formula1>
    </dataValidation>
    <dataValidation type="list" allowBlank="1" showInputMessage="1" showErrorMessage="1" sqref="C10" xr:uid="{00FFDAD3-8F1E-4B8F-A372-0B1FA15D2051}">
      <formula1>"1,2,3,4,5"</formula1>
    </dataValidation>
  </dataValidations>
  <printOptions horizontalCentered="1"/>
  <pageMargins left="0.25" right="0.25" top="0.25" bottom="0.25" header="0" footer="0"/>
  <pageSetup scale="86"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AFAE0-8249-48F7-99A3-E1FD41882CDB}">
  <sheetPr codeName="Sheet3">
    <tabColor rgb="FF046A38"/>
    <pageSetUpPr fitToPage="1"/>
  </sheetPr>
  <dimension ref="B1:F159"/>
  <sheetViews>
    <sheetView showGridLines="0" showRowColHeaders="0" zoomScaleNormal="100" workbookViewId="0">
      <selection activeCell="C8" sqref="C8"/>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6"/>
      <c r="C4" s="105" t="s">
        <v>60</v>
      </c>
      <c r="D4" s="105"/>
      <c r="E4" s="105"/>
      <c r="F4" s="17"/>
    </row>
    <row r="5" spans="2:6" ht="20.100000000000001" customHeight="1" x14ac:dyDescent="0.25">
      <c r="B5" s="18"/>
      <c r="C5" s="104" t="s">
        <v>7</v>
      </c>
      <c r="D5" s="104"/>
      <c r="E5" s="104"/>
      <c r="F5" s="19"/>
    </row>
    <row r="6" spans="2:6" ht="15" customHeight="1" x14ac:dyDescent="0.25">
      <c r="B6" s="8"/>
      <c r="C6" s="86"/>
      <c r="D6" s="86"/>
      <c r="E6" s="86"/>
      <c r="F6" s="9"/>
    </row>
    <row r="7" spans="2:6" ht="15" customHeight="1" x14ac:dyDescent="0.25">
      <c r="B7" s="8"/>
      <c r="C7" s="86" t="s">
        <v>19</v>
      </c>
      <c r="D7" s="86"/>
      <c r="E7" s="86"/>
      <c r="F7" s="9"/>
    </row>
    <row r="8" spans="2:6" ht="15" customHeight="1" x14ac:dyDescent="0.25">
      <c r="B8" s="8"/>
      <c r="C8" s="14"/>
      <c r="D8" s="86"/>
      <c r="E8" s="86"/>
      <c r="F8" s="9"/>
    </row>
    <row r="9" spans="2:6" ht="15" customHeight="1" x14ac:dyDescent="0.25">
      <c r="B9" s="8"/>
      <c r="C9" s="86"/>
      <c r="D9" s="86"/>
      <c r="E9" s="86"/>
      <c r="F9" s="9"/>
    </row>
    <row r="10" spans="2:6" ht="15" customHeight="1" x14ac:dyDescent="0.25">
      <c r="B10" s="8"/>
      <c r="C10" s="86" t="s">
        <v>6</v>
      </c>
      <c r="D10" s="86"/>
      <c r="E10" s="86" t="s">
        <v>25</v>
      </c>
      <c r="F10" s="9"/>
    </row>
    <row r="11" spans="2:6" ht="15" customHeight="1" x14ac:dyDescent="0.25">
      <c r="B11" s="8"/>
      <c r="C11" s="14"/>
      <c r="D11" s="86"/>
      <c r="E11" s="69"/>
      <c r="F11" s="9"/>
    </row>
    <row r="12" spans="2:6" ht="15" customHeight="1" x14ac:dyDescent="0.25">
      <c r="B12" s="8"/>
      <c r="C12" s="86"/>
      <c r="D12" s="86"/>
      <c r="E12" s="86"/>
      <c r="F12" s="9"/>
    </row>
    <row r="13" spans="2:6" ht="15" customHeight="1" x14ac:dyDescent="0.25">
      <c r="B13" s="8"/>
      <c r="C13" s="102" t="s">
        <v>1343</v>
      </c>
      <c r="D13" s="102"/>
      <c r="E13" s="102"/>
      <c r="F13" s="9"/>
    </row>
    <row r="14" spans="2:6" ht="15" customHeight="1" x14ac:dyDescent="0.25">
      <c r="B14" s="8"/>
      <c r="C14" s="86"/>
      <c r="D14" s="86"/>
      <c r="E14" s="86"/>
      <c r="F14" s="9"/>
    </row>
    <row r="15" spans="2:6" ht="15" customHeight="1" x14ac:dyDescent="0.25">
      <c r="B15" s="8"/>
      <c r="C15" s="86"/>
      <c r="D15" s="86"/>
      <c r="E15" s="86"/>
      <c r="F15" s="9"/>
    </row>
    <row r="16" spans="2:6" ht="15" customHeight="1" x14ac:dyDescent="0.25">
      <c r="B16" s="8"/>
      <c r="C16" s="86"/>
      <c r="D16" s="86"/>
      <c r="E16" s="86"/>
      <c r="F16" s="9"/>
    </row>
    <row r="17" spans="2:6" ht="15" customHeight="1" x14ac:dyDescent="0.25">
      <c r="B17" s="8"/>
      <c r="C17" s="86"/>
      <c r="D17" s="86"/>
      <c r="E17" s="86"/>
      <c r="F17" s="9"/>
    </row>
    <row r="18" spans="2:6" ht="15" customHeight="1" x14ac:dyDescent="0.25">
      <c r="B18" s="8"/>
      <c r="C18" s="86"/>
      <c r="D18" s="86"/>
      <c r="E18" s="86"/>
      <c r="F18" s="9"/>
    </row>
    <row r="19" spans="2:6" ht="15" customHeight="1" x14ac:dyDescent="0.25">
      <c r="B19" s="8"/>
      <c r="C19" s="86"/>
      <c r="D19" s="86"/>
      <c r="E19" s="86"/>
      <c r="F19" s="9"/>
    </row>
    <row r="20" spans="2:6" ht="15" customHeight="1" x14ac:dyDescent="0.25">
      <c r="B20" s="8"/>
      <c r="C20" s="86"/>
      <c r="D20" s="86"/>
      <c r="E20" s="86"/>
      <c r="F20" s="9"/>
    </row>
    <row r="21" spans="2:6" ht="15" customHeight="1" x14ac:dyDescent="0.25">
      <c r="B21" s="8"/>
      <c r="C21" s="86"/>
      <c r="D21" s="86"/>
      <c r="E21" s="86"/>
      <c r="F21" s="9"/>
    </row>
    <row r="22" spans="2:6" ht="15" customHeight="1" x14ac:dyDescent="0.25">
      <c r="B22" s="8"/>
      <c r="C22" s="86"/>
      <c r="D22" s="86"/>
      <c r="E22" s="86"/>
      <c r="F22" s="9"/>
    </row>
    <row r="23" spans="2:6" ht="15" customHeight="1" x14ac:dyDescent="0.25">
      <c r="B23" s="8"/>
      <c r="C23" s="86"/>
      <c r="D23" s="86"/>
      <c r="E23" s="86"/>
      <c r="F23" s="9"/>
    </row>
    <row r="24" spans="2:6" ht="15" customHeight="1" x14ac:dyDescent="0.25">
      <c r="B24" s="8"/>
      <c r="C24" s="102" t="s">
        <v>62</v>
      </c>
      <c r="D24" s="102"/>
      <c r="E24" s="102"/>
      <c r="F24" s="9"/>
    </row>
    <row r="25" spans="2:6" ht="15" customHeight="1" x14ac:dyDescent="0.25">
      <c r="B25" s="8"/>
      <c r="C25" s="14"/>
      <c r="D25" s="86"/>
      <c r="E25" s="86"/>
      <c r="F25" s="9"/>
    </row>
    <row r="26" spans="2:6" ht="15" customHeight="1" x14ac:dyDescent="0.25">
      <c r="B26" s="8"/>
      <c r="C26" s="86"/>
      <c r="D26" s="86"/>
      <c r="E26" s="86"/>
      <c r="F26" s="9"/>
    </row>
    <row r="27" spans="2:6" ht="15" customHeight="1" x14ac:dyDescent="0.25">
      <c r="B27" s="8"/>
      <c r="C27" s="86" t="s">
        <v>21</v>
      </c>
      <c r="D27" s="86"/>
      <c r="E27" s="86" t="s">
        <v>61</v>
      </c>
      <c r="F27" s="9"/>
    </row>
    <row r="28" spans="2:6" ht="15" customHeight="1" x14ac:dyDescent="0.25">
      <c r="B28" s="8"/>
      <c r="C28" s="63"/>
      <c r="D28" s="86"/>
      <c r="E28" s="88" t="str">
        <f>IF(I.Product.P1Year1="","",IF(I.Product.P1Status="Yes",I.Product.P1Year1+1,CONCATENATE(I.Product.P1Year1+1,", ",I.Product.P1Year1+2)))</f>
        <v/>
      </c>
      <c r="F28" s="9"/>
    </row>
    <row r="29" spans="2:6" ht="15" customHeight="1" x14ac:dyDescent="0.25">
      <c r="B29" s="8"/>
      <c r="C29" s="86"/>
      <c r="D29" s="86"/>
      <c r="E29" s="86"/>
      <c r="F29" s="9"/>
    </row>
    <row r="30" spans="2:6" ht="15" customHeight="1" x14ac:dyDescent="0.25">
      <c r="B30" s="8"/>
      <c r="C30" s="102" t="s">
        <v>2991</v>
      </c>
      <c r="D30" s="102"/>
      <c r="E30" s="102"/>
      <c r="F30" s="9"/>
    </row>
    <row r="31" spans="2:6" ht="15" customHeight="1" x14ac:dyDescent="0.25">
      <c r="B31" s="8"/>
      <c r="C31" s="14"/>
      <c r="D31" s="86"/>
      <c r="E31" s="86"/>
      <c r="F31" s="9"/>
    </row>
    <row r="32" spans="2:6" ht="15" customHeight="1" x14ac:dyDescent="0.25">
      <c r="B32" s="8"/>
      <c r="C32" s="86"/>
      <c r="D32" s="86"/>
      <c r="E32" s="86"/>
      <c r="F32" s="9"/>
    </row>
    <row r="33" spans="2:6" ht="20.100000000000001" hidden="1" customHeight="1" x14ac:dyDescent="0.25">
      <c r="B33" s="18"/>
      <c r="C33" s="104" t="s">
        <v>10</v>
      </c>
      <c r="D33" s="104"/>
      <c r="E33" s="104"/>
      <c r="F33" s="19"/>
    </row>
    <row r="34" spans="2:6" ht="15" hidden="1" customHeight="1" x14ac:dyDescent="0.25">
      <c r="B34" s="8"/>
      <c r="C34" s="86"/>
      <c r="D34" s="86"/>
      <c r="E34" s="86"/>
      <c r="F34" s="9"/>
    </row>
    <row r="35" spans="2:6" ht="15" hidden="1" customHeight="1" x14ac:dyDescent="0.25">
      <c r="B35" s="8"/>
      <c r="C35" s="86" t="s">
        <v>19</v>
      </c>
      <c r="D35" s="86"/>
      <c r="E35" s="86"/>
      <c r="F35" s="9"/>
    </row>
    <row r="36" spans="2:6" ht="15" hidden="1" customHeight="1" x14ac:dyDescent="0.25">
      <c r="B36" s="8"/>
      <c r="C36" s="69"/>
      <c r="D36" s="86"/>
      <c r="E36" s="86"/>
      <c r="F36" s="9"/>
    </row>
    <row r="37" spans="2:6" ht="15" hidden="1" customHeight="1" x14ac:dyDescent="0.25">
      <c r="B37" s="8"/>
      <c r="C37" s="86"/>
      <c r="D37" s="86"/>
      <c r="E37" s="86"/>
      <c r="F37" s="9"/>
    </row>
    <row r="38" spans="2:6" ht="15" hidden="1" customHeight="1" x14ac:dyDescent="0.25">
      <c r="B38" s="8"/>
      <c r="C38" s="86" t="s">
        <v>6</v>
      </c>
      <c r="D38" s="86"/>
      <c r="E38" s="86" t="s">
        <v>25</v>
      </c>
      <c r="F38" s="9"/>
    </row>
    <row r="39" spans="2:6" ht="15" hidden="1" customHeight="1" x14ac:dyDescent="0.25">
      <c r="B39" s="8"/>
      <c r="C39" s="69"/>
      <c r="D39" s="86"/>
      <c r="E39" s="69"/>
      <c r="F39" s="9"/>
    </row>
    <row r="40" spans="2:6" ht="15" hidden="1" customHeight="1" x14ac:dyDescent="0.25">
      <c r="B40" s="8"/>
      <c r="C40" s="86"/>
      <c r="D40" s="86"/>
      <c r="E40" s="86"/>
      <c r="F40" s="9"/>
    </row>
    <row r="41" spans="2:6" ht="15" hidden="1" customHeight="1" x14ac:dyDescent="0.25">
      <c r="B41" s="8"/>
      <c r="C41" s="102" t="s">
        <v>1343</v>
      </c>
      <c r="D41" s="102"/>
      <c r="E41" s="102"/>
      <c r="F41" s="9"/>
    </row>
    <row r="42" spans="2:6" ht="15" hidden="1" customHeight="1" x14ac:dyDescent="0.25">
      <c r="B42" s="8"/>
      <c r="C42" s="86"/>
      <c r="D42" s="86"/>
      <c r="E42" s="86"/>
      <c r="F42" s="9"/>
    </row>
    <row r="43" spans="2:6" ht="15" hidden="1" customHeight="1" x14ac:dyDescent="0.25">
      <c r="B43" s="8"/>
      <c r="C43" s="86"/>
      <c r="D43" s="86"/>
      <c r="E43" s="86"/>
      <c r="F43" s="9"/>
    </row>
    <row r="44" spans="2:6" ht="15" hidden="1" customHeight="1" x14ac:dyDescent="0.25">
      <c r="B44" s="8"/>
      <c r="C44" s="86"/>
      <c r="D44" s="86"/>
      <c r="E44" s="86"/>
      <c r="F44" s="9"/>
    </row>
    <row r="45" spans="2:6" ht="15" hidden="1" customHeight="1" x14ac:dyDescent="0.25">
      <c r="B45" s="8"/>
      <c r="C45" s="86"/>
      <c r="D45" s="86"/>
      <c r="E45" s="86"/>
      <c r="F45" s="9"/>
    </row>
    <row r="46" spans="2:6" ht="15" hidden="1" customHeight="1" x14ac:dyDescent="0.25">
      <c r="B46" s="8"/>
      <c r="C46" s="86"/>
      <c r="D46" s="86"/>
      <c r="E46" s="86"/>
      <c r="F46" s="9"/>
    </row>
    <row r="47" spans="2:6" ht="15" hidden="1" customHeight="1" x14ac:dyDescent="0.25">
      <c r="B47" s="8"/>
      <c r="C47" s="86"/>
      <c r="D47" s="86"/>
      <c r="E47" s="86"/>
      <c r="F47" s="9"/>
    </row>
    <row r="48" spans="2:6" ht="15" hidden="1" customHeight="1" x14ac:dyDescent="0.25">
      <c r="B48" s="8"/>
      <c r="C48" s="86"/>
      <c r="D48" s="86"/>
      <c r="E48" s="86"/>
      <c r="F48" s="9"/>
    </row>
    <row r="49" spans="2:6" ht="15" hidden="1" customHeight="1" x14ac:dyDescent="0.25">
      <c r="B49" s="8"/>
      <c r="C49" s="86"/>
      <c r="D49" s="86"/>
      <c r="E49" s="86"/>
      <c r="F49" s="9"/>
    </row>
    <row r="50" spans="2:6" ht="15" hidden="1" customHeight="1" x14ac:dyDescent="0.25">
      <c r="B50" s="8"/>
      <c r="C50" s="86"/>
      <c r="D50" s="86"/>
      <c r="E50" s="86"/>
      <c r="F50" s="9"/>
    </row>
    <row r="51" spans="2:6" ht="15" hidden="1" customHeight="1" x14ac:dyDescent="0.25">
      <c r="B51" s="8"/>
      <c r="C51" s="86"/>
      <c r="D51" s="86"/>
      <c r="E51" s="86"/>
      <c r="F51" s="9"/>
    </row>
    <row r="52" spans="2:6" ht="15" hidden="1" customHeight="1" x14ac:dyDescent="0.25">
      <c r="B52" s="8"/>
      <c r="C52" s="102" t="s">
        <v>62</v>
      </c>
      <c r="D52" s="102"/>
      <c r="E52" s="102"/>
      <c r="F52" s="9"/>
    </row>
    <row r="53" spans="2:6" ht="15" hidden="1" customHeight="1" x14ac:dyDescent="0.25">
      <c r="B53" s="8"/>
      <c r="C53" s="69"/>
      <c r="D53" s="86"/>
      <c r="E53" s="86"/>
      <c r="F53" s="9"/>
    </row>
    <row r="54" spans="2:6" ht="15" hidden="1" customHeight="1" x14ac:dyDescent="0.25">
      <c r="B54" s="8"/>
      <c r="C54" s="86"/>
      <c r="D54" s="86"/>
      <c r="E54" s="86"/>
      <c r="F54" s="9"/>
    </row>
    <row r="55" spans="2:6" ht="15" hidden="1" customHeight="1" x14ac:dyDescent="0.25">
      <c r="B55" s="8"/>
      <c r="C55" s="86" t="s">
        <v>21</v>
      </c>
      <c r="D55" s="86"/>
      <c r="E55" s="86" t="s">
        <v>61</v>
      </c>
      <c r="F55" s="9"/>
    </row>
    <row r="56" spans="2:6" ht="15" hidden="1" customHeight="1" x14ac:dyDescent="0.25">
      <c r="B56" s="8"/>
      <c r="C56" s="70"/>
      <c r="D56" s="86"/>
      <c r="E56" s="88" t="str">
        <f>IF(I.Product.P2Year1="","",IF(I.Product.P2Status="Yes",I.Product.P2Year1+1,CONCATENATE(I.Product.P2Year1+1,", ",I.Product.P2Year1+2)))</f>
        <v/>
      </c>
      <c r="F56" s="9"/>
    </row>
    <row r="57" spans="2:6" ht="15" hidden="1" customHeight="1" x14ac:dyDescent="0.25">
      <c r="B57" s="8"/>
      <c r="C57" s="86"/>
      <c r="D57" s="86"/>
      <c r="E57" s="86"/>
      <c r="F57" s="9"/>
    </row>
    <row r="58" spans="2:6" ht="15" hidden="1" customHeight="1" x14ac:dyDescent="0.25">
      <c r="B58" s="8"/>
      <c r="C58" s="102" t="s">
        <v>2991</v>
      </c>
      <c r="D58" s="102"/>
      <c r="E58" s="102"/>
      <c r="F58" s="9"/>
    </row>
    <row r="59" spans="2:6" ht="15" hidden="1" customHeight="1" x14ac:dyDescent="0.25">
      <c r="B59" s="8"/>
      <c r="C59" s="69"/>
      <c r="D59" s="86"/>
      <c r="E59" s="86"/>
      <c r="F59" s="9"/>
    </row>
    <row r="60" spans="2:6" ht="15" hidden="1" customHeight="1" x14ac:dyDescent="0.25">
      <c r="B60" s="8"/>
      <c r="C60" s="86"/>
      <c r="D60" s="86"/>
      <c r="E60" s="86"/>
      <c r="F60" s="9"/>
    </row>
    <row r="61" spans="2:6" ht="20.100000000000001" hidden="1" customHeight="1" x14ac:dyDescent="0.25">
      <c r="B61" s="18"/>
      <c r="C61" s="104" t="s">
        <v>11</v>
      </c>
      <c r="D61" s="104"/>
      <c r="E61" s="104"/>
      <c r="F61" s="19"/>
    </row>
    <row r="62" spans="2:6" ht="15" hidden="1" customHeight="1" x14ac:dyDescent="0.25">
      <c r="B62" s="8"/>
      <c r="C62" s="86"/>
      <c r="D62" s="86"/>
      <c r="E62" s="86"/>
      <c r="F62" s="9"/>
    </row>
    <row r="63" spans="2:6" ht="15" hidden="1" customHeight="1" x14ac:dyDescent="0.25">
      <c r="B63" s="8"/>
      <c r="C63" s="86" t="s">
        <v>19</v>
      </c>
      <c r="D63" s="86"/>
      <c r="E63" s="86"/>
      <c r="F63" s="9"/>
    </row>
    <row r="64" spans="2:6" ht="15" hidden="1" customHeight="1" x14ac:dyDescent="0.25">
      <c r="B64" s="8"/>
      <c r="C64" s="69"/>
      <c r="D64" s="86"/>
      <c r="E64" s="86"/>
      <c r="F64" s="9"/>
    </row>
    <row r="65" spans="2:6" ht="15" hidden="1" customHeight="1" x14ac:dyDescent="0.25">
      <c r="B65" s="8"/>
      <c r="C65" s="86"/>
      <c r="D65" s="86"/>
      <c r="E65" s="86"/>
      <c r="F65" s="9"/>
    </row>
    <row r="66" spans="2:6" ht="15" hidden="1" customHeight="1" x14ac:dyDescent="0.25">
      <c r="B66" s="8"/>
      <c r="C66" s="86" t="s">
        <v>6</v>
      </c>
      <c r="D66" s="86"/>
      <c r="E66" s="86" t="s">
        <v>25</v>
      </c>
      <c r="F66" s="9"/>
    </row>
    <row r="67" spans="2:6" ht="15" hidden="1" customHeight="1" x14ac:dyDescent="0.25">
      <c r="B67" s="8"/>
      <c r="C67" s="69"/>
      <c r="D67" s="86"/>
      <c r="E67" s="69"/>
      <c r="F67" s="9"/>
    </row>
    <row r="68" spans="2:6" ht="15" hidden="1" customHeight="1" x14ac:dyDescent="0.25">
      <c r="B68" s="8"/>
      <c r="C68" s="86"/>
      <c r="D68" s="86"/>
      <c r="E68" s="86"/>
      <c r="F68" s="9"/>
    </row>
    <row r="69" spans="2:6" ht="15" hidden="1" customHeight="1" x14ac:dyDescent="0.25">
      <c r="B69" s="8"/>
      <c r="C69" s="102" t="s">
        <v>1343</v>
      </c>
      <c r="D69" s="102"/>
      <c r="E69" s="102"/>
      <c r="F69" s="9"/>
    </row>
    <row r="70" spans="2:6" ht="15" hidden="1" customHeight="1" x14ac:dyDescent="0.25">
      <c r="B70" s="8"/>
      <c r="C70" s="86"/>
      <c r="D70" s="86"/>
      <c r="E70" s="86"/>
      <c r="F70" s="9"/>
    </row>
    <row r="71" spans="2:6" ht="15" hidden="1" customHeight="1" x14ac:dyDescent="0.25">
      <c r="B71" s="8"/>
      <c r="C71" s="86"/>
      <c r="D71" s="86"/>
      <c r="E71" s="86"/>
      <c r="F71" s="9"/>
    </row>
    <row r="72" spans="2:6" ht="15" hidden="1" customHeight="1" x14ac:dyDescent="0.25">
      <c r="B72" s="8"/>
      <c r="C72" s="86"/>
      <c r="D72" s="86"/>
      <c r="E72" s="86"/>
      <c r="F72" s="9"/>
    </row>
    <row r="73" spans="2:6" ht="15" hidden="1" customHeight="1" x14ac:dyDescent="0.25">
      <c r="B73" s="8"/>
      <c r="C73" s="86"/>
      <c r="D73" s="86"/>
      <c r="E73" s="86"/>
      <c r="F73" s="9"/>
    </row>
    <row r="74" spans="2:6" ht="15" hidden="1" customHeight="1" x14ac:dyDescent="0.25">
      <c r="B74" s="8"/>
      <c r="C74" s="86"/>
      <c r="D74" s="86"/>
      <c r="E74" s="86"/>
      <c r="F74" s="9"/>
    </row>
    <row r="75" spans="2:6" ht="15" hidden="1" customHeight="1" x14ac:dyDescent="0.25">
      <c r="B75" s="8"/>
      <c r="C75" s="86"/>
      <c r="D75" s="86"/>
      <c r="E75" s="86"/>
      <c r="F75" s="9"/>
    </row>
    <row r="76" spans="2:6" ht="15" hidden="1" customHeight="1" x14ac:dyDescent="0.25">
      <c r="B76" s="8"/>
      <c r="C76" s="86"/>
      <c r="D76" s="86"/>
      <c r="E76" s="86"/>
      <c r="F76" s="9"/>
    </row>
    <row r="77" spans="2:6" ht="15" hidden="1" customHeight="1" x14ac:dyDescent="0.25">
      <c r="B77" s="8"/>
      <c r="C77" s="86"/>
      <c r="D77" s="86"/>
      <c r="E77" s="86"/>
      <c r="F77" s="9"/>
    </row>
    <row r="78" spans="2:6" ht="15" hidden="1" customHeight="1" x14ac:dyDescent="0.25">
      <c r="B78" s="8"/>
      <c r="C78" s="86"/>
      <c r="D78" s="86"/>
      <c r="E78" s="86"/>
      <c r="F78" s="9"/>
    </row>
    <row r="79" spans="2:6" ht="15" hidden="1" customHeight="1" x14ac:dyDescent="0.25">
      <c r="B79" s="8"/>
      <c r="C79" s="86"/>
      <c r="D79" s="86"/>
      <c r="E79" s="86"/>
      <c r="F79" s="9"/>
    </row>
    <row r="80" spans="2:6" ht="15" hidden="1" customHeight="1" x14ac:dyDescent="0.25">
      <c r="B80" s="8"/>
      <c r="C80" s="102" t="s">
        <v>62</v>
      </c>
      <c r="D80" s="102"/>
      <c r="E80" s="102"/>
      <c r="F80" s="9"/>
    </row>
    <row r="81" spans="2:6" ht="15" hidden="1" customHeight="1" x14ac:dyDescent="0.25">
      <c r="B81" s="8"/>
      <c r="C81" s="69"/>
      <c r="D81" s="86"/>
      <c r="E81" s="86"/>
      <c r="F81" s="9"/>
    </row>
    <row r="82" spans="2:6" ht="15" hidden="1" customHeight="1" x14ac:dyDescent="0.25">
      <c r="B82" s="8"/>
      <c r="C82" s="86"/>
      <c r="D82" s="86"/>
      <c r="E82" s="86"/>
      <c r="F82" s="9"/>
    </row>
    <row r="83" spans="2:6" ht="15" hidden="1" customHeight="1" x14ac:dyDescent="0.25">
      <c r="B83" s="8"/>
      <c r="C83" s="86" t="s">
        <v>21</v>
      </c>
      <c r="D83" s="86"/>
      <c r="E83" s="86" t="s">
        <v>61</v>
      </c>
      <c r="F83" s="9"/>
    </row>
    <row r="84" spans="2:6" ht="15" hidden="1" customHeight="1" x14ac:dyDescent="0.25">
      <c r="B84" s="8"/>
      <c r="C84" s="70"/>
      <c r="D84" s="86"/>
      <c r="E84" s="88" t="str">
        <f>IF(I.Product.P3Year1="","",IF(I.Product.P3Status="Yes",I.Product.P3Year1+1,CONCATENATE(I.Product.P3Year1+1,", ",I.Product.P3Year1+2)))</f>
        <v/>
      </c>
      <c r="F84" s="9"/>
    </row>
    <row r="85" spans="2:6" ht="15" hidden="1" customHeight="1" x14ac:dyDescent="0.25">
      <c r="B85" s="8"/>
      <c r="C85" s="86"/>
      <c r="D85" s="86"/>
      <c r="E85" s="86"/>
      <c r="F85" s="9"/>
    </row>
    <row r="86" spans="2:6" ht="15" hidden="1" customHeight="1" x14ac:dyDescent="0.25">
      <c r="B86" s="8"/>
      <c r="C86" s="102" t="s">
        <v>2991</v>
      </c>
      <c r="D86" s="102"/>
      <c r="E86" s="102"/>
      <c r="F86" s="9"/>
    </row>
    <row r="87" spans="2:6" ht="15" hidden="1" customHeight="1" x14ac:dyDescent="0.25">
      <c r="B87" s="8"/>
      <c r="C87" s="69"/>
      <c r="D87" s="86"/>
      <c r="E87" s="86"/>
      <c r="F87" s="9"/>
    </row>
    <row r="88" spans="2:6" ht="15" hidden="1" customHeight="1" x14ac:dyDescent="0.25">
      <c r="B88" s="8"/>
      <c r="C88" s="86"/>
      <c r="D88" s="86"/>
      <c r="E88" s="86"/>
      <c r="F88" s="9"/>
    </row>
    <row r="89" spans="2:6" ht="20.100000000000001" hidden="1" customHeight="1" x14ac:dyDescent="0.25">
      <c r="B89" s="18"/>
      <c r="C89" s="104" t="s">
        <v>12</v>
      </c>
      <c r="D89" s="104"/>
      <c r="E89" s="104"/>
      <c r="F89" s="19"/>
    </row>
    <row r="90" spans="2:6" ht="15" hidden="1" customHeight="1" x14ac:dyDescent="0.25">
      <c r="B90" s="8"/>
      <c r="C90" s="86"/>
      <c r="D90" s="86"/>
      <c r="E90" s="86"/>
      <c r="F90" s="9"/>
    </row>
    <row r="91" spans="2:6" ht="15" hidden="1" customHeight="1" x14ac:dyDescent="0.25">
      <c r="B91" s="8"/>
      <c r="C91" s="86" t="s">
        <v>19</v>
      </c>
      <c r="D91" s="86"/>
      <c r="E91" s="86"/>
      <c r="F91" s="9"/>
    </row>
    <row r="92" spans="2:6" ht="15" hidden="1" customHeight="1" x14ac:dyDescent="0.25">
      <c r="B92" s="8"/>
      <c r="C92" s="69"/>
      <c r="D92" s="86"/>
      <c r="E92" s="86"/>
      <c r="F92" s="9"/>
    </row>
    <row r="93" spans="2:6" ht="15" hidden="1" customHeight="1" x14ac:dyDescent="0.25">
      <c r="B93" s="8"/>
      <c r="C93" s="86"/>
      <c r="D93" s="86"/>
      <c r="E93" s="86"/>
      <c r="F93" s="9"/>
    </row>
    <row r="94" spans="2:6" ht="15" hidden="1" customHeight="1" x14ac:dyDescent="0.25">
      <c r="B94" s="8"/>
      <c r="C94" s="86" t="s">
        <v>6</v>
      </c>
      <c r="D94" s="86"/>
      <c r="E94" s="86" t="s">
        <v>25</v>
      </c>
      <c r="F94" s="9"/>
    </row>
    <row r="95" spans="2:6" ht="15" hidden="1" customHeight="1" x14ac:dyDescent="0.25">
      <c r="B95" s="8"/>
      <c r="C95" s="69"/>
      <c r="D95" s="86"/>
      <c r="E95" s="69"/>
      <c r="F95" s="9"/>
    </row>
    <row r="96" spans="2:6" ht="15" hidden="1" customHeight="1" x14ac:dyDescent="0.25">
      <c r="B96" s="8"/>
      <c r="C96" s="86"/>
      <c r="D96" s="86"/>
      <c r="E96" s="86"/>
      <c r="F96" s="9"/>
    </row>
    <row r="97" spans="2:6" ht="15" hidden="1" customHeight="1" x14ac:dyDescent="0.25">
      <c r="B97" s="8"/>
      <c r="C97" s="102" t="s">
        <v>1343</v>
      </c>
      <c r="D97" s="102"/>
      <c r="E97" s="102"/>
      <c r="F97" s="9"/>
    </row>
    <row r="98" spans="2:6" ht="15" hidden="1" customHeight="1" x14ac:dyDescent="0.25">
      <c r="B98" s="8"/>
      <c r="C98" s="86"/>
      <c r="D98" s="86"/>
      <c r="E98" s="86"/>
      <c r="F98" s="9"/>
    </row>
    <row r="99" spans="2:6" ht="15" hidden="1" customHeight="1" x14ac:dyDescent="0.25">
      <c r="B99" s="8"/>
      <c r="C99" s="86"/>
      <c r="D99" s="86"/>
      <c r="E99" s="86"/>
      <c r="F99" s="9"/>
    </row>
    <row r="100" spans="2:6" ht="15" hidden="1" customHeight="1" x14ac:dyDescent="0.25">
      <c r="B100" s="8"/>
      <c r="C100" s="86"/>
      <c r="D100" s="86"/>
      <c r="E100" s="86"/>
      <c r="F100" s="9"/>
    </row>
    <row r="101" spans="2:6" ht="15" hidden="1" customHeight="1" x14ac:dyDescent="0.25">
      <c r="B101" s="8"/>
      <c r="C101" s="86"/>
      <c r="D101" s="86"/>
      <c r="E101" s="86"/>
      <c r="F101" s="9"/>
    </row>
    <row r="102" spans="2:6" ht="15" hidden="1" customHeight="1" x14ac:dyDescent="0.25">
      <c r="B102" s="8"/>
      <c r="C102" s="86"/>
      <c r="D102" s="86"/>
      <c r="E102" s="86"/>
      <c r="F102" s="9"/>
    </row>
    <row r="103" spans="2:6" ht="15" hidden="1" customHeight="1" x14ac:dyDescent="0.25">
      <c r="B103" s="8"/>
      <c r="C103" s="86"/>
      <c r="D103" s="86"/>
      <c r="E103" s="86"/>
      <c r="F103" s="9"/>
    </row>
    <row r="104" spans="2:6" ht="15" hidden="1" customHeight="1" x14ac:dyDescent="0.25">
      <c r="B104" s="8"/>
      <c r="C104" s="86"/>
      <c r="D104" s="86"/>
      <c r="E104" s="86"/>
      <c r="F104" s="9"/>
    </row>
    <row r="105" spans="2:6" ht="15" hidden="1" customHeight="1" x14ac:dyDescent="0.25">
      <c r="B105" s="8"/>
      <c r="C105" s="86"/>
      <c r="D105" s="86"/>
      <c r="E105" s="86"/>
      <c r="F105" s="9"/>
    </row>
    <row r="106" spans="2:6" ht="15" hidden="1" customHeight="1" x14ac:dyDescent="0.25">
      <c r="B106" s="8"/>
      <c r="C106" s="86"/>
      <c r="D106" s="86"/>
      <c r="E106" s="86"/>
      <c r="F106" s="9"/>
    </row>
    <row r="107" spans="2:6" ht="15" hidden="1" customHeight="1" x14ac:dyDescent="0.25">
      <c r="B107" s="8"/>
      <c r="C107" s="86"/>
      <c r="D107" s="86"/>
      <c r="E107" s="86"/>
      <c r="F107" s="9"/>
    </row>
    <row r="108" spans="2:6" ht="15" hidden="1" customHeight="1" x14ac:dyDescent="0.25">
      <c r="B108" s="8"/>
      <c r="C108" s="102" t="s">
        <v>62</v>
      </c>
      <c r="D108" s="102"/>
      <c r="E108" s="102"/>
      <c r="F108" s="9"/>
    </row>
    <row r="109" spans="2:6" ht="15" hidden="1" customHeight="1" x14ac:dyDescent="0.25">
      <c r="B109" s="8"/>
      <c r="C109" s="69"/>
      <c r="D109" s="86"/>
      <c r="E109" s="86"/>
      <c r="F109" s="9"/>
    </row>
    <row r="110" spans="2:6" ht="15" hidden="1" customHeight="1" x14ac:dyDescent="0.25">
      <c r="B110" s="8"/>
      <c r="C110" s="86"/>
      <c r="D110" s="86"/>
      <c r="E110" s="86"/>
      <c r="F110" s="9"/>
    </row>
    <row r="111" spans="2:6" ht="15" hidden="1" customHeight="1" x14ac:dyDescent="0.25">
      <c r="B111" s="8"/>
      <c r="C111" s="86" t="s">
        <v>21</v>
      </c>
      <c r="D111" s="86"/>
      <c r="E111" s="86" t="s">
        <v>61</v>
      </c>
      <c r="F111" s="9"/>
    </row>
    <row r="112" spans="2:6" ht="15" hidden="1" customHeight="1" x14ac:dyDescent="0.25">
      <c r="B112" s="8"/>
      <c r="C112" s="70"/>
      <c r="D112" s="86"/>
      <c r="E112" s="88" t="str">
        <f>IF(I.Product.P4Year1="","",IF(I.Product.P4Status="Yes",I.Product.P4Year1+1,CONCATENATE(I.Product.P4Year1+1,", ",I.Product.P4Year1+2)))</f>
        <v/>
      </c>
      <c r="F112" s="9"/>
    </row>
    <row r="113" spans="2:6" ht="15" hidden="1" customHeight="1" x14ac:dyDescent="0.25">
      <c r="B113" s="8"/>
      <c r="C113" s="86"/>
      <c r="D113" s="86"/>
      <c r="E113" s="86"/>
      <c r="F113" s="9"/>
    </row>
    <row r="114" spans="2:6" ht="15" hidden="1" customHeight="1" x14ac:dyDescent="0.25">
      <c r="B114" s="8"/>
      <c r="C114" s="102" t="s">
        <v>2991</v>
      </c>
      <c r="D114" s="102"/>
      <c r="E114" s="102"/>
      <c r="F114" s="9"/>
    </row>
    <row r="115" spans="2:6" ht="15" hidden="1" customHeight="1" x14ac:dyDescent="0.25">
      <c r="B115" s="8"/>
      <c r="C115" s="69"/>
      <c r="D115" s="86"/>
      <c r="E115" s="86"/>
      <c r="F115" s="9"/>
    </row>
    <row r="116" spans="2:6" ht="15" hidden="1" customHeight="1" x14ac:dyDescent="0.25">
      <c r="B116" s="8"/>
      <c r="C116" s="86"/>
      <c r="D116" s="86"/>
      <c r="E116" s="86"/>
      <c r="F116" s="9"/>
    </row>
    <row r="117" spans="2:6" ht="20.100000000000001" hidden="1" customHeight="1" x14ac:dyDescent="0.25">
      <c r="B117" s="18"/>
      <c r="C117" s="104" t="s">
        <v>13</v>
      </c>
      <c r="D117" s="104"/>
      <c r="E117" s="104"/>
      <c r="F117" s="19"/>
    </row>
    <row r="118" spans="2:6" ht="15" hidden="1" customHeight="1" x14ac:dyDescent="0.25">
      <c r="B118" s="8"/>
      <c r="C118" s="86"/>
      <c r="D118" s="86"/>
      <c r="E118" s="86"/>
      <c r="F118" s="9"/>
    </row>
    <row r="119" spans="2:6" ht="15" hidden="1" customHeight="1" x14ac:dyDescent="0.25">
      <c r="B119" s="8"/>
      <c r="C119" s="86" t="s">
        <v>19</v>
      </c>
      <c r="D119" s="86"/>
      <c r="E119" s="86"/>
      <c r="F119" s="9"/>
    </row>
    <row r="120" spans="2:6" ht="15" hidden="1" customHeight="1" x14ac:dyDescent="0.25">
      <c r="B120" s="8"/>
      <c r="C120" s="69"/>
      <c r="D120" s="86"/>
      <c r="E120" s="86"/>
      <c r="F120" s="9"/>
    </row>
    <row r="121" spans="2:6" ht="15" hidden="1" customHeight="1" x14ac:dyDescent="0.25">
      <c r="B121" s="8"/>
      <c r="C121" s="86"/>
      <c r="D121" s="86"/>
      <c r="E121" s="86"/>
      <c r="F121" s="9"/>
    </row>
    <row r="122" spans="2:6" ht="15" hidden="1" customHeight="1" x14ac:dyDescent="0.25">
      <c r="B122" s="8"/>
      <c r="C122" s="86" t="s">
        <v>6</v>
      </c>
      <c r="D122" s="86"/>
      <c r="E122" s="86" t="s">
        <v>25</v>
      </c>
      <c r="F122" s="9"/>
    </row>
    <row r="123" spans="2:6" ht="15" hidden="1" customHeight="1" x14ac:dyDescent="0.25">
      <c r="B123" s="8"/>
      <c r="C123" s="69"/>
      <c r="D123" s="86"/>
      <c r="E123" s="69"/>
      <c r="F123" s="9"/>
    </row>
    <row r="124" spans="2:6" ht="15" hidden="1" customHeight="1" x14ac:dyDescent="0.25">
      <c r="B124" s="8"/>
      <c r="C124" s="86"/>
      <c r="D124" s="86"/>
      <c r="E124" s="86"/>
      <c r="F124" s="9"/>
    </row>
    <row r="125" spans="2:6" ht="15" hidden="1" customHeight="1" x14ac:dyDescent="0.25">
      <c r="B125" s="8"/>
      <c r="C125" s="102" t="s">
        <v>1343</v>
      </c>
      <c r="D125" s="102"/>
      <c r="E125" s="102"/>
      <c r="F125" s="9"/>
    </row>
    <row r="126" spans="2:6" ht="15" hidden="1" customHeight="1" x14ac:dyDescent="0.25">
      <c r="B126" s="8"/>
      <c r="C126" s="86"/>
      <c r="D126" s="86"/>
      <c r="E126" s="86"/>
      <c r="F126" s="9"/>
    </row>
    <row r="127" spans="2:6" ht="15" hidden="1" customHeight="1" x14ac:dyDescent="0.25">
      <c r="B127" s="8"/>
      <c r="C127" s="86"/>
      <c r="D127" s="86"/>
      <c r="E127" s="86"/>
      <c r="F127" s="9"/>
    </row>
    <row r="128" spans="2:6" ht="15" hidden="1" customHeight="1" x14ac:dyDescent="0.25">
      <c r="B128" s="8"/>
      <c r="C128" s="86"/>
      <c r="D128" s="86"/>
      <c r="E128" s="86"/>
      <c r="F128" s="9"/>
    </row>
    <row r="129" spans="2:6" ht="15" hidden="1" customHeight="1" x14ac:dyDescent="0.25">
      <c r="B129" s="8"/>
      <c r="C129" s="86"/>
      <c r="D129" s="86"/>
      <c r="E129" s="86"/>
      <c r="F129" s="9"/>
    </row>
    <row r="130" spans="2:6" ht="15" hidden="1" customHeight="1" x14ac:dyDescent="0.25">
      <c r="B130" s="8"/>
      <c r="C130" s="86"/>
      <c r="D130" s="86"/>
      <c r="E130" s="86"/>
      <c r="F130" s="9"/>
    </row>
    <row r="131" spans="2:6" ht="15" hidden="1" customHeight="1" x14ac:dyDescent="0.25">
      <c r="B131" s="8"/>
      <c r="C131" s="86"/>
      <c r="D131" s="86"/>
      <c r="E131" s="86"/>
      <c r="F131" s="9"/>
    </row>
    <row r="132" spans="2:6" ht="15" hidden="1" customHeight="1" x14ac:dyDescent="0.25">
      <c r="B132" s="8"/>
      <c r="C132" s="86"/>
      <c r="D132" s="86"/>
      <c r="E132" s="86"/>
      <c r="F132" s="9"/>
    </row>
    <row r="133" spans="2:6" ht="15" hidden="1" customHeight="1" x14ac:dyDescent="0.25">
      <c r="B133" s="8"/>
      <c r="C133" s="86"/>
      <c r="D133" s="86"/>
      <c r="E133" s="86"/>
      <c r="F133" s="9"/>
    </row>
    <row r="134" spans="2:6" ht="15" hidden="1" customHeight="1" x14ac:dyDescent="0.25">
      <c r="B134" s="8"/>
      <c r="C134" s="86"/>
      <c r="D134" s="86"/>
      <c r="E134" s="86"/>
      <c r="F134" s="9"/>
    </row>
    <row r="135" spans="2:6" ht="15" hidden="1" customHeight="1" x14ac:dyDescent="0.25">
      <c r="B135" s="8"/>
      <c r="C135" s="86"/>
      <c r="D135" s="86"/>
      <c r="E135" s="86"/>
      <c r="F135" s="9"/>
    </row>
    <row r="136" spans="2:6" ht="15" hidden="1" customHeight="1" x14ac:dyDescent="0.25">
      <c r="B136" s="8"/>
      <c r="C136" s="102" t="s">
        <v>62</v>
      </c>
      <c r="D136" s="102"/>
      <c r="E136" s="102"/>
      <c r="F136" s="9"/>
    </row>
    <row r="137" spans="2:6" ht="15" hidden="1" customHeight="1" x14ac:dyDescent="0.25">
      <c r="B137" s="8"/>
      <c r="C137" s="69"/>
      <c r="D137" s="86"/>
      <c r="E137" s="86"/>
      <c r="F137" s="9"/>
    </row>
    <row r="138" spans="2:6" ht="15" hidden="1" customHeight="1" x14ac:dyDescent="0.25">
      <c r="B138" s="8"/>
      <c r="C138" s="86"/>
      <c r="D138" s="86"/>
      <c r="E138" s="86"/>
      <c r="F138" s="9"/>
    </row>
    <row r="139" spans="2:6" ht="15" hidden="1" customHeight="1" x14ac:dyDescent="0.25">
      <c r="B139" s="8"/>
      <c r="C139" s="86" t="s">
        <v>21</v>
      </c>
      <c r="D139" s="86"/>
      <c r="E139" s="86" t="s">
        <v>61</v>
      </c>
      <c r="F139" s="9"/>
    </row>
    <row r="140" spans="2:6" ht="15" hidden="1" customHeight="1" x14ac:dyDescent="0.25">
      <c r="B140" s="8"/>
      <c r="C140" s="70"/>
      <c r="D140" s="86"/>
      <c r="E140" s="88" t="str">
        <f>IF(I.Product.P5Year1="","",IF(I.Product.P5Status="Yes",I.Product.P5Year1+1,CONCATENATE(I.Product.P5Year1+1,", ",I.Product.P5Year1+2)))</f>
        <v/>
      </c>
      <c r="F140" s="9"/>
    </row>
    <row r="141" spans="2:6" ht="15" hidden="1" customHeight="1" x14ac:dyDescent="0.25">
      <c r="B141" s="8"/>
      <c r="C141" s="86"/>
      <c r="D141" s="86"/>
      <c r="E141" s="86"/>
      <c r="F141" s="9"/>
    </row>
    <row r="142" spans="2:6" ht="15" hidden="1" customHeight="1" x14ac:dyDescent="0.25">
      <c r="B142" s="8"/>
      <c r="C142" s="102" t="s">
        <v>2991</v>
      </c>
      <c r="D142" s="102"/>
      <c r="E142" s="102"/>
      <c r="F142" s="9"/>
    </row>
    <row r="143" spans="2:6" ht="15" hidden="1" customHeight="1" x14ac:dyDescent="0.25">
      <c r="B143" s="8"/>
      <c r="C143" s="69"/>
      <c r="D143" s="86"/>
      <c r="E143" s="86"/>
      <c r="F143" s="9"/>
    </row>
    <row r="144" spans="2:6" ht="15" hidden="1" customHeight="1" x14ac:dyDescent="0.25">
      <c r="B144" s="8"/>
      <c r="C144" s="86"/>
      <c r="D144" s="86"/>
      <c r="E144" s="86"/>
      <c r="F144" s="9"/>
    </row>
    <row r="145" spans="2:6" ht="20.100000000000001" hidden="1" customHeight="1" x14ac:dyDescent="0.25">
      <c r="B145" s="18"/>
      <c r="C145" s="104" t="s">
        <v>94</v>
      </c>
      <c r="D145" s="104"/>
      <c r="E145" s="104"/>
      <c r="F145" s="19"/>
    </row>
    <row r="146" spans="2:6" ht="15" hidden="1" customHeight="1" x14ac:dyDescent="0.25">
      <c r="B146" s="8"/>
      <c r="C146" s="86"/>
      <c r="D146" s="86"/>
      <c r="E146" s="86"/>
      <c r="F146" s="9"/>
    </row>
    <row r="147" spans="2:6" ht="15" hidden="1" customHeight="1" x14ac:dyDescent="0.25">
      <c r="B147" s="8"/>
      <c r="C147" s="102" t="s">
        <v>3024</v>
      </c>
      <c r="D147" s="102"/>
      <c r="E147" s="102"/>
      <c r="F147" s="9"/>
    </row>
    <row r="148" spans="2:6" ht="15" hidden="1" customHeight="1" x14ac:dyDescent="0.25">
      <c r="B148" s="8"/>
      <c r="C148" s="69"/>
      <c r="D148" s="86"/>
      <c r="E148" s="86"/>
      <c r="F148" s="9"/>
    </row>
    <row r="149" spans="2:6" ht="15" hidden="1" customHeight="1" x14ac:dyDescent="0.25">
      <c r="B149" s="8"/>
      <c r="C149" s="86"/>
      <c r="D149" s="86"/>
      <c r="E149" s="86"/>
      <c r="F149" s="9"/>
    </row>
    <row r="150" spans="2:6" ht="15" hidden="1" customHeight="1" x14ac:dyDescent="0.25">
      <c r="B150" s="8"/>
      <c r="C150" s="86" t="s">
        <v>21</v>
      </c>
      <c r="D150" s="86"/>
      <c r="E150" s="86" t="s">
        <v>98</v>
      </c>
      <c r="F150" s="9"/>
    </row>
    <row r="151" spans="2:6" ht="15" hidden="1" customHeight="1" x14ac:dyDescent="0.25">
      <c r="B151" s="8"/>
      <c r="C151" s="70"/>
      <c r="D151" s="86"/>
      <c r="E151" s="88" t="str">
        <f>IF(I.Product.GasToPowerYear1="","",I.Product.GasToPowerYear1+1)</f>
        <v/>
      </c>
      <c r="F151" s="9"/>
    </row>
    <row r="152" spans="2:6" ht="15" hidden="1" customHeight="1" x14ac:dyDescent="0.25">
      <c r="B152" s="8"/>
      <c r="C152" s="86"/>
      <c r="D152" s="86"/>
      <c r="E152" s="86"/>
      <c r="F152" s="9"/>
    </row>
    <row r="153" spans="2:6" ht="15" customHeight="1" x14ac:dyDescent="0.25">
      <c r="B153" s="8"/>
      <c r="C153" s="89"/>
      <c r="D153" s="86"/>
      <c r="E153" s="86"/>
      <c r="F153" s="9"/>
    </row>
    <row r="154" spans="2:6" ht="15" customHeight="1" x14ac:dyDescent="0.25">
      <c r="B154" s="8"/>
      <c r="C154" s="86"/>
      <c r="D154" s="86"/>
      <c r="E154" s="86"/>
      <c r="F154" s="9"/>
    </row>
    <row r="155" spans="2:6" ht="15" customHeight="1" x14ac:dyDescent="0.25">
      <c r="B155" s="10"/>
      <c r="C155" s="20">
        <f>R.Instructions.VersionNumber</f>
        <v>3.01</v>
      </c>
      <c r="D155" s="11"/>
      <c r="E155" s="12">
        <f>R.Instructions.VersionDate</f>
        <v>45329</v>
      </c>
      <c r="F155" s="13"/>
    </row>
    <row r="157" spans="2:6" ht="15" customHeight="1" x14ac:dyDescent="0.25">
      <c r="C157" s="110" t="str">
        <f>IFERROR(VLOOKUP("Incomplete",Developer!H510:I552,2,FALSE),"Sheet complete.")</f>
        <v>Enter the name of product 1.</v>
      </c>
      <c r="D157" s="110"/>
      <c r="E157" s="110"/>
    </row>
    <row r="158" spans="2:6" ht="15" customHeight="1" x14ac:dyDescent="0.25">
      <c r="C158" s="110"/>
      <c r="D158" s="110"/>
      <c r="E158" s="110"/>
    </row>
    <row r="159" spans="2:6" ht="15" customHeight="1" x14ac:dyDescent="0.25">
      <c r="C159" s="110"/>
      <c r="D159" s="110"/>
      <c r="E159" s="110"/>
    </row>
  </sheetData>
  <sheetProtection algorithmName="SHA-512" hashValue="s6fbBC+LQN8myMPxO+hXkGQQx1HlkeEsrRK9qJ1KYr0ftGe6bBM2mUILzgN/xwBgMyOuJpzHJe3w4h5Sqmse2Q==" saltValue="6CnrhiUZmZxqrziWskbcCQ==" spinCount="100000" sheet="1" objects="1" scenarios="1" selectLockedCells="1"/>
  <mergeCells count="24">
    <mergeCell ref="C125:E125"/>
    <mergeCell ref="C136:E136"/>
    <mergeCell ref="C142:E142"/>
    <mergeCell ref="C147:E147"/>
    <mergeCell ref="C157:E159"/>
    <mergeCell ref="C145:E145"/>
    <mergeCell ref="C58:E58"/>
    <mergeCell ref="C69:E69"/>
    <mergeCell ref="C80:E80"/>
    <mergeCell ref="C86:E86"/>
    <mergeCell ref="C4:E4"/>
    <mergeCell ref="C5:E5"/>
    <mergeCell ref="C33:E33"/>
    <mergeCell ref="C61:E61"/>
    <mergeCell ref="C13:E13"/>
    <mergeCell ref="C24:E24"/>
    <mergeCell ref="C30:E30"/>
    <mergeCell ref="C41:E41"/>
    <mergeCell ref="C52:E52"/>
    <mergeCell ref="C89:E89"/>
    <mergeCell ref="C117:E117"/>
    <mergeCell ref="C97:E97"/>
    <mergeCell ref="C108:E108"/>
    <mergeCell ref="C114:E114"/>
  </mergeCells>
  <conditionalFormatting sqref="C157">
    <cfRule type="cellIs" dxfId="4" priority="1" stopIfTrue="1" operator="equal">
      <formula>"Sheet complete."</formula>
    </cfRule>
  </conditionalFormatting>
  <dataValidations count="4">
    <dataValidation type="list" allowBlank="1" showInputMessage="1" showErrorMessage="1" sqref="C25 C53 C81 C109 C137 C31 C59 C87 C115 C143 C148" xr:uid="{C9E27E45-C687-481E-934A-4BA7AF931ABB}">
      <formula1>"Yes,No"</formula1>
    </dataValidation>
    <dataValidation type="list" allowBlank="1" showInputMessage="1" showErrorMessage="1" sqref="C28 C56 C84 C112 C140" xr:uid="{D9AE648C-A0DD-4D70-B048-80EC2EE8B22C}">
      <formula1>"2014,2015,2016,2017,2018,2019,2020,2021,2022,2023,2024,2025,2026,2027,2028,2029,2030"</formula1>
    </dataValidation>
    <dataValidation type="list" allowBlank="1" showInputMessage="1" showErrorMessage="1" sqref="C11 C39 C67 C95 C123" xr:uid="{411FB9B3-A098-47D4-B4D7-38F0F6EC26C1}">
      <formula1>R.Product.Dropdown</formula1>
    </dataValidation>
    <dataValidation type="list" allowBlank="1" showInputMessage="1" showErrorMessage="1" sqref="C151" xr:uid="{ADA0ECA4-EAD8-482A-99F6-A7582E093CCF}">
      <formula1>"2021,2022,2023,2024,2025,2026,2027,2028,2029,2030"</formula1>
    </dataValidation>
  </dataValidations>
  <printOptions horizontalCentered="1"/>
  <pageMargins left="0.25" right="0.25" top="0.25" bottom="0.25" header="0" footer="0"/>
  <pageSetup scale="8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368" r:id="rId4" name="Check Box P1C1">
              <controlPr defaultSize="0" autoFill="0" autoLine="0" autoPict="0" macro="[0]!CheckBoxSource1357">
                <anchor moveWithCells="1" sizeWithCells="1">
                  <from>
                    <xdr:col>2</xdr:col>
                    <xdr:colOff>0</xdr:colOff>
                    <xdr:row>13</xdr:row>
                    <xdr:rowOff>0</xdr:rowOff>
                  </from>
                  <to>
                    <xdr:col>2</xdr:col>
                    <xdr:colOff>1781175</xdr:colOff>
                    <xdr:row>14</xdr:row>
                    <xdr:rowOff>0</xdr:rowOff>
                  </to>
                </anchor>
              </controlPr>
            </control>
          </mc:Choice>
        </mc:AlternateContent>
        <mc:AlternateContent xmlns:mc="http://schemas.openxmlformats.org/markup-compatibility/2006">
          <mc:Choice Requires="x14">
            <control shapeId="11370" r:id="rId5" name="Check Box P1C2">
              <controlPr defaultSize="0" autoFill="0" autoLine="0" autoPict="0" macro="[0]!CheckBoxSource289">
                <anchor moveWithCells="1" sizeWithCells="1">
                  <from>
                    <xdr:col>2</xdr:col>
                    <xdr:colOff>0</xdr:colOff>
                    <xdr:row>14</xdr:row>
                    <xdr:rowOff>0</xdr:rowOff>
                  </from>
                  <to>
                    <xdr:col>2</xdr:col>
                    <xdr:colOff>1781175</xdr:colOff>
                    <xdr:row>15</xdr:row>
                    <xdr:rowOff>0</xdr:rowOff>
                  </to>
                </anchor>
              </controlPr>
            </control>
          </mc:Choice>
        </mc:AlternateContent>
        <mc:AlternateContent xmlns:mc="http://schemas.openxmlformats.org/markup-compatibility/2006">
          <mc:Choice Requires="x14">
            <control shapeId="11372" r:id="rId6" name="Check Box P1C4">
              <controlPr defaultSize="0" autoFill="0" autoLine="0" autoPict="0" macro="[0]!CheckBoxSource46">
                <anchor moveWithCells="1" sizeWithCells="1">
                  <from>
                    <xdr:col>2</xdr:col>
                    <xdr:colOff>0</xdr:colOff>
                    <xdr:row>16</xdr:row>
                    <xdr:rowOff>0</xdr:rowOff>
                  </from>
                  <to>
                    <xdr:col>2</xdr:col>
                    <xdr:colOff>1781175</xdr:colOff>
                    <xdr:row>17</xdr:row>
                    <xdr:rowOff>0</xdr:rowOff>
                  </to>
                </anchor>
              </controlPr>
            </control>
          </mc:Choice>
        </mc:AlternateContent>
        <mc:AlternateContent xmlns:mc="http://schemas.openxmlformats.org/markup-compatibility/2006">
          <mc:Choice Requires="x14">
            <control shapeId="11373" r:id="rId7" name="Check Box P1C5">
              <controlPr defaultSize="0" autoFill="0" autoLine="0" autoPict="0" macro="[0]!CheckBoxSource1357">
                <anchor moveWithCells="1" sizeWithCells="1">
                  <from>
                    <xdr:col>2</xdr:col>
                    <xdr:colOff>0</xdr:colOff>
                    <xdr:row>17</xdr:row>
                    <xdr:rowOff>0</xdr:rowOff>
                  </from>
                  <to>
                    <xdr:col>2</xdr:col>
                    <xdr:colOff>1781175</xdr:colOff>
                    <xdr:row>18</xdr:row>
                    <xdr:rowOff>0</xdr:rowOff>
                  </to>
                </anchor>
              </controlPr>
            </control>
          </mc:Choice>
        </mc:AlternateContent>
        <mc:AlternateContent xmlns:mc="http://schemas.openxmlformats.org/markup-compatibility/2006">
          <mc:Choice Requires="x14">
            <control shapeId="11375" r:id="rId8" name="Check Box P1C7">
              <controlPr defaultSize="0" autoFill="0" autoLine="0" autoPict="0" macro="[0]!CheckBoxSource1357">
                <anchor moveWithCells="1" sizeWithCells="1">
                  <from>
                    <xdr:col>2</xdr:col>
                    <xdr:colOff>0</xdr:colOff>
                    <xdr:row>19</xdr:row>
                    <xdr:rowOff>0</xdr:rowOff>
                  </from>
                  <to>
                    <xdr:col>2</xdr:col>
                    <xdr:colOff>1781175</xdr:colOff>
                    <xdr:row>20</xdr:row>
                    <xdr:rowOff>0</xdr:rowOff>
                  </to>
                </anchor>
              </controlPr>
            </control>
          </mc:Choice>
        </mc:AlternateContent>
        <mc:AlternateContent xmlns:mc="http://schemas.openxmlformats.org/markup-compatibility/2006">
          <mc:Choice Requires="x14">
            <control shapeId="11376" r:id="rId9" name="Check Box P1C8">
              <controlPr defaultSize="0" autoFill="0" autoLine="0" autoPict="0" macro="[0]!CheckBoxSource289">
                <anchor moveWithCells="1" sizeWithCells="1">
                  <from>
                    <xdr:col>2</xdr:col>
                    <xdr:colOff>0</xdr:colOff>
                    <xdr:row>20</xdr:row>
                    <xdr:rowOff>0</xdr:rowOff>
                  </from>
                  <to>
                    <xdr:col>2</xdr:col>
                    <xdr:colOff>1781175</xdr:colOff>
                    <xdr:row>21</xdr:row>
                    <xdr:rowOff>0</xdr:rowOff>
                  </to>
                </anchor>
              </controlPr>
            </control>
          </mc:Choice>
        </mc:AlternateContent>
        <mc:AlternateContent xmlns:mc="http://schemas.openxmlformats.org/markup-compatibility/2006">
          <mc:Choice Requires="x14">
            <control shapeId="11379" r:id="rId10" name="Check Box P2C1">
              <controlPr defaultSize="0" autoFill="0" autoLine="0" autoPict="0" macro="[0]!CheckBoxSource1357">
                <anchor moveWithCells="1" sizeWithCells="1">
                  <from>
                    <xdr:col>2</xdr:col>
                    <xdr:colOff>0</xdr:colOff>
                    <xdr:row>41</xdr:row>
                    <xdr:rowOff>0</xdr:rowOff>
                  </from>
                  <to>
                    <xdr:col>2</xdr:col>
                    <xdr:colOff>1781175</xdr:colOff>
                    <xdr:row>42</xdr:row>
                    <xdr:rowOff>0</xdr:rowOff>
                  </to>
                </anchor>
              </controlPr>
            </control>
          </mc:Choice>
        </mc:AlternateContent>
        <mc:AlternateContent xmlns:mc="http://schemas.openxmlformats.org/markup-compatibility/2006">
          <mc:Choice Requires="x14">
            <control shapeId="11380" r:id="rId11" name="Check Box P2C2">
              <controlPr defaultSize="0" autoFill="0" autoLine="0" autoPict="0" macro="[0]!CheckBoxSource289">
                <anchor moveWithCells="1" sizeWithCells="1">
                  <from>
                    <xdr:col>2</xdr:col>
                    <xdr:colOff>0</xdr:colOff>
                    <xdr:row>42</xdr:row>
                    <xdr:rowOff>0</xdr:rowOff>
                  </from>
                  <to>
                    <xdr:col>2</xdr:col>
                    <xdr:colOff>1781175</xdr:colOff>
                    <xdr:row>43</xdr:row>
                    <xdr:rowOff>0</xdr:rowOff>
                  </to>
                </anchor>
              </controlPr>
            </control>
          </mc:Choice>
        </mc:AlternateContent>
        <mc:AlternateContent xmlns:mc="http://schemas.openxmlformats.org/markup-compatibility/2006">
          <mc:Choice Requires="x14">
            <control shapeId="11381" r:id="rId12" name="Check Box P2C3">
              <controlPr defaultSize="0" autoFill="0" autoLine="0" autoPict="0" macro="[0]!CheckBoxSource1357">
                <anchor moveWithCells="1" sizeWithCells="1">
                  <from>
                    <xdr:col>2</xdr:col>
                    <xdr:colOff>0</xdr:colOff>
                    <xdr:row>43</xdr:row>
                    <xdr:rowOff>0</xdr:rowOff>
                  </from>
                  <to>
                    <xdr:col>2</xdr:col>
                    <xdr:colOff>1781175</xdr:colOff>
                    <xdr:row>44</xdr:row>
                    <xdr:rowOff>0</xdr:rowOff>
                  </to>
                </anchor>
              </controlPr>
            </control>
          </mc:Choice>
        </mc:AlternateContent>
        <mc:AlternateContent xmlns:mc="http://schemas.openxmlformats.org/markup-compatibility/2006">
          <mc:Choice Requires="x14">
            <control shapeId="11382" r:id="rId13" name="Check Box P2C4">
              <controlPr defaultSize="0" autoFill="0" autoLine="0" autoPict="0" macro="[0]!CheckBoxSource46">
                <anchor moveWithCells="1" sizeWithCells="1">
                  <from>
                    <xdr:col>2</xdr:col>
                    <xdr:colOff>0</xdr:colOff>
                    <xdr:row>44</xdr:row>
                    <xdr:rowOff>0</xdr:rowOff>
                  </from>
                  <to>
                    <xdr:col>2</xdr:col>
                    <xdr:colOff>1781175</xdr:colOff>
                    <xdr:row>45</xdr:row>
                    <xdr:rowOff>0</xdr:rowOff>
                  </to>
                </anchor>
              </controlPr>
            </control>
          </mc:Choice>
        </mc:AlternateContent>
        <mc:AlternateContent xmlns:mc="http://schemas.openxmlformats.org/markup-compatibility/2006">
          <mc:Choice Requires="x14">
            <control shapeId="11383" r:id="rId14" name="Check Box P2C5">
              <controlPr defaultSize="0" autoFill="0" autoLine="0" autoPict="0" macro="[0]!CheckBoxSource1357">
                <anchor moveWithCells="1" sizeWithCells="1">
                  <from>
                    <xdr:col>2</xdr:col>
                    <xdr:colOff>0</xdr:colOff>
                    <xdr:row>45</xdr:row>
                    <xdr:rowOff>0</xdr:rowOff>
                  </from>
                  <to>
                    <xdr:col>2</xdr:col>
                    <xdr:colOff>1781175</xdr:colOff>
                    <xdr:row>46</xdr:row>
                    <xdr:rowOff>0</xdr:rowOff>
                  </to>
                </anchor>
              </controlPr>
            </control>
          </mc:Choice>
        </mc:AlternateContent>
        <mc:AlternateContent xmlns:mc="http://schemas.openxmlformats.org/markup-compatibility/2006">
          <mc:Choice Requires="x14">
            <control shapeId="11384" r:id="rId15" name="Check Box P2C6">
              <controlPr defaultSize="0" autoFill="0" autoLine="0" autoPict="0" macro="[0]!CheckBoxSource46">
                <anchor moveWithCells="1" sizeWithCells="1">
                  <from>
                    <xdr:col>2</xdr:col>
                    <xdr:colOff>0</xdr:colOff>
                    <xdr:row>46</xdr:row>
                    <xdr:rowOff>0</xdr:rowOff>
                  </from>
                  <to>
                    <xdr:col>2</xdr:col>
                    <xdr:colOff>1781175</xdr:colOff>
                    <xdr:row>47</xdr:row>
                    <xdr:rowOff>0</xdr:rowOff>
                  </to>
                </anchor>
              </controlPr>
            </control>
          </mc:Choice>
        </mc:AlternateContent>
        <mc:AlternateContent xmlns:mc="http://schemas.openxmlformats.org/markup-compatibility/2006">
          <mc:Choice Requires="x14">
            <control shapeId="11385" r:id="rId16" name="Check Box P3C1">
              <controlPr defaultSize="0" autoFill="0" autoLine="0" autoPict="0" macro="[0]!CheckBoxSource1357">
                <anchor moveWithCells="1" sizeWithCells="1">
                  <from>
                    <xdr:col>2</xdr:col>
                    <xdr:colOff>0</xdr:colOff>
                    <xdr:row>69</xdr:row>
                    <xdr:rowOff>0</xdr:rowOff>
                  </from>
                  <to>
                    <xdr:col>2</xdr:col>
                    <xdr:colOff>1781175</xdr:colOff>
                    <xdr:row>70</xdr:row>
                    <xdr:rowOff>0</xdr:rowOff>
                  </to>
                </anchor>
              </controlPr>
            </control>
          </mc:Choice>
        </mc:AlternateContent>
        <mc:AlternateContent xmlns:mc="http://schemas.openxmlformats.org/markup-compatibility/2006">
          <mc:Choice Requires="x14">
            <control shapeId="11386" r:id="rId17" name="Check Box P4C1">
              <controlPr defaultSize="0" autoFill="0" autoLine="0" autoPict="0" macro="[0]!CheckBoxSource1357">
                <anchor moveWithCells="1" sizeWithCells="1">
                  <from>
                    <xdr:col>2</xdr:col>
                    <xdr:colOff>0</xdr:colOff>
                    <xdr:row>97</xdr:row>
                    <xdr:rowOff>0</xdr:rowOff>
                  </from>
                  <to>
                    <xdr:col>2</xdr:col>
                    <xdr:colOff>1781175</xdr:colOff>
                    <xdr:row>98</xdr:row>
                    <xdr:rowOff>0</xdr:rowOff>
                  </to>
                </anchor>
              </controlPr>
            </control>
          </mc:Choice>
        </mc:AlternateContent>
        <mc:AlternateContent xmlns:mc="http://schemas.openxmlformats.org/markup-compatibility/2006">
          <mc:Choice Requires="x14">
            <control shapeId="11387" r:id="rId18" name="Check Box P5C1">
              <controlPr defaultSize="0" autoFill="0" autoLine="0" autoPict="0" macro="[0]!CheckBoxSource1357">
                <anchor moveWithCells="1" sizeWithCells="1">
                  <from>
                    <xdr:col>2</xdr:col>
                    <xdr:colOff>0</xdr:colOff>
                    <xdr:row>125</xdr:row>
                    <xdr:rowOff>0</xdr:rowOff>
                  </from>
                  <to>
                    <xdr:col>2</xdr:col>
                    <xdr:colOff>1781175</xdr:colOff>
                    <xdr:row>126</xdr:row>
                    <xdr:rowOff>0</xdr:rowOff>
                  </to>
                </anchor>
              </controlPr>
            </control>
          </mc:Choice>
        </mc:AlternateContent>
        <mc:AlternateContent xmlns:mc="http://schemas.openxmlformats.org/markup-compatibility/2006">
          <mc:Choice Requires="x14">
            <control shapeId="11393" r:id="rId19" name="Check Box P3C2">
              <controlPr defaultSize="0" autoFill="0" autoLine="0" autoPict="0" macro="[0]!CheckBoxSource289">
                <anchor moveWithCells="1" sizeWithCells="1">
                  <from>
                    <xdr:col>2</xdr:col>
                    <xdr:colOff>0</xdr:colOff>
                    <xdr:row>70</xdr:row>
                    <xdr:rowOff>0</xdr:rowOff>
                  </from>
                  <to>
                    <xdr:col>2</xdr:col>
                    <xdr:colOff>1781175</xdr:colOff>
                    <xdr:row>71</xdr:row>
                    <xdr:rowOff>0</xdr:rowOff>
                  </to>
                </anchor>
              </controlPr>
            </control>
          </mc:Choice>
        </mc:AlternateContent>
        <mc:AlternateContent xmlns:mc="http://schemas.openxmlformats.org/markup-compatibility/2006">
          <mc:Choice Requires="x14">
            <control shapeId="11394" r:id="rId20" name="Check Box P4C2">
              <controlPr defaultSize="0" autoFill="0" autoLine="0" autoPict="0" macro="[0]!CheckBoxSource289">
                <anchor moveWithCells="1" sizeWithCells="1">
                  <from>
                    <xdr:col>2</xdr:col>
                    <xdr:colOff>0</xdr:colOff>
                    <xdr:row>98</xdr:row>
                    <xdr:rowOff>0</xdr:rowOff>
                  </from>
                  <to>
                    <xdr:col>2</xdr:col>
                    <xdr:colOff>1781175</xdr:colOff>
                    <xdr:row>99</xdr:row>
                    <xdr:rowOff>0</xdr:rowOff>
                  </to>
                </anchor>
              </controlPr>
            </control>
          </mc:Choice>
        </mc:AlternateContent>
        <mc:AlternateContent xmlns:mc="http://schemas.openxmlformats.org/markup-compatibility/2006">
          <mc:Choice Requires="x14">
            <control shapeId="11395" r:id="rId21" name="Check Box P5C2">
              <controlPr defaultSize="0" autoFill="0" autoLine="0" autoPict="0" macro="[0]!CheckBoxSource289">
                <anchor moveWithCells="1" sizeWithCells="1">
                  <from>
                    <xdr:col>2</xdr:col>
                    <xdr:colOff>0</xdr:colOff>
                    <xdr:row>126</xdr:row>
                    <xdr:rowOff>0</xdr:rowOff>
                  </from>
                  <to>
                    <xdr:col>2</xdr:col>
                    <xdr:colOff>1781175</xdr:colOff>
                    <xdr:row>127</xdr:row>
                    <xdr:rowOff>0</xdr:rowOff>
                  </to>
                </anchor>
              </controlPr>
            </control>
          </mc:Choice>
        </mc:AlternateContent>
        <mc:AlternateContent xmlns:mc="http://schemas.openxmlformats.org/markup-compatibility/2006">
          <mc:Choice Requires="x14">
            <control shapeId="11401" r:id="rId22" name="Check Box P3C3">
              <controlPr defaultSize="0" autoFill="0" autoLine="0" autoPict="0" macro="[0]!CheckBoxSource1357">
                <anchor moveWithCells="1" sizeWithCells="1">
                  <from>
                    <xdr:col>2</xdr:col>
                    <xdr:colOff>0</xdr:colOff>
                    <xdr:row>71</xdr:row>
                    <xdr:rowOff>0</xdr:rowOff>
                  </from>
                  <to>
                    <xdr:col>2</xdr:col>
                    <xdr:colOff>1781175</xdr:colOff>
                    <xdr:row>72</xdr:row>
                    <xdr:rowOff>0</xdr:rowOff>
                  </to>
                </anchor>
              </controlPr>
            </control>
          </mc:Choice>
        </mc:AlternateContent>
        <mc:AlternateContent xmlns:mc="http://schemas.openxmlformats.org/markup-compatibility/2006">
          <mc:Choice Requires="x14">
            <control shapeId="11402" r:id="rId23" name="Check Box P4C3">
              <controlPr defaultSize="0" autoFill="0" autoLine="0" autoPict="0" macro="[0]!CheckBoxSource1357">
                <anchor moveWithCells="1" sizeWithCells="1">
                  <from>
                    <xdr:col>2</xdr:col>
                    <xdr:colOff>0</xdr:colOff>
                    <xdr:row>99</xdr:row>
                    <xdr:rowOff>0</xdr:rowOff>
                  </from>
                  <to>
                    <xdr:col>2</xdr:col>
                    <xdr:colOff>1781175</xdr:colOff>
                    <xdr:row>100</xdr:row>
                    <xdr:rowOff>0</xdr:rowOff>
                  </to>
                </anchor>
              </controlPr>
            </control>
          </mc:Choice>
        </mc:AlternateContent>
        <mc:AlternateContent xmlns:mc="http://schemas.openxmlformats.org/markup-compatibility/2006">
          <mc:Choice Requires="x14">
            <control shapeId="11403" r:id="rId24" name="Check Box P5C3">
              <controlPr defaultSize="0" autoFill="0" autoLine="0" autoPict="0" macro="[0]!CheckBoxSource1357">
                <anchor moveWithCells="1" sizeWithCells="1">
                  <from>
                    <xdr:col>2</xdr:col>
                    <xdr:colOff>0</xdr:colOff>
                    <xdr:row>127</xdr:row>
                    <xdr:rowOff>0</xdr:rowOff>
                  </from>
                  <to>
                    <xdr:col>2</xdr:col>
                    <xdr:colOff>1781175</xdr:colOff>
                    <xdr:row>128</xdr:row>
                    <xdr:rowOff>0</xdr:rowOff>
                  </to>
                </anchor>
              </controlPr>
            </control>
          </mc:Choice>
        </mc:AlternateContent>
        <mc:AlternateContent xmlns:mc="http://schemas.openxmlformats.org/markup-compatibility/2006">
          <mc:Choice Requires="x14">
            <control shapeId="11409" r:id="rId25" name="Check Box P3C4">
              <controlPr defaultSize="0" autoFill="0" autoLine="0" autoPict="0" macro="[0]!CheckBoxSource46">
                <anchor moveWithCells="1" sizeWithCells="1">
                  <from>
                    <xdr:col>2</xdr:col>
                    <xdr:colOff>0</xdr:colOff>
                    <xdr:row>72</xdr:row>
                    <xdr:rowOff>0</xdr:rowOff>
                  </from>
                  <to>
                    <xdr:col>2</xdr:col>
                    <xdr:colOff>1781175</xdr:colOff>
                    <xdr:row>73</xdr:row>
                    <xdr:rowOff>0</xdr:rowOff>
                  </to>
                </anchor>
              </controlPr>
            </control>
          </mc:Choice>
        </mc:AlternateContent>
        <mc:AlternateContent xmlns:mc="http://schemas.openxmlformats.org/markup-compatibility/2006">
          <mc:Choice Requires="x14">
            <control shapeId="11410" r:id="rId26" name="Check Box P4C4">
              <controlPr defaultSize="0" autoFill="0" autoLine="0" autoPict="0" macro="[0]!CheckBoxSource46">
                <anchor moveWithCells="1" sizeWithCells="1">
                  <from>
                    <xdr:col>2</xdr:col>
                    <xdr:colOff>0</xdr:colOff>
                    <xdr:row>100</xdr:row>
                    <xdr:rowOff>0</xdr:rowOff>
                  </from>
                  <to>
                    <xdr:col>2</xdr:col>
                    <xdr:colOff>1781175</xdr:colOff>
                    <xdr:row>101</xdr:row>
                    <xdr:rowOff>0</xdr:rowOff>
                  </to>
                </anchor>
              </controlPr>
            </control>
          </mc:Choice>
        </mc:AlternateContent>
        <mc:AlternateContent xmlns:mc="http://schemas.openxmlformats.org/markup-compatibility/2006">
          <mc:Choice Requires="x14">
            <control shapeId="11411" r:id="rId27" name="Check Box P5C4">
              <controlPr defaultSize="0" autoFill="0" autoLine="0" autoPict="0" macro="[0]!CheckBoxSource46">
                <anchor moveWithCells="1" sizeWithCells="1">
                  <from>
                    <xdr:col>2</xdr:col>
                    <xdr:colOff>0</xdr:colOff>
                    <xdr:row>128</xdr:row>
                    <xdr:rowOff>0</xdr:rowOff>
                  </from>
                  <to>
                    <xdr:col>2</xdr:col>
                    <xdr:colOff>1781175</xdr:colOff>
                    <xdr:row>129</xdr:row>
                    <xdr:rowOff>0</xdr:rowOff>
                  </to>
                </anchor>
              </controlPr>
            </control>
          </mc:Choice>
        </mc:AlternateContent>
        <mc:AlternateContent xmlns:mc="http://schemas.openxmlformats.org/markup-compatibility/2006">
          <mc:Choice Requires="x14">
            <control shapeId="11417" r:id="rId28" name="Check Box P3C5">
              <controlPr defaultSize="0" autoFill="0" autoLine="0" autoPict="0" macro="[0]!CheckBoxSource1357">
                <anchor moveWithCells="1" sizeWithCells="1">
                  <from>
                    <xdr:col>2</xdr:col>
                    <xdr:colOff>0</xdr:colOff>
                    <xdr:row>73</xdr:row>
                    <xdr:rowOff>0</xdr:rowOff>
                  </from>
                  <to>
                    <xdr:col>2</xdr:col>
                    <xdr:colOff>1781175</xdr:colOff>
                    <xdr:row>74</xdr:row>
                    <xdr:rowOff>0</xdr:rowOff>
                  </to>
                </anchor>
              </controlPr>
            </control>
          </mc:Choice>
        </mc:AlternateContent>
        <mc:AlternateContent xmlns:mc="http://schemas.openxmlformats.org/markup-compatibility/2006">
          <mc:Choice Requires="x14">
            <control shapeId="11418" r:id="rId29" name="Check Box P4C5">
              <controlPr defaultSize="0" autoFill="0" autoLine="0" autoPict="0" macro="[0]!CheckBoxSource1357">
                <anchor moveWithCells="1" sizeWithCells="1">
                  <from>
                    <xdr:col>2</xdr:col>
                    <xdr:colOff>0</xdr:colOff>
                    <xdr:row>101</xdr:row>
                    <xdr:rowOff>0</xdr:rowOff>
                  </from>
                  <to>
                    <xdr:col>2</xdr:col>
                    <xdr:colOff>1781175</xdr:colOff>
                    <xdr:row>102</xdr:row>
                    <xdr:rowOff>0</xdr:rowOff>
                  </to>
                </anchor>
              </controlPr>
            </control>
          </mc:Choice>
        </mc:AlternateContent>
        <mc:AlternateContent xmlns:mc="http://schemas.openxmlformats.org/markup-compatibility/2006">
          <mc:Choice Requires="x14">
            <control shapeId="11419" r:id="rId30" name="Check Box P5C5">
              <controlPr defaultSize="0" autoFill="0" autoLine="0" autoPict="0" macro="[0]!CheckBoxSource1357">
                <anchor moveWithCells="1" sizeWithCells="1">
                  <from>
                    <xdr:col>2</xdr:col>
                    <xdr:colOff>0</xdr:colOff>
                    <xdr:row>129</xdr:row>
                    <xdr:rowOff>0</xdr:rowOff>
                  </from>
                  <to>
                    <xdr:col>2</xdr:col>
                    <xdr:colOff>1781175</xdr:colOff>
                    <xdr:row>130</xdr:row>
                    <xdr:rowOff>0</xdr:rowOff>
                  </to>
                </anchor>
              </controlPr>
            </control>
          </mc:Choice>
        </mc:AlternateContent>
        <mc:AlternateContent xmlns:mc="http://schemas.openxmlformats.org/markup-compatibility/2006">
          <mc:Choice Requires="x14">
            <control shapeId="11425" r:id="rId31" name="Check Box P3C6">
              <controlPr defaultSize="0" autoFill="0" autoLine="0" autoPict="0" macro="[0]!CheckBoxSource46">
                <anchor moveWithCells="1" sizeWithCells="1">
                  <from>
                    <xdr:col>2</xdr:col>
                    <xdr:colOff>0</xdr:colOff>
                    <xdr:row>74</xdr:row>
                    <xdr:rowOff>0</xdr:rowOff>
                  </from>
                  <to>
                    <xdr:col>2</xdr:col>
                    <xdr:colOff>1781175</xdr:colOff>
                    <xdr:row>75</xdr:row>
                    <xdr:rowOff>0</xdr:rowOff>
                  </to>
                </anchor>
              </controlPr>
            </control>
          </mc:Choice>
        </mc:AlternateContent>
        <mc:AlternateContent xmlns:mc="http://schemas.openxmlformats.org/markup-compatibility/2006">
          <mc:Choice Requires="x14">
            <control shapeId="11426" r:id="rId32" name="Check Box P4C6">
              <controlPr defaultSize="0" autoFill="0" autoLine="0" autoPict="0" macro="[0]!CheckBoxSource46">
                <anchor moveWithCells="1" sizeWithCells="1">
                  <from>
                    <xdr:col>2</xdr:col>
                    <xdr:colOff>0</xdr:colOff>
                    <xdr:row>102</xdr:row>
                    <xdr:rowOff>0</xdr:rowOff>
                  </from>
                  <to>
                    <xdr:col>2</xdr:col>
                    <xdr:colOff>1781175</xdr:colOff>
                    <xdr:row>103</xdr:row>
                    <xdr:rowOff>0</xdr:rowOff>
                  </to>
                </anchor>
              </controlPr>
            </control>
          </mc:Choice>
        </mc:AlternateContent>
        <mc:AlternateContent xmlns:mc="http://schemas.openxmlformats.org/markup-compatibility/2006">
          <mc:Choice Requires="x14">
            <control shapeId="11427" r:id="rId33" name="Check Box P5C6">
              <controlPr defaultSize="0" autoFill="0" autoLine="0" autoPict="0" macro="[0]!CheckBoxSource46">
                <anchor moveWithCells="1" sizeWithCells="1">
                  <from>
                    <xdr:col>2</xdr:col>
                    <xdr:colOff>0</xdr:colOff>
                    <xdr:row>130</xdr:row>
                    <xdr:rowOff>0</xdr:rowOff>
                  </from>
                  <to>
                    <xdr:col>2</xdr:col>
                    <xdr:colOff>1781175</xdr:colOff>
                    <xdr:row>131</xdr:row>
                    <xdr:rowOff>0</xdr:rowOff>
                  </to>
                </anchor>
              </controlPr>
            </control>
          </mc:Choice>
        </mc:AlternateContent>
        <mc:AlternateContent xmlns:mc="http://schemas.openxmlformats.org/markup-compatibility/2006">
          <mc:Choice Requires="x14">
            <control shapeId="11434" r:id="rId34" name="Check Box P3C7">
              <controlPr defaultSize="0" autoFill="0" autoLine="0" autoPict="0" macro="[0]!CheckBoxSource1357">
                <anchor moveWithCells="1" sizeWithCells="1">
                  <from>
                    <xdr:col>2</xdr:col>
                    <xdr:colOff>0</xdr:colOff>
                    <xdr:row>75</xdr:row>
                    <xdr:rowOff>0</xdr:rowOff>
                  </from>
                  <to>
                    <xdr:col>2</xdr:col>
                    <xdr:colOff>1781175</xdr:colOff>
                    <xdr:row>76</xdr:row>
                    <xdr:rowOff>0</xdr:rowOff>
                  </to>
                </anchor>
              </controlPr>
            </control>
          </mc:Choice>
        </mc:AlternateContent>
        <mc:AlternateContent xmlns:mc="http://schemas.openxmlformats.org/markup-compatibility/2006">
          <mc:Choice Requires="x14">
            <control shapeId="11435" r:id="rId35" name="Check Box P4C7">
              <controlPr defaultSize="0" autoFill="0" autoLine="0" autoPict="0" macro="[0]!CheckBoxSource1357">
                <anchor moveWithCells="1" sizeWithCells="1">
                  <from>
                    <xdr:col>2</xdr:col>
                    <xdr:colOff>0</xdr:colOff>
                    <xdr:row>103</xdr:row>
                    <xdr:rowOff>0</xdr:rowOff>
                  </from>
                  <to>
                    <xdr:col>2</xdr:col>
                    <xdr:colOff>1781175</xdr:colOff>
                    <xdr:row>104</xdr:row>
                    <xdr:rowOff>0</xdr:rowOff>
                  </to>
                </anchor>
              </controlPr>
            </control>
          </mc:Choice>
        </mc:AlternateContent>
        <mc:AlternateContent xmlns:mc="http://schemas.openxmlformats.org/markup-compatibility/2006">
          <mc:Choice Requires="x14">
            <control shapeId="11436" r:id="rId36" name="Check Box P5C7">
              <controlPr defaultSize="0" autoFill="0" autoLine="0" autoPict="0" macro="[0]!CheckBoxSource1357">
                <anchor moveWithCells="1" sizeWithCells="1">
                  <from>
                    <xdr:col>2</xdr:col>
                    <xdr:colOff>0</xdr:colOff>
                    <xdr:row>131</xdr:row>
                    <xdr:rowOff>0</xdr:rowOff>
                  </from>
                  <to>
                    <xdr:col>2</xdr:col>
                    <xdr:colOff>1781175</xdr:colOff>
                    <xdr:row>132</xdr:row>
                    <xdr:rowOff>0</xdr:rowOff>
                  </to>
                </anchor>
              </controlPr>
            </control>
          </mc:Choice>
        </mc:AlternateContent>
        <mc:AlternateContent xmlns:mc="http://schemas.openxmlformats.org/markup-compatibility/2006">
          <mc:Choice Requires="x14">
            <control shapeId="11442" r:id="rId37" name="Check Box P2C8">
              <controlPr defaultSize="0" autoFill="0" autoLine="0" autoPict="0" macro="[0]!CheckBoxSource289">
                <anchor moveWithCells="1" sizeWithCells="1">
                  <from>
                    <xdr:col>2</xdr:col>
                    <xdr:colOff>0</xdr:colOff>
                    <xdr:row>48</xdr:row>
                    <xdr:rowOff>0</xdr:rowOff>
                  </from>
                  <to>
                    <xdr:col>2</xdr:col>
                    <xdr:colOff>1781175</xdr:colOff>
                    <xdr:row>49</xdr:row>
                    <xdr:rowOff>0</xdr:rowOff>
                  </to>
                </anchor>
              </controlPr>
            </control>
          </mc:Choice>
        </mc:AlternateContent>
        <mc:AlternateContent xmlns:mc="http://schemas.openxmlformats.org/markup-compatibility/2006">
          <mc:Choice Requires="x14">
            <control shapeId="11443" r:id="rId38" name="Check Box P3C8">
              <controlPr defaultSize="0" autoFill="0" autoLine="0" autoPict="0" macro="[0]!CheckBoxSource289">
                <anchor moveWithCells="1" sizeWithCells="1">
                  <from>
                    <xdr:col>2</xdr:col>
                    <xdr:colOff>0</xdr:colOff>
                    <xdr:row>76</xdr:row>
                    <xdr:rowOff>0</xdr:rowOff>
                  </from>
                  <to>
                    <xdr:col>2</xdr:col>
                    <xdr:colOff>1781175</xdr:colOff>
                    <xdr:row>77</xdr:row>
                    <xdr:rowOff>0</xdr:rowOff>
                  </to>
                </anchor>
              </controlPr>
            </control>
          </mc:Choice>
        </mc:AlternateContent>
        <mc:AlternateContent xmlns:mc="http://schemas.openxmlformats.org/markup-compatibility/2006">
          <mc:Choice Requires="x14">
            <control shapeId="11444" r:id="rId39" name="Check Box P4C8">
              <controlPr defaultSize="0" autoFill="0" autoLine="0" autoPict="0" macro="[0]!CheckBoxSource289">
                <anchor moveWithCells="1" sizeWithCells="1">
                  <from>
                    <xdr:col>2</xdr:col>
                    <xdr:colOff>0</xdr:colOff>
                    <xdr:row>104</xdr:row>
                    <xdr:rowOff>0</xdr:rowOff>
                  </from>
                  <to>
                    <xdr:col>2</xdr:col>
                    <xdr:colOff>1781175</xdr:colOff>
                    <xdr:row>105</xdr:row>
                    <xdr:rowOff>0</xdr:rowOff>
                  </to>
                </anchor>
              </controlPr>
            </control>
          </mc:Choice>
        </mc:AlternateContent>
        <mc:AlternateContent xmlns:mc="http://schemas.openxmlformats.org/markup-compatibility/2006">
          <mc:Choice Requires="x14">
            <control shapeId="11445" r:id="rId40" name="Check Box P5C8">
              <controlPr defaultSize="0" autoFill="0" autoLine="0" autoPict="0" macro="[0]!CheckBoxSource289">
                <anchor moveWithCells="1" sizeWithCells="1">
                  <from>
                    <xdr:col>2</xdr:col>
                    <xdr:colOff>0</xdr:colOff>
                    <xdr:row>132</xdr:row>
                    <xdr:rowOff>0</xdr:rowOff>
                  </from>
                  <to>
                    <xdr:col>2</xdr:col>
                    <xdr:colOff>1781175</xdr:colOff>
                    <xdr:row>133</xdr:row>
                    <xdr:rowOff>0</xdr:rowOff>
                  </to>
                </anchor>
              </controlPr>
            </control>
          </mc:Choice>
        </mc:AlternateContent>
        <mc:AlternateContent xmlns:mc="http://schemas.openxmlformats.org/markup-compatibility/2006">
          <mc:Choice Requires="x14">
            <control shapeId="11451" r:id="rId41" name="Check Box P2C9">
              <controlPr defaultSize="0" autoFill="0" autoLine="0" autoPict="0" macro="[0]!CheckBoxSource289">
                <anchor moveWithCells="1" sizeWithCells="1">
                  <from>
                    <xdr:col>2</xdr:col>
                    <xdr:colOff>0</xdr:colOff>
                    <xdr:row>49</xdr:row>
                    <xdr:rowOff>0</xdr:rowOff>
                  </from>
                  <to>
                    <xdr:col>2</xdr:col>
                    <xdr:colOff>1781175</xdr:colOff>
                    <xdr:row>50</xdr:row>
                    <xdr:rowOff>0</xdr:rowOff>
                  </to>
                </anchor>
              </controlPr>
            </control>
          </mc:Choice>
        </mc:AlternateContent>
        <mc:AlternateContent xmlns:mc="http://schemas.openxmlformats.org/markup-compatibility/2006">
          <mc:Choice Requires="x14">
            <control shapeId="11452" r:id="rId42" name="Check Box P3C9">
              <controlPr defaultSize="0" autoFill="0" autoLine="0" autoPict="0" macro="[0]!CheckBoxSource289">
                <anchor moveWithCells="1" sizeWithCells="1">
                  <from>
                    <xdr:col>2</xdr:col>
                    <xdr:colOff>0</xdr:colOff>
                    <xdr:row>77</xdr:row>
                    <xdr:rowOff>0</xdr:rowOff>
                  </from>
                  <to>
                    <xdr:col>2</xdr:col>
                    <xdr:colOff>1781175</xdr:colOff>
                    <xdr:row>78</xdr:row>
                    <xdr:rowOff>0</xdr:rowOff>
                  </to>
                </anchor>
              </controlPr>
            </control>
          </mc:Choice>
        </mc:AlternateContent>
        <mc:AlternateContent xmlns:mc="http://schemas.openxmlformats.org/markup-compatibility/2006">
          <mc:Choice Requires="x14">
            <control shapeId="11453" r:id="rId43" name="Check Box P4C9">
              <controlPr defaultSize="0" autoFill="0" autoLine="0" autoPict="0" macro="[0]!CheckBoxSource289">
                <anchor moveWithCells="1" sizeWithCells="1">
                  <from>
                    <xdr:col>2</xdr:col>
                    <xdr:colOff>0</xdr:colOff>
                    <xdr:row>105</xdr:row>
                    <xdr:rowOff>0</xdr:rowOff>
                  </from>
                  <to>
                    <xdr:col>2</xdr:col>
                    <xdr:colOff>1781175</xdr:colOff>
                    <xdr:row>106</xdr:row>
                    <xdr:rowOff>0</xdr:rowOff>
                  </to>
                </anchor>
              </controlPr>
            </control>
          </mc:Choice>
        </mc:AlternateContent>
        <mc:AlternateContent xmlns:mc="http://schemas.openxmlformats.org/markup-compatibility/2006">
          <mc:Choice Requires="x14">
            <control shapeId="11454" r:id="rId44" name="Check Box P5C9">
              <controlPr defaultSize="0" autoFill="0" autoLine="0" autoPict="0" macro="[0]!CheckBoxSource289">
                <anchor moveWithCells="1" sizeWithCells="1">
                  <from>
                    <xdr:col>2</xdr:col>
                    <xdr:colOff>0</xdr:colOff>
                    <xdr:row>133</xdr:row>
                    <xdr:rowOff>0</xdr:rowOff>
                  </from>
                  <to>
                    <xdr:col>2</xdr:col>
                    <xdr:colOff>1781175</xdr:colOff>
                    <xdr:row>134</xdr:row>
                    <xdr:rowOff>0</xdr:rowOff>
                  </to>
                </anchor>
              </controlPr>
            </control>
          </mc:Choice>
        </mc:AlternateContent>
        <mc:AlternateContent xmlns:mc="http://schemas.openxmlformats.org/markup-compatibility/2006">
          <mc:Choice Requires="x14">
            <control shapeId="11460" r:id="rId45" name="Check Box P1C3">
              <controlPr defaultSize="0" autoFill="0" autoLine="0" autoPict="0" macro="[0]!CheckBoxSource1357">
                <anchor moveWithCells="1" sizeWithCells="1">
                  <from>
                    <xdr:col>2</xdr:col>
                    <xdr:colOff>0</xdr:colOff>
                    <xdr:row>15</xdr:row>
                    <xdr:rowOff>0</xdr:rowOff>
                  </from>
                  <to>
                    <xdr:col>2</xdr:col>
                    <xdr:colOff>1781175</xdr:colOff>
                    <xdr:row>16</xdr:row>
                    <xdr:rowOff>0</xdr:rowOff>
                  </to>
                </anchor>
              </controlPr>
            </control>
          </mc:Choice>
        </mc:AlternateContent>
        <mc:AlternateContent xmlns:mc="http://schemas.openxmlformats.org/markup-compatibility/2006">
          <mc:Choice Requires="x14">
            <control shapeId="11461" r:id="rId46" name="Check Box P1C6">
              <controlPr defaultSize="0" autoFill="0" autoLine="0" autoPict="0" macro="[0]!CheckBoxSource46">
                <anchor moveWithCells="1" sizeWithCells="1">
                  <from>
                    <xdr:col>2</xdr:col>
                    <xdr:colOff>0</xdr:colOff>
                    <xdr:row>18</xdr:row>
                    <xdr:rowOff>0</xdr:rowOff>
                  </from>
                  <to>
                    <xdr:col>2</xdr:col>
                    <xdr:colOff>1781175</xdr:colOff>
                    <xdr:row>19</xdr:row>
                    <xdr:rowOff>0</xdr:rowOff>
                  </to>
                </anchor>
              </controlPr>
            </control>
          </mc:Choice>
        </mc:AlternateContent>
        <mc:AlternateContent xmlns:mc="http://schemas.openxmlformats.org/markup-compatibility/2006">
          <mc:Choice Requires="x14">
            <control shapeId="11462" r:id="rId47" name="Check Box P1C9">
              <controlPr defaultSize="0" autoFill="0" autoLine="0" autoPict="0" macro="[0]!CheckBoxSource289">
                <anchor moveWithCells="1" sizeWithCells="1">
                  <from>
                    <xdr:col>2</xdr:col>
                    <xdr:colOff>0</xdr:colOff>
                    <xdr:row>21</xdr:row>
                    <xdr:rowOff>0</xdr:rowOff>
                  </from>
                  <to>
                    <xdr:col>2</xdr:col>
                    <xdr:colOff>1781175</xdr:colOff>
                    <xdr:row>22</xdr:row>
                    <xdr:rowOff>0</xdr:rowOff>
                  </to>
                </anchor>
              </controlPr>
            </control>
          </mc:Choice>
        </mc:AlternateContent>
        <mc:AlternateContent xmlns:mc="http://schemas.openxmlformats.org/markup-compatibility/2006">
          <mc:Choice Requires="x14">
            <control shapeId="11463" r:id="rId48" name="Check Box P2C7">
              <controlPr defaultSize="0" autoFill="0" autoLine="0" autoPict="0" macro="[0]!CheckBoxSource1357">
                <anchor moveWithCells="1" sizeWithCells="1">
                  <from>
                    <xdr:col>2</xdr:col>
                    <xdr:colOff>0</xdr:colOff>
                    <xdr:row>47</xdr:row>
                    <xdr:rowOff>0</xdr:rowOff>
                  </from>
                  <to>
                    <xdr:col>2</xdr:col>
                    <xdr:colOff>1781175</xdr:colOff>
                    <xdr:row>48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3AE94-1C93-464F-A90E-81B4EF9514EA}">
  <sheetPr codeName="Sheet4">
    <tabColor rgb="FF046A38"/>
    <pageSetUpPr fitToPage="1"/>
  </sheetPr>
  <dimension ref="B1:H521"/>
  <sheetViews>
    <sheetView showGridLines="0" showRowColHeaders="0" zoomScaleNormal="100" workbookViewId="0">
      <selection activeCell="D12" sqref="D12"/>
    </sheetView>
  </sheetViews>
  <sheetFormatPr defaultColWidth="9.140625" defaultRowHeight="15" customHeight="1" x14ac:dyDescent="0.25"/>
  <cols>
    <col min="1" max="2" width="5.7109375" customWidth="1"/>
    <col min="3" max="3" width="26.28515625" customWidth="1"/>
    <col min="4" max="6" width="18.7109375" customWidth="1"/>
    <col min="7" max="7" width="24.7109375" customWidth="1"/>
    <col min="8" max="8" width="5.7109375" customWidth="1"/>
  </cols>
  <sheetData>
    <row r="1" spans="2:8" ht="24.95" customHeight="1" x14ac:dyDescent="0.25"/>
    <row r="2" spans="2:8" ht="24.95" customHeight="1" x14ac:dyDescent="0.25"/>
    <row r="3" spans="2:8" ht="24.95" customHeight="1" x14ac:dyDescent="0.25"/>
    <row r="4" spans="2:8" ht="24.95" customHeight="1" x14ac:dyDescent="0.25">
      <c r="B4" s="16"/>
      <c r="C4" s="105" t="s">
        <v>104</v>
      </c>
      <c r="D4" s="105"/>
      <c r="E4" s="105"/>
      <c r="F4" s="105"/>
      <c r="G4" s="105"/>
      <c r="H4" s="17"/>
    </row>
    <row r="5" spans="2:8" ht="20.100000000000001" customHeight="1" x14ac:dyDescent="0.25">
      <c r="B5" s="18"/>
      <c r="C5" s="104" t="s">
        <v>7</v>
      </c>
      <c r="D5" s="104"/>
      <c r="E5" s="104"/>
      <c r="F5" s="104"/>
      <c r="G5" s="104"/>
      <c r="H5" s="19"/>
    </row>
    <row r="6" spans="2:8" ht="15" customHeight="1" x14ac:dyDescent="0.25">
      <c r="B6" s="8"/>
      <c r="C6" s="86"/>
      <c r="D6" s="86"/>
      <c r="E6" s="86"/>
      <c r="F6" s="86"/>
      <c r="G6" s="86"/>
      <c r="H6" s="9"/>
    </row>
    <row r="7" spans="2:8" ht="15" customHeight="1" x14ac:dyDescent="0.25">
      <c r="B7" s="8"/>
      <c r="C7" s="86" t="s">
        <v>19</v>
      </c>
      <c r="D7" s="86"/>
      <c r="E7" s="86"/>
      <c r="F7" s="86"/>
      <c r="G7" s="86"/>
      <c r="H7" s="9"/>
    </row>
    <row r="8" spans="2:8" ht="15" customHeight="1" x14ac:dyDescent="0.25">
      <c r="B8" s="8"/>
      <c r="C8" s="118" t="str">
        <f>IF(I.Product.P1Name="","",I.Product.P1Name)</f>
        <v/>
      </c>
      <c r="D8" s="119"/>
      <c r="E8" s="86"/>
      <c r="F8" s="86"/>
      <c r="G8" s="86"/>
      <c r="H8" s="9"/>
    </row>
    <row r="9" spans="2:8" ht="15" customHeight="1" x14ac:dyDescent="0.25">
      <c r="B9" s="8"/>
      <c r="C9" s="86"/>
      <c r="D9" s="86"/>
      <c r="E9" s="86"/>
      <c r="F9" s="86"/>
      <c r="G9" s="86"/>
      <c r="H9" s="9"/>
    </row>
    <row r="10" spans="2:8" ht="15" customHeight="1" x14ac:dyDescent="0.25">
      <c r="B10" s="8"/>
      <c r="C10" s="86" t="s">
        <v>8</v>
      </c>
      <c r="D10" s="86"/>
      <c r="E10" s="86"/>
      <c r="F10" s="86"/>
      <c r="G10" s="86"/>
      <c r="H10" s="9"/>
    </row>
    <row r="11" spans="2:8" ht="15" customHeight="1" x14ac:dyDescent="0.25">
      <c r="B11" s="8"/>
      <c r="C11" s="91" t="s">
        <v>76</v>
      </c>
      <c r="D11" s="93" t="str">
        <f>IF(I.Product.P1Year1="","Baseline year 1",I.Product.P1Year1)</f>
        <v>Baseline year 1</v>
      </c>
      <c r="E11" s="93" t="str">
        <f>IF(I.Product.P1Year1="","Baseline year 2",I.Product.P1Year1+1)</f>
        <v>Baseline year 2</v>
      </c>
      <c r="F11" s="93" t="str">
        <f>IF(I.Product.P1Status="Yes","",IF(I.Product.P1Year1="","Baseline year 3",I.Product.P1Year1+2))</f>
        <v>Baseline year 3</v>
      </c>
      <c r="G11" s="90" t="s">
        <v>17</v>
      </c>
      <c r="H11" s="9"/>
    </row>
    <row r="12" spans="2:8" ht="15" customHeight="1" x14ac:dyDescent="0.25">
      <c r="B12" s="8"/>
      <c r="C12" s="87" t="s">
        <v>3023</v>
      </c>
      <c r="D12" s="94"/>
      <c r="E12" s="94"/>
      <c r="F12" s="94"/>
      <c r="G12" s="69"/>
      <c r="H12" s="9"/>
    </row>
    <row r="13" spans="2:8" ht="15" customHeight="1" x14ac:dyDescent="0.25">
      <c r="B13" s="8"/>
      <c r="C13" s="86"/>
      <c r="D13" s="86"/>
      <c r="E13" s="86"/>
      <c r="F13" s="86"/>
      <c r="G13" s="86"/>
      <c r="H13" s="9"/>
    </row>
    <row r="14" spans="2:8" ht="15" hidden="1" customHeight="1" x14ac:dyDescent="0.25">
      <c r="B14" s="8"/>
      <c r="C14" s="86" t="s">
        <v>63</v>
      </c>
      <c r="D14" s="86"/>
      <c r="E14" s="86"/>
      <c r="F14" s="86"/>
      <c r="G14" s="86"/>
      <c r="H14" s="9"/>
    </row>
    <row r="15" spans="2:8" ht="15" hidden="1" customHeight="1" x14ac:dyDescent="0.25">
      <c r="B15" s="8"/>
      <c r="C15" s="91" t="s">
        <v>76</v>
      </c>
      <c r="D15" s="93" t="str">
        <f>IF(I.Product.P1Year1="","Baseline year 1",I.Product.P1Year1)</f>
        <v>Baseline year 1</v>
      </c>
      <c r="E15" s="93" t="str">
        <f>IF(I.Product.P1Year1="","Baseline year 2",I.Product.P1Year1+1)</f>
        <v>Baseline year 2</v>
      </c>
      <c r="F15" s="93" t="str">
        <f>IF(I.Product.P1Status="Yes","",IF(I.Product.P1Year1="","Baseline year 3",I.Product.P1Year1+2))</f>
        <v>Baseline year 3</v>
      </c>
      <c r="G15" s="90" t="s">
        <v>17</v>
      </c>
      <c r="H15" s="9"/>
    </row>
    <row r="16" spans="2:8" ht="15" hidden="1" customHeight="1" x14ac:dyDescent="0.35">
      <c r="B16" s="8"/>
      <c r="C16" s="87" t="s">
        <v>36</v>
      </c>
      <c r="D16" s="94"/>
      <c r="E16" s="94"/>
      <c r="F16" s="94"/>
      <c r="G16" s="95" t="s">
        <v>209</v>
      </c>
      <c r="H16" s="9"/>
    </row>
    <row r="17" spans="2:8" ht="15" hidden="1" customHeight="1" x14ac:dyDescent="0.35">
      <c r="B17" s="8"/>
      <c r="C17" s="87" t="s">
        <v>37</v>
      </c>
      <c r="D17" s="94"/>
      <c r="E17" s="94"/>
      <c r="F17" s="94"/>
      <c r="G17" s="95" t="s">
        <v>210</v>
      </c>
      <c r="H17" s="9"/>
    </row>
    <row r="18" spans="2:8" ht="15" hidden="1" customHeight="1" x14ac:dyDescent="0.35">
      <c r="B18" s="8"/>
      <c r="C18" s="87" t="s">
        <v>38</v>
      </c>
      <c r="D18" s="94"/>
      <c r="E18" s="94"/>
      <c r="F18" s="94"/>
      <c r="G18" s="95" t="s">
        <v>211</v>
      </c>
      <c r="H18" s="9"/>
    </row>
    <row r="19" spans="2:8" ht="15" hidden="1" customHeight="1" x14ac:dyDescent="0.25">
      <c r="B19" s="8"/>
      <c r="C19" s="86"/>
      <c r="D19" s="86"/>
      <c r="E19" s="86"/>
      <c r="F19" s="86"/>
      <c r="G19" s="86"/>
      <c r="H19" s="9"/>
    </row>
    <row r="20" spans="2:8" ht="15" hidden="1" customHeight="1" x14ac:dyDescent="0.25">
      <c r="B20" s="8"/>
      <c r="C20" s="86" t="s">
        <v>24</v>
      </c>
      <c r="D20" s="86"/>
      <c r="E20" s="86"/>
      <c r="F20" s="86"/>
      <c r="G20" s="86"/>
      <c r="H20" s="9"/>
    </row>
    <row r="21" spans="2:8" ht="15" hidden="1" customHeight="1" x14ac:dyDescent="0.25">
      <c r="B21" s="8"/>
      <c r="C21" s="91" t="s">
        <v>76</v>
      </c>
      <c r="D21" s="93" t="str">
        <f>IF(I.Product.P1Year1="","Baseline year 1",I.Product.P1Year1)</f>
        <v>Baseline year 1</v>
      </c>
      <c r="E21" s="93" t="str">
        <f>IF(I.Product.P1Year1="","Baseline year 2",I.Product.P1Year1+1)</f>
        <v>Baseline year 2</v>
      </c>
      <c r="F21" s="93" t="str">
        <f>IF(I.Product.P1Status="Yes","",IF(I.Product.P1Year1="","Baseline year 3",I.Product.P1Year1+2))</f>
        <v>Baseline year 3</v>
      </c>
      <c r="G21" s="90" t="s">
        <v>17</v>
      </c>
      <c r="H21" s="9"/>
    </row>
    <row r="22" spans="2:8" ht="15" hidden="1" customHeight="1" x14ac:dyDescent="0.35">
      <c r="B22" s="8"/>
      <c r="C22" s="87" t="s">
        <v>36</v>
      </c>
      <c r="D22" s="94"/>
      <c r="E22" s="94"/>
      <c r="F22" s="94"/>
      <c r="G22" s="95" t="s">
        <v>209</v>
      </c>
      <c r="H22" s="9"/>
    </row>
    <row r="23" spans="2:8" ht="15" hidden="1" customHeight="1" x14ac:dyDescent="0.35">
      <c r="B23" s="8"/>
      <c r="C23" s="87" t="s">
        <v>37</v>
      </c>
      <c r="D23" s="94"/>
      <c r="E23" s="94"/>
      <c r="F23" s="94"/>
      <c r="G23" s="95" t="s">
        <v>210</v>
      </c>
      <c r="H23" s="9"/>
    </row>
    <row r="24" spans="2:8" ht="15" hidden="1" customHeight="1" x14ac:dyDescent="0.35">
      <c r="B24" s="8"/>
      <c r="C24" s="87" t="s">
        <v>38</v>
      </c>
      <c r="D24" s="94"/>
      <c r="E24" s="94"/>
      <c r="F24" s="94"/>
      <c r="G24" s="95" t="s">
        <v>211</v>
      </c>
      <c r="H24" s="9"/>
    </row>
    <row r="25" spans="2:8" ht="15" hidden="1" customHeight="1" x14ac:dyDescent="0.35">
      <c r="B25" s="8"/>
      <c r="C25" s="87" t="s">
        <v>39</v>
      </c>
      <c r="D25" s="94"/>
      <c r="E25" s="94"/>
      <c r="F25" s="94"/>
      <c r="G25" s="95" t="s">
        <v>212</v>
      </c>
      <c r="H25" s="9"/>
    </row>
    <row r="26" spans="2:8" ht="15" hidden="1" customHeight="1" x14ac:dyDescent="0.35">
      <c r="B26" s="8"/>
      <c r="C26" s="87" t="s">
        <v>40</v>
      </c>
      <c r="D26" s="94"/>
      <c r="E26" s="94"/>
      <c r="F26" s="94"/>
      <c r="G26" s="95" t="s">
        <v>213</v>
      </c>
      <c r="H26" s="9"/>
    </row>
    <row r="27" spans="2:8" ht="15" hidden="1" customHeight="1" x14ac:dyDescent="0.35">
      <c r="B27" s="8"/>
      <c r="C27" s="87" t="s">
        <v>41</v>
      </c>
      <c r="D27" s="94"/>
      <c r="E27" s="94"/>
      <c r="F27" s="94"/>
      <c r="G27" s="95" t="s">
        <v>214</v>
      </c>
      <c r="H27" s="9"/>
    </row>
    <row r="28" spans="2:8" ht="15" hidden="1" customHeight="1" x14ac:dyDescent="0.35">
      <c r="B28" s="8"/>
      <c r="C28" s="87" t="s">
        <v>42</v>
      </c>
      <c r="D28" s="94"/>
      <c r="E28" s="94"/>
      <c r="F28" s="94"/>
      <c r="G28" s="95" t="s">
        <v>215</v>
      </c>
      <c r="H28" s="9"/>
    </row>
    <row r="29" spans="2:8" ht="15" hidden="1" customHeight="1" x14ac:dyDescent="0.35">
      <c r="B29" s="8"/>
      <c r="C29" s="87" t="s">
        <v>43</v>
      </c>
      <c r="D29" s="94"/>
      <c r="E29" s="94"/>
      <c r="F29" s="94"/>
      <c r="G29" s="95" t="s">
        <v>216</v>
      </c>
      <c r="H29" s="9"/>
    </row>
    <row r="30" spans="2:8" ht="15" hidden="1" customHeight="1" x14ac:dyDescent="0.35">
      <c r="B30" s="8"/>
      <c r="C30" s="87" t="s">
        <v>44</v>
      </c>
      <c r="D30" s="94"/>
      <c r="E30" s="94"/>
      <c r="F30" s="94"/>
      <c r="G30" s="95" t="s">
        <v>217</v>
      </c>
      <c r="H30" s="9"/>
    </row>
    <row r="31" spans="2:8" ht="15" hidden="1" customHeight="1" x14ac:dyDescent="0.35">
      <c r="B31" s="8"/>
      <c r="C31" s="87" t="s">
        <v>45</v>
      </c>
      <c r="D31" s="94"/>
      <c r="E31" s="94"/>
      <c r="F31" s="94"/>
      <c r="G31" s="95" t="s">
        <v>218</v>
      </c>
      <c r="H31" s="9"/>
    </row>
    <row r="32" spans="2:8" ht="15" hidden="1" customHeight="1" x14ac:dyDescent="0.35">
      <c r="B32" s="8"/>
      <c r="C32" s="87" t="s">
        <v>46</v>
      </c>
      <c r="D32" s="94"/>
      <c r="E32" s="94"/>
      <c r="F32" s="94"/>
      <c r="G32" s="95" t="s">
        <v>219</v>
      </c>
      <c r="H32" s="9"/>
    </row>
    <row r="33" spans="2:8" ht="15" hidden="1" customHeight="1" x14ac:dyDescent="0.35">
      <c r="B33" s="8"/>
      <c r="C33" s="87" t="s">
        <v>47</v>
      </c>
      <c r="D33" s="94"/>
      <c r="E33" s="94"/>
      <c r="F33" s="94"/>
      <c r="G33" s="95" t="s">
        <v>220</v>
      </c>
      <c r="H33" s="9"/>
    </row>
    <row r="34" spans="2:8" ht="15" hidden="1" customHeight="1" x14ac:dyDescent="0.35">
      <c r="B34" s="8"/>
      <c r="C34" s="87" t="s">
        <v>48</v>
      </c>
      <c r="D34" s="94"/>
      <c r="E34" s="94"/>
      <c r="F34" s="94"/>
      <c r="G34" s="95" t="s">
        <v>221</v>
      </c>
      <c r="H34" s="9"/>
    </row>
    <row r="35" spans="2:8" ht="15" hidden="1" customHeight="1" x14ac:dyDescent="0.35">
      <c r="B35" s="8"/>
      <c r="C35" s="87" t="s">
        <v>49</v>
      </c>
      <c r="D35" s="94"/>
      <c r="E35" s="94"/>
      <c r="F35" s="94"/>
      <c r="G35" s="95" t="s">
        <v>222</v>
      </c>
      <c r="H35" s="9"/>
    </row>
    <row r="36" spans="2:8" ht="15" hidden="1" customHeight="1" x14ac:dyDescent="0.35">
      <c r="B36" s="8"/>
      <c r="C36" s="87" t="s">
        <v>50</v>
      </c>
      <c r="D36" s="94"/>
      <c r="E36" s="94"/>
      <c r="F36" s="94"/>
      <c r="G36" s="95" t="s">
        <v>223</v>
      </c>
      <c r="H36" s="9"/>
    </row>
    <row r="37" spans="2:8" ht="15" hidden="1" customHeight="1" x14ac:dyDescent="0.35">
      <c r="B37" s="8"/>
      <c r="C37" s="87" t="s">
        <v>51</v>
      </c>
      <c r="D37" s="94"/>
      <c r="E37" s="94"/>
      <c r="F37" s="94"/>
      <c r="G37" s="95" t="s">
        <v>224</v>
      </c>
      <c r="H37" s="9"/>
    </row>
    <row r="38" spans="2:8" ht="15" hidden="1" customHeight="1" x14ac:dyDescent="0.35">
      <c r="B38" s="8"/>
      <c r="C38" s="87" t="s">
        <v>52</v>
      </c>
      <c r="D38" s="94"/>
      <c r="E38" s="94"/>
      <c r="F38" s="94"/>
      <c r="G38" s="95" t="s">
        <v>225</v>
      </c>
      <c r="H38" s="9"/>
    </row>
    <row r="39" spans="2:8" ht="15" hidden="1" customHeight="1" x14ac:dyDescent="0.35">
      <c r="B39" s="8"/>
      <c r="C39" s="87" t="s">
        <v>53</v>
      </c>
      <c r="D39" s="94"/>
      <c r="E39" s="94"/>
      <c r="F39" s="94"/>
      <c r="G39" s="95" t="s">
        <v>226</v>
      </c>
      <c r="H39" s="9"/>
    </row>
    <row r="40" spans="2:8" ht="15" hidden="1" customHeight="1" x14ac:dyDescent="0.35">
      <c r="B40" s="8"/>
      <c r="C40" s="87" t="s">
        <v>54</v>
      </c>
      <c r="D40" s="94"/>
      <c r="E40" s="94"/>
      <c r="F40" s="94"/>
      <c r="G40" s="95" t="s">
        <v>227</v>
      </c>
      <c r="H40" s="9"/>
    </row>
    <row r="41" spans="2:8" ht="15" hidden="1" customHeight="1" x14ac:dyDescent="0.35">
      <c r="B41" s="8"/>
      <c r="C41" s="87" t="s">
        <v>55</v>
      </c>
      <c r="D41" s="94"/>
      <c r="E41" s="94"/>
      <c r="F41" s="94"/>
      <c r="G41" s="95" t="s">
        <v>228</v>
      </c>
      <c r="H41" s="9"/>
    </row>
    <row r="42" spans="2:8" ht="15" hidden="1" customHeight="1" x14ac:dyDescent="0.35">
      <c r="B42" s="8"/>
      <c r="C42" s="87" t="s">
        <v>56</v>
      </c>
      <c r="D42" s="94"/>
      <c r="E42" s="94"/>
      <c r="F42" s="94"/>
      <c r="G42" s="95" t="s">
        <v>229</v>
      </c>
      <c r="H42" s="9"/>
    </row>
    <row r="43" spans="2:8" ht="15" hidden="1" customHeight="1" x14ac:dyDescent="0.35">
      <c r="B43" s="8"/>
      <c r="C43" s="87" t="s">
        <v>57</v>
      </c>
      <c r="D43" s="94"/>
      <c r="E43" s="94"/>
      <c r="F43" s="94"/>
      <c r="G43" s="95" t="s">
        <v>230</v>
      </c>
      <c r="H43" s="9"/>
    </row>
    <row r="44" spans="2:8" ht="15" hidden="1" customHeight="1" x14ac:dyDescent="0.35">
      <c r="B44" s="8"/>
      <c r="C44" s="87" t="s">
        <v>58</v>
      </c>
      <c r="D44" s="94"/>
      <c r="E44" s="94"/>
      <c r="F44" s="94"/>
      <c r="G44" s="95" t="s">
        <v>231</v>
      </c>
      <c r="H44" s="9"/>
    </row>
    <row r="45" spans="2:8" ht="15" hidden="1" customHeight="1" x14ac:dyDescent="0.35">
      <c r="B45" s="8"/>
      <c r="C45" s="87" t="s">
        <v>59</v>
      </c>
      <c r="D45" s="94"/>
      <c r="E45" s="94"/>
      <c r="F45" s="94"/>
      <c r="G45" s="95" t="s">
        <v>232</v>
      </c>
      <c r="H45" s="9"/>
    </row>
    <row r="46" spans="2:8" ht="15" hidden="1" customHeight="1" x14ac:dyDescent="0.25">
      <c r="B46" s="8"/>
      <c r="C46" s="86"/>
      <c r="D46" s="86"/>
      <c r="E46" s="86"/>
      <c r="F46" s="86"/>
      <c r="G46" s="86"/>
      <c r="H46" s="9"/>
    </row>
    <row r="47" spans="2:8" ht="15" hidden="1" customHeight="1" x14ac:dyDescent="0.25">
      <c r="B47" s="8"/>
      <c r="C47" s="86" t="s">
        <v>64</v>
      </c>
      <c r="D47" s="86"/>
      <c r="E47" s="86"/>
      <c r="F47" s="86"/>
      <c r="G47" s="86"/>
      <c r="H47" s="9"/>
    </row>
    <row r="48" spans="2:8" ht="15" hidden="1" customHeight="1" x14ac:dyDescent="0.25">
      <c r="B48" s="8"/>
      <c r="C48" s="91" t="s">
        <v>76</v>
      </c>
      <c r="D48" s="93" t="str">
        <f>IF(I.Product.P1Year1="","Baseline year 1",I.Product.P1Year1)</f>
        <v>Baseline year 1</v>
      </c>
      <c r="E48" s="93" t="str">
        <f>IF(I.Product.P1Year1="","Baseline year 2",I.Product.P1Year1+1)</f>
        <v>Baseline year 2</v>
      </c>
      <c r="F48" s="93" t="str">
        <f>IF(I.Product.P1Status="Yes","",IF(I.Product.P1Year1="","Baseline year 3",I.Product.P1Year1+2))</f>
        <v>Baseline year 3</v>
      </c>
      <c r="G48" s="90" t="s">
        <v>17</v>
      </c>
      <c r="H48" s="9"/>
    </row>
    <row r="49" spans="2:8" ht="15" hidden="1" customHeight="1" x14ac:dyDescent="0.35">
      <c r="B49" s="8"/>
      <c r="C49" s="87" t="s">
        <v>39</v>
      </c>
      <c r="D49" s="94"/>
      <c r="E49" s="94"/>
      <c r="F49" s="94"/>
      <c r="G49" s="95" t="s">
        <v>212</v>
      </c>
      <c r="H49" s="9"/>
    </row>
    <row r="50" spans="2:8" ht="15" hidden="1" customHeight="1" x14ac:dyDescent="0.35">
      <c r="B50" s="8"/>
      <c r="C50" s="87" t="s">
        <v>40</v>
      </c>
      <c r="D50" s="94"/>
      <c r="E50" s="94"/>
      <c r="F50" s="94"/>
      <c r="G50" s="95" t="s">
        <v>213</v>
      </c>
      <c r="H50" s="9"/>
    </row>
    <row r="51" spans="2:8" ht="15" hidden="1" customHeight="1" x14ac:dyDescent="0.35">
      <c r="B51" s="8"/>
      <c r="C51" s="87" t="s">
        <v>41</v>
      </c>
      <c r="D51" s="94"/>
      <c r="E51" s="94"/>
      <c r="F51" s="94"/>
      <c r="G51" s="95" t="s">
        <v>214</v>
      </c>
      <c r="H51" s="9"/>
    </row>
    <row r="52" spans="2:8" ht="15" hidden="1" customHeight="1" x14ac:dyDescent="0.35">
      <c r="B52" s="8"/>
      <c r="C52" s="87" t="s">
        <v>42</v>
      </c>
      <c r="D52" s="94"/>
      <c r="E52" s="94"/>
      <c r="F52" s="94"/>
      <c r="G52" s="95" t="s">
        <v>215</v>
      </c>
      <c r="H52" s="9"/>
    </row>
    <row r="53" spans="2:8" ht="15" hidden="1" customHeight="1" x14ac:dyDescent="0.35">
      <c r="B53" s="8"/>
      <c r="C53" s="87" t="s">
        <v>43</v>
      </c>
      <c r="D53" s="94"/>
      <c r="E53" s="94"/>
      <c r="F53" s="94"/>
      <c r="G53" s="95" t="s">
        <v>216</v>
      </c>
      <c r="H53" s="9"/>
    </row>
    <row r="54" spans="2:8" ht="15" hidden="1" customHeight="1" x14ac:dyDescent="0.35">
      <c r="B54" s="8"/>
      <c r="C54" s="87" t="s">
        <v>44</v>
      </c>
      <c r="D54" s="94"/>
      <c r="E54" s="94"/>
      <c r="F54" s="94"/>
      <c r="G54" s="95" t="s">
        <v>217</v>
      </c>
      <c r="H54" s="9"/>
    </row>
    <row r="55" spans="2:8" ht="15" hidden="1" customHeight="1" x14ac:dyDescent="0.35">
      <c r="B55" s="8"/>
      <c r="C55" s="87" t="s">
        <v>45</v>
      </c>
      <c r="D55" s="94"/>
      <c r="E55" s="94"/>
      <c r="F55" s="94"/>
      <c r="G55" s="95" t="s">
        <v>218</v>
      </c>
      <c r="H55" s="9"/>
    </row>
    <row r="56" spans="2:8" ht="15" hidden="1" customHeight="1" x14ac:dyDescent="0.35">
      <c r="B56" s="8"/>
      <c r="C56" s="87" t="s">
        <v>46</v>
      </c>
      <c r="D56" s="94"/>
      <c r="E56" s="94"/>
      <c r="F56" s="94"/>
      <c r="G56" s="95" t="s">
        <v>219</v>
      </c>
      <c r="H56" s="9"/>
    </row>
    <row r="57" spans="2:8" ht="15" hidden="1" customHeight="1" x14ac:dyDescent="0.35">
      <c r="B57" s="8"/>
      <c r="C57" s="87" t="s">
        <v>47</v>
      </c>
      <c r="D57" s="94"/>
      <c r="E57" s="94"/>
      <c r="F57" s="94"/>
      <c r="G57" s="95" t="s">
        <v>220</v>
      </c>
      <c r="H57" s="9"/>
    </row>
    <row r="58" spans="2:8" ht="15" hidden="1" customHeight="1" x14ac:dyDescent="0.35">
      <c r="B58" s="8"/>
      <c r="C58" s="87" t="s">
        <v>48</v>
      </c>
      <c r="D58" s="94"/>
      <c r="E58" s="94"/>
      <c r="F58" s="94"/>
      <c r="G58" s="95" t="s">
        <v>221</v>
      </c>
      <c r="H58" s="9"/>
    </row>
    <row r="59" spans="2:8" ht="15" hidden="1" customHeight="1" x14ac:dyDescent="0.35">
      <c r="B59" s="8"/>
      <c r="C59" s="87" t="s">
        <v>49</v>
      </c>
      <c r="D59" s="94"/>
      <c r="E59" s="94"/>
      <c r="F59" s="94"/>
      <c r="G59" s="95" t="s">
        <v>222</v>
      </c>
      <c r="H59" s="9"/>
    </row>
    <row r="60" spans="2:8" ht="15" hidden="1" customHeight="1" x14ac:dyDescent="0.35">
      <c r="B60" s="8"/>
      <c r="C60" s="87" t="s">
        <v>50</v>
      </c>
      <c r="D60" s="94"/>
      <c r="E60" s="94"/>
      <c r="F60" s="94"/>
      <c r="G60" s="95" t="s">
        <v>223</v>
      </c>
      <c r="H60" s="9"/>
    </row>
    <row r="61" spans="2:8" ht="15" hidden="1" customHeight="1" x14ac:dyDescent="0.35">
      <c r="B61" s="8"/>
      <c r="C61" s="87" t="s">
        <v>51</v>
      </c>
      <c r="D61" s="94"/>
      <c r="E61" s="94"/>
      <c r="F61" s="94"/>
      <c r="G61" s="95" t="s">
        <v>224</v>
      </c>
      <c r="H61" s="9"/>
    </row>
    <row r="62" spans="2:8" ht="15" hidden="1" customHeight="1" x14ac:dyDescent="0.35">
      <c r="B62" s="8"/>
      <c r="C62" s="87" t="s">
        <v>52</v>
      </c>
      <c r="D62" s="94"/>
      <c r="E62" s="94"/>
      <c r="F62" s="94"/>
      <c r="G62" s="95" t="s">
        <v>225</v>
      </c>
      <c r="H62" s="9"/>
    </row>
    <row r="63" spans="2:8" ht="15" hidden="1" customHeight="1" x14ac:dyDescent="0.35">
      <c r="B63" s="8"/>
      <c r="C63" s="87" t="s">
        <v>53</v>
      </c>
      <c r="D63" s="94"/>
      <c r="E63" s="94"/>
      <c r="F63" s="94"/>
      <c r="G63" s="95" t="s">
        <v>226</v>
      </c>
      <c r="H63" s="9"/>
    </row>
    <row r="64" spans="2:8" ht="15" hidden="1" customHeight="1" x14ac:dyDescent="0.35">
      <c r="B64" s="8"/>
      <c r="C64" s="87" t="s">
        <v>54</v>
      </c>
      <c r="D64" s="94"/>
      <c r="E64" s="94"/>
      <c r="F64" s="94"/>
      <c r="G64" s="95" t="s">
        <v>227</v>
      </c>
      <c r="H64" s="9"/>
    </row>
    <row r="65" spans="2:8" ht="15" hidden="1" customHeight="1" x14ac:dyDescent="0.35">
      <c r="B65" s="8"/>
      <c r="C65" s="87" t="s">
        <v>55</v>
      </c>
      <c r="D65" s="94"/>
      <c r="E65" s="94"/>
      <c r="F65" s="94"/>
      <c r="G65" s="95" t="s">
        <v>228</v>
      </c>
      <c r="H65" s="9"/>
    </row>
    <row r="66" spans="2:8" ht="15" hidden="1" customHeight="1" x14ac:dyDescent="0.35">
      <c r="B66" s="8"/>
      <c r="C66" s="87" t="s">
        <v>56</v>
      </c>
      <c r="D66" s="94"/>
      <c r="E66" s="94"/>
      <c r="F66" s="94"/>
      <c r="G66" s="95" t="s">
        <v>229</v>
      </c>
      <c r="H66" s="9"/>
    </row>
    <row r="67" spans="2:8" ht="15" hidden="1" customHeight="1" x14ac:dyDescent="0.35">
      <c r="B67" s="8"/>
      <c r="C67" s="87" t="s">
        <v>57</v>
      </c>
      <c r="D67" s="94"/>
      <c r="E67" s="94"/>
      <c r="F67" s="94"/>
      <c r="G67" s="95" t="s">
        <v>230</v>
      </c>
      <c r="H67" s="9"/>
    </row>
    <row r="68" spans="2:8" ht="15" hidden="1" customHeight="1" x14ac:dyDescent="0.35">
      <c r="B68" s="8"/>
      <c r="C68" s="87" t="s">
        <v>58</v>
      </c>
      <c r="D68" s="94"/>
      <c r="E68" s="94"/>
      <c r="F68" s="94"/>
      <c r="G68" s="95" t="s">
        <v>231</v>
      </c>
      <c r="H68" s="9"/>
    </row>
    <row r="69" spans="2:8" ht="15" hidden="1" customHeight="1" x14ac:dyDescent="0.35">
      <c r="B69" s="8"/>
      <c r="C69" s="87" t="s">
        <v>59</v>
      </c>
      <c r="D69" s="94"/>
      <c r="E69" s="94"/>
      <c r="F69" s="94"/>
      <c r="G69" s="95" t="s">
        <v>232</v>
      </c>
      <c r="H69" s="9"/>
    </row>
    <row r="70" spans="2:8" ht="15" hidden="1" customHeight="1" x14ac:dyDescent="0.25">
      <c r="B70" s="8"/>
      <c r="C70" s="86"/>
      <c r="D70" s="86"/>
      <c r="E70" s="86"/>
      <c r="F70" s="86"/>
      <c r="G70" s="86"/>
      <c r="H70" s="9"/>
    </row>
    <row r="71" spans="2:8" ht="15" hidden="1" customHeight="1" x14ac:dyDescent="0.25">
      <c r="B71" s="8"/>
      <c r="C71" s="86" t="s">
        <v>65</v>
      </c>
      <c r="D71" s="86"/>
      <c r="E71" s="86"/>
      <c r="F71" s="86"/>
      <c r="G71" s="86"/>
      <c r="H71" s="9"/>
    </row>
    <row r="72" spans="2:8" ht="15" hidden="1" customHeight="1" x14ac:dyDescent="0.25">
      <c r="B72" s="8"/>
      <c r="C72" s="91" t="s">
        <v>76</v>
      </c>
      <c r="D72" s="93" t="str">
        <f>IF(I.Product.P1Year1="","Baseline year 1",I.Product.P1Year1)</f>
        <v>Baseline year 1</v>
      </c>
      <c r="E72" s="93" t="str">
        <f>IF(I.Product.P1Year1="","Baseline year 2",I.Product.P1Year1+1)</f>
        <v>Baseline year 2</v>
      </c>
      <c r="F72" s="93" t="str">
        <f>IF(I.Product.P1Status="Yes","",IF(I.Product.P1Year1="","Baseline year 3",I.Product.P1Year1+2))</f>
        <v>Baseline year 3</v>
      </c>
      <c r="G72" s="90" t="s">
        <v>17</v>
      </c>
      <c r="H72" s="9"/>
    </row>
    <row r="73" spans="2:8" ht="15" hidden="1" customHeight="1" x14ac:dyDescent="0.35">
      <c r="B73" s="8"/>
      <c r="C73" s="87" t="s">
        <v>36</v>
      </c>
      <c r="D73" s="94"/>
      <c r="E73" s="94"/>
      <c r="F73" s="94"/>
      <c r="G73" s="95" t="s">
        <v>209</v>
      </c>
      <c r="H73" s="9"/>
    </row>
    <row r="74" spans="2:8" ht="15" hidden="1" customHeight="1" x14ac:dyDescent="0.35">
      <c r="B74" s="8"/>
      <c r="C74" s="87" t="s">
        <v>37</v>
      </c>
      <c r="D74" s="94"/>
      <c r="E74" s="94"/>
      <c r="F74" s="94"/>
      <c r="G74" s="95" t="s">
        <v>210</v>
      </c>
      <c r="H74" s="9"/>
    </row>
    <row r="75" spans="2:8" ht="15" hidden="1" customHeight="1" x14ac:dyDescent="0.35">
      <c r="B75" s="8"/>
      <c r="C75" s="87" t="s">
        <v>38</v>
      </c>
      <c r="D75" s="94"/>
      <c r="E75" s="94"/>
      <c r="F75" s="94"/>
      <c r="G75" s="95" t="s">
        <v>211</v>
      </c>
      <c r="H75" s="9"/>
    </row>
    <row r="76" spans="2:8" ht="15" hidden="1" customHeight="1" x14ac:dyDescent="0.25">
      <c r="B76" s="8"/>
      <c r="C76" s="86"/>
      <c r="D76" s="86"/>
      <c r="E76" s="86"/>
      <c r="F76" s="86"/>
      <c r="G76" s="86"/>
      <c r="H76" s="9"/>
    </row>
    <row r="77" spans="2:8" ht="15" hidden="1" customHeight="1" x14ac:dyDescent="0.25">
      <c r="B77" s="8"/>
      <c r="C77" s="86" t="s">
        <v>66</v>
      </c>
      <c r="D77" s="86"/>
      <c r="E77" s="86"/>
      <c r="F77" s="86"/>
      <c r="G77" s="86"/>
      <c r="H77" s="9"/>
    </row>
    <row r="78" spans="2:8" ht="15" hidden="1" customHeight="1" x14ac:dyDescent="0.25">
      <c r="B78" s="8"/>
      <c r="C78" s="91" t="s">
        <v>76</v>
      </c>
      <c r="D78" s="93" t="str">
        <f>IF(I.Product.P1Year1="","Baseline year 1",I.Product.P1Year1)</f>
        <v>Baseline year 1</v>
      </c>
      <c r="E78" s="93" t="str">
        <f>IF(I.Product.P1Year1="","Baseline year 2",I.Product.P1Year1+1)</f>
        <v>Baseline year 2</v>
      </c>
      <c r="F78" s="93" t="str">
        <f>IF(I.Product.P1Status="Yes","",IF(I.Product.P1Year1="","Baseline year 3",I.Product.P1Year1+2))</f>
        <v>Baseline year 3</v>
      </c>
      <c r="G78" s="90" t="s">
        <v>17</v>
      </c>
      <c r="H78" s="9"/>
    </row>
    <row r="79" spans="2:8" ht="15" hidden="1" customHeight="1" x14ac:dyDescent="0.35">
      <c r="B79" s="8"/>
      <c r="C79" s="87" t="s">
        <v>36</v>
      </c>
      <c r="D79" s="94"/>
      <c r="E79" s="94"/>
      <c r="F79" s="94"/>
      <c r="G79" s="95" t="s">
        <v>209</v>
      </c>
      <c r="H79" s="9"/>
    </row>
    <row r="80" spans="2:8" ht="15" hidden="1" customHeight="1" x14ac:dyDescent="0.35">
      <c r="B80" s="8"/>
      <c r="C80" s="87" t="s">
        <v>37</v>
      </c>
      <c r="D80" s="94"/>
      <c r="E80" s="94"/>
      <c r="F80" s="94"/>
      <c r="G80" s="95" t="s">
        <v>210</v>
      </c>
      <c r="H80" s="9"/>
    </row>
    <row r="81" spans="2:8" ht="15" hidden="1" customHeight="1" x14ac:dyDescent="0.35">
      <c r="B81" s="8"/>
      <c r="C81" s="87" t="s">
        <v>38</v>
      </c>
      <c r="D81" s="94"/>
      <c r="E81" s="94"/>
      <c r="F81" s="94"/>
      <c r="G81" s="95" t="s">
        <v>211</v>
      </c>
      <c r="H81" s="9"/>
    </row>
    <row r="82" spans="2:8" ht="15" hidden="1" customHeight="1" x14ac:dyDescent="0.25">
      <c r="B82" s="8"/>
      <c r="C82" s="86"/>
      <c r="D82" s="86"/>
      <c r="E82" s="86"/>
      <c r="F82" s="86"/>
      <c r="G82" s="86"/>
      <c r="H82" s="9"/>
    </row>
    <row r="83" spans="2:8" ht="15" hidden="1" customHeight="1" x14ac:dyDescent="0.25">
      <c r="B83" s="8"/>
      <c r="C83" s="86" t="s">
        <v>67</v>
      </c>
      <c r="D83" s="86"/>
      <c r="E83" s="86"/>
      <c r="F83" s="86"/>
      <c r="G83" s="86"/>
      <c r="H83" s="9"/>
    </row>
    <row r="84" spans="2:8" ht="15" hidden="1" customHeight="1" x14ac:dyDescent="0.25">
      <c r="B84" s="8"/>
      <c r="C84" s="91" t="s">
        <v>76</v>
      </c>
      <c r="D84" s="93" t="str">
        <f>IF(I.Product.P1Year1="","Baseline year 1",I.Product.P1Year1)</f>
        <v>Baseline year 1</v>
      </c>
      <c r="E84" s="93" t="str">
        <f>IF(I.Product.P1Year1="","Baseline year 2",I.Product.P1Year1+1)</f>
        <v>Baseline year 2</v>
      </c>
      <c r="F84" s="93" t="str">
        <f>IF(I.Product.P1Status="Yes","",IF(I.Product.P1Year1="","Baseline year 3",I.Product.P1Year1+2))</f>
        <v>Baseline year 3</v>
      </c>
      <c r="G84" s="90" t="s">
        <v>17</v>
      </c>
      <c r="H84" s="9"/>
    </row>
    <row r="85" spans="2:8" ht="15" hidden="1" customHeight="1" x14ac:dyDescent="0.35">
      <c r="B85" s="8"/>
      <c r="C85" s="87" t="s">
        <v>36</v>
      </c>
      <c r="D85" s="94"/>
      <c r="E85" s="94"/>
      <c r="F85" s="94"/>
      <c r="G85" s="95" t="s">
        <v>209</v>
      </c>
      <c r="H85" s="9"/>
    </row>
    <row r="86" spans="2:8" ht="15" hidden="1" customHeight="1" x14ac:dyDescent="0.35">
      <c r="B86" s="8"/>
      <c r="C86" s="87" t="s">
        <v>37</v>
      </c>
      <c r="D86" s="94"/>
      <c r="E86" s="94"/>
      <c r="F86" s="94"/>
      <c r="G86" s="95" t="s">
        <v>210</v>
      </c>
      <c r="H86" s="9"/>
    </row>
    <row r="87" spans="2:8" ht="15" hidden="1" customHeight="1" x14ac:dyDescent="0.35">
      <c r="B87" s="8"/>
      <c r="C87" s="87" t="s">
        <v>38</v>
      </c>
      <c r="D87" s="94"/>
      <c r="E87" s="94"/>
      <c r="F87" s="94"/>
      <c r="G87" s="95" t="s">
        <v>211</v>
      </c>
      <c r="H87" s="9"/>
    </row>
    <row r="88" spans="2:8" ht="15" hidden="1" customHeight="1" x14ac:dyDescent="0.25">
      <c r="B88" s="8"/>
      <c r="C88" s="86"/>
      <c r="D88" s="86"/>
      <c r="E88" s="86"/>
      <c r="F88" s="86"/>
      <c r="G88" s="86"/>
      <c r="H88" s="9"/>
    </row>
    <row r="89" spans="2:8" ht="15" hidden="1" customHeight="1" x14ac:dyDescent="0.25">
      <c r="B89" s="8"/>
      <c r="C89" s="86" t="s">
        <v>68</v>
      </c>
      <c r="D89" s="86"/>
      <c r="E89" s="86"/>
      <c r="F89" s="86"/>
      <c r="G89" s="86"/>
      <c r="H89" s="9"/>
    </row>
    <row r="90" spans="2:8" ht="15" hidden="1" customHeight="1" x14ac:dyDescent="0.25">
      <c r="B90" s="8"/>
      <c r="C90" s="91" t="s">
        <v>76</v>
      </c>
      <c r="D90" s="93" t="str">
        <f>IF(I.Product.P1Year1="","Baseline year 1",I.Product.P1Year1)</f>
        <v>Baseline year 1</v>
      </c>
      <c r="E90" s="93" t="str">
        <f>IF(I.Product.P1Year1="","Baseline year 2",I.Product.P1Year1+1)</f>
        <v>Baseline year 2</v>
      </c>
      <c r="F90" s="93" t="str">
        <f>IF(I.Product.P1Status="Yes","",IF(I.Product.P1Year1="","Baseline year 3",I.Product.P1Year1+2))</f>
        <v>Baseline year 3</v>
      </c>
      <c r="G90" s="90" t="s">
        <v>17</v>
      </c>
      <c r="H90" s="9"/>
    </row>
    <row r="91" spans="2:8" ht="15" hidden="1" customHeight="1" x14ac:dyDescent="0.35">
      <c r="B91" s="8"/>
      <c r="C91" s="87" t="s">
        <v>36</v>
      </c>
      <c r="D91" s="94"/>
      <c r="E91" s="94"/>
      <c r="F91" s="94"/>
      <c r="G91" s="95" t="s">
        <v>209</v>
      </c>
      <c r="H91" s="9"/>
    </row>
    <row r="92" spans="2:8" ht="15" hidden="1" customHeight="1" x14ac:dyDescent="0.35">
      <c r="B92" s="8"/>
      <c r="C92" s="87" t="s">
        <v>37</v>
      </c>
      <c r="D92" s="94"/>
      <c r="E92" s="94"/>
      <c r="F92" s="94"/>
      <c r="G92" s="95" t="s">
        <v>210</v>
      </c>
      <c r="H92" s="9"/>
    </row>
    <row r="93" spans="2:8" ht="15" hidden="1" customHeight="1" x14ac:dyDescent="0.35">
      <c r="B93" s="8"/>
      <c r="C93" s="87" t="s">
        <v>38</v>
      </c>
      <c r="D93" s="94"/>
      <c r="E93" s="94"/>
      <c r="F93" s="94"/>
      <c r="G93" s="95" t="s">
        <v>211</v>
      </c>
      <c r="H93" s="9"/>
    </row>
    <row r="94" spans="2:8" ht="15" hidden="1" customHeight="1" x14ac:dyDescent="0.25">
      <c r="B94" s="8"/>
      <c r="C94" s="86"/>
      <c r="D94" s="86"/>
      <c r="E94" s="86"/>
      <c r="F94" s="86"/>
      <c r="G94" s="86"/>
      <c r="H94" s="9"/>
    </row>
    <row r="95" spans="2:8" ht="15" hidden="1" customHeight="1" x14ac:dyDescent="0.25">
      <c r="B95" s="8"/>
      <c r="C95" s="86" t="s">
        <v>69</v>
      </c>
      <c r="D95" s="86"/>
      <c r="E95" s="86"/>
      <c r="F95" s="86"/>
      <c r="G95" s="86"/>
      <c r="H95" s="9"/>
    </row>
    <row r="96" spans="2:8" ht="15" hidden="1" customHeight="1" x14ac:dyDescent="0.25">
      <c r="B96" s="8"/>
      <c r="C96" s="91" t="s">
        <v>76</v>
      </c>
      <c r="D96" s="93" t="str">
        <f>IF(I.Product.P1Year1="","Baseline year 1",I.Product.P1Year1)</f>
        <v>Baseline year 1</v>
      </c>
      <c r="E96" s="93" t="str">
        <f>IF(I.Product.P1Year1="","Baseline year 2",I.Product.P1Year1+1)</f>
        <v>Baseline year 2</v>
      </c>
      <c r="F96" s="93" t="str">
        <f>IF(I.Product.P1Status="Yes","",IF(I.Product.P1Year1="","Baseline year 3",I.Product.P1Year1+2))</f>
        <v>Baseline year 3</v>
      </c>
      <c r="G96" s="90" t="s">
        <v>17</v>
      </c>
      <c r="H96" s="9"/>
    </row>
    <row r="97" spans="2:8" ht="15" hidden="1" customHeight="1" x14ac:dyDescent="0.35">
      <c r="B97" s="8"/>
      <c r="C97" s="87" t="s">
        <v>36</v>
      </c>
      <c r="D97" s="94"/>
      <c r="E97" s="94"/>
      <c r="F97" s="94"/>
      <c r="G97" s="95" t="s">
        <v>209</v>
      </c>
      <c r="H97" s="9"/>
    </row>
    <row r="98" spans="2:8" ht="15" hidden="1" customHeight="1" x14ac:dyDescent="0.35">
      <c r="B98" s="8"/>
      <c r="C98" s="87" t="s">
        <v>37</v>
      </c>
      <c r="D98" s="94"/>
      <c r="E98" s="94"/>
      <c r="F98" s="94"/>
      <c r="G98" s="95" t="s">
        <v>210</v>
      </c>
      <c r="H98" s="9"/>
    </row>
    <row r="99" spans="2:8" ht="15" hidden="1" customHeight="1" x14ac:dyDescent="0.35">
      <c r="B99" s="8"/>
      <c r="C99" s="87" t="s">
        <v>38</v>
      </c>
      <c r="D99" s="94"/>
      <c r="E99" s="94"/>
      <c r="F99" s="94"/>
      <c r="G99" s="95" t="s">
        <v>211</v>
      </c>
      <c r="H99" s="9"/>
    </row>
    <row r="100" spans="2:8" ht="15" hidden="1" customHeight="1" x14ac:dyDescent="0.25">
      <c r="B100" s="8"/>
      <c r="C100" s="86"/>
      <c r="D100" s="86"/>
      <c r="E100" s="86"/>
      <c r="F100" s="86"/>
      <c r="G100" s="86"/>
      <c r="H100" s="9"/>
    </row>
    <row r="101" spans="2:8" ht="15" hidden="1" customHeight="1" x14ac:dyDescent="0.25">
      <c r="B101" s="8"/>
      <c r="C101" s="86" t="s">
        <v>70</v>
      </c>
      <c r="D101" s="86"/>
      <c r="E101" s="86"/>
      <c r="F101" s="86"/>
      <c r="G101" s="86"/>
      <c r="H101" s="9"/>
    </row>
    <row r="102" spans="2:8" ht="15" hidden="1" customHeight="1" x14ac:dyDescent="0.25">
      <c r="B102" s="8"/>
      <c r="C102" s="91" t="s">
        <v>76</v>
      </c>
      <c r="D102" s="93" t="str">
        <f>IF(I.Product.P1Year1="","Baseline year 1",I.Product.P1Year1)</f>
        <v>Baseline year 1</v>
      </c>
      <c r="E102" s="93" t="str">
        <f>IF(I.Product.P1Year1="","Baseline year 2",I.Product.P1Year1+1)</f>
        <v>Baseline year 2</v>
      </c>
      <c r="F102" s="93" t="str">
        <f>IF(I.Product.P1Status="Yes","",IF(I.Product.P1Year1="","Baseline year 3",I.Product.P1Year1+2))</f>
        <v>Baseline year 3</v>
      </c>
      <c r="G102" s="90" t="s">
        <v>17</v>
      </c>
      <c r="H102" s="9"/>
    </row>
    <row r="103" spans="2:8" ht="15" hidden="1" customHeight="1" x14ac:dyDescent="0.35">
      <c r="B103" s="8"/>
      <c r="C103" s="87" t="s">
        <v>36</v>
      </c>
      <c r="D103" s="94"/>
      <c r="E103" s="94"/>
      <c r="F103" s="94"/>
      <c r="G103" s="95" t="s">
        <v>209</v>
      </c>
      <c r="H103" s="9"/>
    </row>
    <row r="104" spans="2:8" ht="15" hidden="1" customHeight="1" x14ac:dyDescent="0.35">
      <c r="B104" s="8"/>
      <c r="C104" s="87" t="s">
        <v>37</v>
      </c>
      <c r="D104" s="94"/>
      <c r="E104" s="94"/>
      <c r="F104" s="94"/>
      <c r="G104" s="95" t="s">
        <v>210</v>
      </c>
      <c r="H104" s="9"/>
    </row>
    <row r="105" spans="2:8" ht="15" hidden="1" customHeight="1" x14ac:dyDescent="0.35">
      <c r="B105" s="8"/>
      <c r="C105" s="87" t="s">
        <v>38</v>
      </c>
      <c r="D105" s="94"/>
      <c r="E105" s="94"/>
      <c r="F105" s="94"/>
      <c r="G105" s="95" t="s">
        <v>211</v>
      </c>
      <c r="H105" s="9"/>
    </row>
    <row r="106" spans="2:8" ht="15" hidden="1" customHeight="1" x14ac:dyDescent="0.25">
      <c r="B106" s="8"/>
      <c r="C106" s="86"/>
      <c r="D106" s="86"/>
      <c r="E106" s="86"/>
      <c r="F106" s="86"/>
      <c r="G106" s="86"/>
      <c r="H106" s="9"/>
    </row>
    <row r="107" spans="2:8" ht="20.100000000000001" hidden="1" customHeight="1" x14ac:dyDescent="0.25">
      <c r="B107" s="18"/>
      <c r="C107" s="104" t="s">
        <v>10</v>
      </c>
      <c r="D107" s="104"/>
      <c r="E107" s="104"/>
      <c r="F107" s="104"/>
      <c r="G107" s="104"/>
      <c r="H107" s="19"/>
    </row>
    <row r="108" spans="2:8" ht="15" hidden="1" customHeight="1" x14ac:dyDescent="0.25">
      <c r="B108" s="8"/>
      <c r="C108" s="86"/>
      <c r="D108" s="86"/>
      <c r="E108" s="86"/>
      <c r="F108" s="86"/>
      <c r="G108" s="86"/>
      <c r="H108" s="9"/>
    </row>
    <row r="109" spans="2:8" ht="15" hidden="1" customHeight="1" x14ac:dyDescent="0.25">
      <c r="B109" s="8"/>
      <c r="C109" s="86" t="s">
        <v>19</v>
      </c>
      <c r="D109" s="86"/>
      <c r="E109" s="86"/>
      <c r="F109" s="86"/>
      <c r="G109" s="86"/>
      <c r="H109" s="9"/>
    </row>
    <row r="110" spans="2:8" ht="15" hidden="1" customHeight="1" x14ac:dyDescent="0.25">
      <c r="B110" s="8"/>
      <c r="C110" s="118" t="str">
        <f>IF(I.Product.P2Name="","",I.Product.P2Name)</f>
        <v/>
      </c>
      <c r="D110" s="119"/>
      <c r="E110" s="86"/>
      <c r="F110" s="86"/>
      <c r="G110" s="86"/>
      <c r="H110" s="9"/>
    </row>
    <row r="111" spans="2:8" ht="15" hidden="1" customHeight="1" x14ac:dyDescent="0.25">
      <c r="B111" s="8"/>
      <c r="C111" s="86"/>
      <c r="D111" s="86"/>
      <c r="E111" s="86"/>
      <c r="F111" s="86"/>
      <c r="G111" s="86"/>
      <c r="H111" s="9"/>
    </row>
    <row r="112" spans="2:8" ht="15" hidden="1" customHeight="1" x14ac:dyDescent="0.25">
      <c r="B112" s="8"/>
      <c r="C112" s="86" t="s">
        <v>8</v>
      </c>
      <c r="D112" s="86"/>
      <c r="E112" s="86"/>
      <c r="F112" s="86"/>
      <c r="G112" s="86"/>
      <c r="H112" s="9"/>
    </row>
    <row r="113" spans="2:8" ht="15" hidden="1" customHeight="1" x14ac:dyDescent="0.25">
      <c r="B113" s="8"/>
      <c r="C113" s="91" t="s">
        <v>76</v>
      </c>
      <c r="D113" s="93" t="str">
        <f>IF(I.Product.P2Year1="","Baseline year 1",I.Product.P2Year1)</f>
        <v>Baseline year 1</v>
      </c>
      <c r="E113" s="93" t="str">
        <f>IF(I.Product.P2Year1="","Baseline year 2",I.Product.P2Year1+1)</f>
        <v>Baseline year 2</v>
      </c>
      <c r="F113" s="93" t="str">
        <f>IF(I.Product.P2Status="Yes","",IF(I.Product.P2Year1="","Baseline year 3",I.Product.P2Year1+2))</f>
        <v>Baseline year 3</v>
      </c>
      <c r="G113" s="90" t="s">
        <v>17</v>
      </c>
      <c r="H113" s="9"/>
    </row>
    <row r="114" spans="2:8" ht="15" hidden="1" customHeight="1" x14ac:dyDescent="0.25">
      <c r="B114" s="8"/>
      <c r="C114" s="87" t="s">
        <v>3023</v>
      </c>
      <c r="D114" s="94"/>
      <c r="E114" s="94"/>
      <c r="F114" s="94"/>
      <c r="G114" s="69"/>
      <c r="H114" s="9"/>
    </row>
    <row r="115" spans="2:8" ht="15" hidden="1" customHeight="1" x14ac:dyDescent="0.25">
      <c r="B115" s="8"/>
      <c r="C115" s="86"/>
      <c r="D115" s="86"/>
      <c r="E115" s="86"/>
      <c r="F115" s="86"/>
      <c r="G115" s="86"/>
      <c r="H115" s="9"/>
    </row>
    <row r="116" spans="2:8" ht="15" hidden="1" customHeight="1" x14ac:dyDescent="0.25">
      <c r="B116" s="8"/>
      <c r="C116" s="86" t="s">
        <v>63</v>
      </c>
      <c r="D116" s="86"/>
      <c r="E116" s="86"/>
      <c r="F116" s="86"/>
      <c r="G116" s="86"/>
      <c r="H116" s="9"/>
    </row>
    <row r="117" spans="2:8" ht="15" hidden="1" customHeight="1" x14ac:dyDescent="0.25">
      <c r="B117" s="8"/>
      <c r="C117" s="91" t="s">
        <v>76</v>
      </c>
      <c r="D117" s="93" t="str">
        <f>IF(I.Product.P2Year1="","Baseline year 1",I.Product.P2Year1)</f>
        <v>Baseline year 1</v>
      </c>
      <c r="E117" s="93" t="str">
        <f>IF(I.Product.P2Year1="","Baseline year 2",I.Product.P2Year1+1)</f>
        <v>Baseline year 2</v>
      </c>
      <c r="F117" s="93" t="str">
        <f>IF(I.Product.P2Status="Yes","",IF(I.Product.P2Year1="","Baseline year 3",I.Product.P2Year1+2))</f>
        <v>Baseline year 3</v>
      </c>
      <c r="G117" s="90" t="s">
        <v>17</v>
      </c>
      <c r="H117" s="9"/>
    </row>
    <row r="118" spans="2:8" ht="15" hidden="1" customHeight="1" x14ac:dyDescent="0.35">
      <c r="B118" s="8"/>
      <c r="C118" s="87" t="s">
        <v>36</v>
      </c>
      <c r="D118" s="94"/>
      <c r="E118" s="94"/>
      <c r="F118" s="94"/>
      <c r="G118" s="95" t="s">
        <v>209</v>
      </c>
      <c r="H118" s="9"/>
    </row>
    <row r="119" spans="2:8" ht="15" hidden="1" customHeight="1" x14ac:dyDescent="0.35">
      <c r="B119" s="8"/>
      <c r="C119" s="87" t="s">
        <v>37</v>
      </c>
      <c r="D119" s="94"/>
      <c r="E119" s="94"/>
      <c r="F119" s="94"/>
      <c r="G119" s="95" t="s">
        <v>210</v>
      </c>
      <c r="H119" s="9"/>
    </row>
    <row r="120" spans="2:8" ht="15" hidden="1" customHeight="1" x14ac:dyDescent="0.35">
      <c r="B120" s="8"/>
      <c r="C120" s="87" t="s">
        <v>38</v>
      </c>
      <c r="D120" s="94"/>
      <c r="E120" s="94"/>
      <c r="F120" s="94"/>
      <c r="G120" s="95" t="s">
        <v>211</v>
      </c>
      <c r="H120" s="9"/>
    </row>
    <row r="121" spans="2:8" ht="15" hidden="1" customHeight="1" x14ac:dyDescent="0.25">
      <c r="B121" s="8"/>
      <c r="C121" s="86"/>
      <c r="D121" s="86"/>
      <c r="E121" s="86"/>
      <c r="F121" s="86"/>
      <c r="G121" s="86"/>
      <c r="H121" s="9"/>
    </row>
    <row r="122" spans="2:8" ht="15" hidden="1" customHeight="1" x14ac:dyDescent="0.25">
      <c r="B122" s="8"/>
      <c r="C122" s="86" t="s">
        <v>24</v>
      </c>
      <c r="D122" s="86"/>
      <c r="E122" s="86"/>
      <c r="F122" s="86"/>
      <c r="G122" s="86"/>
      <c r="H122" s="9"/>
    </row>
    <row r="123" spans="2:8" ht="15" hidden="1" customHeight="1" x14ac:dyDescent="0.25">
      <c r="B123" s="8"/>
      <c r="C123" s="91" t="s">
        <v>76</v>
      </c>
      <c r="D123" s="93" t="str">
        <f>IF(I.Product.P2Year1="","Baseline year 1",I.Product.P2Year1)</f>
        <v>Baseline year 1</v>
      </c>
      <c r="E123" s="93" t="str">
        <f>IF(I.Product.P2Year1="","Baseline year 2",I.Product.P2Year1+1)</f>
        <v>Baseline year 2</v>
      </c>
      <c r="F123" s="93" t="str">
        <f>IF(I.Product.P2Status="Yes","",IF(I.Product.P2Year1="","Baseline year 3",I.Product.P2Year1+2))</f>
        <v>Baseline year 3</v>
      </c>
      <c r="G123" s="90" t="s">
        <v>17</v>
      </c>
      <c r="H123" s="9"/>
    </row>
    <row r="124" spans="2:8" ht="15" hidden="1" customHeight="1" x14ac:dyDescent="0.35">
      <c r="B124" s="8"/>
      <c r="C124" s="87" t="s">
        <v>36</v>
      </c>
      <c r="D124" s="94"/>
      <c r="E124" s="94"/>
      <c r="F124" s="94"/>
      <c r="G124" s="95" t="s">
        <v>209</v>
      </c>
      <c r="H124" s="9"/>
    </row>
    <row r="125" spans="2:8" ht="15" hidden="1" customHeight="1" x14ac:dyDescent="0.35">
      <c r="B125" s="8"/>
      <c r="C125" s="87" t="s">
        <v>37</v>
      </c>
      <c r="D125" s="94"/>
      <c r="E125" s="94"/>
      <c r="F125" s="94"/>
      <c r="G125" s="95" t="s">
        <v>210</v>
      </c>
      <c r="H125" s="9"/>
    </row>
    <row r="126" spans="2:8" ht="15" hidden="1" customHeight="1" x14ac:dyDescent="0.35">
      <c r="B126" s="8"/>
      <c r="C126" s="87" t="s">
        <v>38</v>
      </c>
      <c r="D126" s="94"/>
      <c r="E126" s="94"/>
      <c r="F126" s="94"/>
      <c r="G126" s="95" t="s">
        <v>211</v>
      </c>
      <c r="H126" s="9"/>
    </row>
    <row r="127" spans="2:8" ht="15" hidden="1" customHeight="1" x14ac:dyDescent="0.35">
      <c r="B127" s="8"/>
      <c r="C127" s="87" t="s">
        <v>39</v>
      </c>
      <c r="D127" s="94"/>
      <c r="E127" s="94"/>
      <c r="F127" s="94"/>
      <c r="G127" s="95" t="s">
        <v>212</v>
      </c>
      <c r="H127" s="9"/>
    </row>
    <row r="128" spans="2:8" ht="15" hidden="1" customHeight="1" x14ac:dyDescent="0.35">
      <c r="B128" s="8"/>
      <c r="C128" s="87" t="s">
        <v>40</v>
      </c>
      <c r="D128" s="94"/>
      <c r="E128" s="94"/>
      <c r="F128" s="94"/>
      <c r="G128" s="95" t="s">
        <v>213</v>
      </c>
      <c r="H128" s="9"/>
    </row>
    <row r="129" spans="2:8" ht="15" hidden="1" customHeight="1" x14ac:dyDescent="0.35">
      <c r="B129" s="8"/>
      <c r="C129" s="87" t="s">
        <v>41</v>
      </c>
      <c r="D129" s="94"/>
      <c r="E129" s="94"/>
      <c r="F129" s="94"/>
      <c r="G129" s="95" t="s">
        <v>214</v>
      </c>
      <c r="H129" s="9"/>
    </row>
    <row r="130" spans="2:8" ht="15" hidden="1" customHeight="1" x14ac:dyDescent="0.35">
      <c r="B130" s="8"/>
      <c r="C130" s="87" t="s">
        <v>42</v>
      </c>
      <c r="D130" s="94"/>
      <c r="E130" s="94"/>
      <c r="F130" s="94"/>
      <c r="G130" s="95" t="s">
        <v>215</v>
      </c>
      <c r="H130" s="9"/>
    </row>
    <row r="131" spans="2:8" ht="15" hidden="1" customHeight="1" x14ac:dyDescent="0.35">
      <c r="B131" s="8"/>
      <c r="C131" s="87" t="s">
        <v>43</v>
      </c>
      <c r="D131" s="94"/>
      <c r="E131" s="94"/>
      <c r="F131" s="94"/>
      <c r="G131" s="95" t="s">
        <v>216</v>
      </c>
      <c r="H131" s="9"/>
    </row>
    <row r="132" spans="2:8" ht="15" hidden="1" customHeight="1" x14ac:dyDescent="0.35">
      <c r="B132" s="8"/>
      <c r="C132" s="87" t="s">
        <v>44</v>
      </c>
      <c r="D132" s="94"/>
      <c r="E132" s="94"/>
      <c r="F132" s="94"/>
      <c r="G132" s="95" t="s">
        <v>217</v>
      </c>
      <c r="H132" s="9"/>
    </row>
    <row r="133" spans="2:8" ht="15" hidden="1" customHeight="1" x14ac:dyDescent="0.35">
      <c r="B133" s="8"/>
      <c r="C133" s="87" t="s">
        <v>45</v>
      </c>
      <c r="D133" s="94"/>
      <c r="E133" s="94"/>
      <c r="F133" s="94"/>
      <c r="G133" s="95" t="s">
        <v>218</v>
      </c>
      <c r="H133" s="9"/>
    </row>
    <row r="134" spans="2:8" ht="15" hidden="1" customHeight="1" x14ac:dyDescent="0.35">
      <c r="B134" s="8"/>
      <c r="C134" s="87" t="s">
        <v>46</v>
      </c>
      <c r="D134" s="94"/>
      <c r="E134" s="94"/>
      <c r="F134" s="94"/>
      <c r="G134" s="95" t="s">
        <v>219</v>
      </c>
      <c r="H134" s="9"/>
    </row>
    <row r="135" spans="2:8" ht="15" hidden="1" customHeight="1" x14ac:dyDescent="0.35">
      <c r="B135" s="8"/>
      <c r="C135" s="87" t="s">
        <v>47</v>
      </c>
      <c r="D135" s="94"/>
      <c r="E135" s="94"/>
      <c r="F135" s="94"/>
      <c r="G135" s="95" t="s">
        <v>220</v>
      </c>
      <c r="H135" s="9"/>
    </row>
    <row r="136" spans="2:8" ht="15" hidden="1" customHeight="1" x14ac:dyDescent="0.35">
      <c r="B136" s="8"/>
      <c r="C136" s="87" t="s">
        <v>48</v>
      </c>
      <c r="D136" s="94"/>
      <c r="E136" s="94"/>
      <c r="F136" s="94"/>
      <c r="G136" s="95" t="s">
        <v>221</v>
      </c>
      <c r="H136" s="9"/>
    </row>
    <row r="137" spans="2:8" ht="15" hidden="1" customHeight="1" x14ac:dyDescent="0.35">
      <c r="B137" s="8"/>
      <c r="C137" s="87" t="s">
        <v>49</v>
      </c>
      <c r="D137" s="94"/>
      <c r="E137" s="94"/>
      <c r="F137" s="94"/>
      <c r="G137" s="95" t="s">
        <v>222</v>
      </c>
      <c r="H137" s="9"/>
    </row>
    <row r="138" spans="2:8" ht="15" hidden="1" customHeight="1" x14ac:dyDescent="0.35">
      <c r="B138" s="8"/>
      <c r="C138" s="87" t="s">
        <v>50</v>
      </c>
      <c r="D138" s="94"/>
      <c r="E138" s="94"/>
      <c r="F138" s="94"/>
      <c r="G138" s="95" t="s">
        <v>223</v>
      </c>
      <c r="H138" s="9"/>
    </row>
    <row r="139" spans="2:8" ht="15" hidden="1" customHeight="1" x14ac:dyDescent="0.35">
      <c r="B139" s="8"/>
      <c r="C139" s="87" t="s">
        <v>51</v>
      </c>
      <c r="D139" s="94"/>
      <c r="E139" s="94"/>
      <c r="F139" s="94"/>
      <c r="G139" s="95" t="s">
        <v>224</v>
      </c>
      <c r="H139" s="9"/>
    </row>
    <row r="140" spans="2:8" ht="15" hidden="1" customHeight="1" x14ac:dyDescent="0.35">
      <c r="B140" s="8"/>
      <c r="C140" s="87" t="s">
        <v>52</v>
      </c>
      <c r="D140" s="94"/>
      <c r="E140" s="94"/>
      <c r="F140" s="94"/>
      <c r="G140" s="95" t="s">
        <v>225</v>
      </c>
      <c r="H140" s="9"/>
    </row>
    <row r="141" spans="2:8" ht="15" hidden="1" customHeight="1" x14ac:dyDescent="0.35">
      <c r="B141" s="8"/>
      <c r="C141" s="87" t="s">
        <v>53</v>
      </c>
      <c r="D141" s="94"/>
      <c r="E141" s="94"/>
      <c r="F141" s="94"/>
      <c r="G141" s="95" t="s">
        <v>226</v>
      </c>
      <c r="H141" s="9"/>
    </row>
    <row r="142" spans="2:8" ht="15" hidden="1" customHeight="1" x14ac:dyDescent="0.35">
      <c r="B142" s="8"/>
      <c r="C142" s="87" t="s">
        <v>54</v>
      </c>
      <c r="D142" s="94"/>
      <c r="E142" s="94"/>
      <c r="F142" s="94"/>
      <c r="G142" s="95" t="s">
        <v>227</v>
      </c>
      <c r="H142" s="9"/>
    </row>
    <row r="143" spans="2:8" ht="15" hidden="1" customHeight="1" x14ac:dyDescent="0.35">
      <c r="B143" s="8"/>
      <c r="C143" s="87" t="s">
        <v>55</v>
      </c>
      <c r="D143" s="94"/>
      <c r="E143" s="94"/>
      <c r="F143" s="94"/>
      <c r="G143" s="95" t="s">
        <v>228</v>
      </c>
      <c r="H143" s="9"/>
    </row>
    <row r="144" spans="2:8" ht="15" hidden="1" customHeight="1" x14ac:dyDescent="0.35">
      <c r="B144" s="8"/>
      <c r="C144" s="87" t="s">
        <v>56</v>
      </c>
      <c r="D144" s="94"/>
      <c r="E144" s="94"/>
      <c r="F144" s="94"/>
      <c r="G144" s="95" t="s">
        <v>229</v>
      </c>
      <c r="H144" s="9"/>
    </row>
    <row r="145" spans="2:8" ht="15" hidden="1" customHeight="1" x14ac:dyDescent="0.35">
      <c r="B145" s="8"/>
      <c r="C145" s="87" t="s">
        <v>57</v>
      </c>
      <c r="D145" s="94"/>
      <c r="E145" s="94"/>
      <c r="F145" s="94"/>
      <c r="G145" s="95" t="s">
        <v>230</v>
      </c>
      <c r="H145" s="9"/>
    </row>
    <row r="146" spans="2:8" ht="15" hidden="1" customHeight="1" x14ac:dyDescent="0.35">
      <c r="B146" s="8"/>
      <c r="C146" s="87" t="s">
        <v>58</v>
      </c>
      <c r="D146" s="94"/>
      <c r="E146" s="94"/>
      <c r="F146" s="94"/>
      <c r="G146" s="95" t="s">
        <v>231</v>
      </c>
      <c r="H146" s="9"/>
    </row>
    <row r="147" spans="2:8" ht="15" hidden="1" customHeight="1" x14ac:dyDescent="0.35">
      <c r="B147" s="8"/>
      <c r="C147" s="87" t="s">
        <v>59</v>
      </c>
      <c r="D147" s="94"/>
      <c r="E147" s="94"/>
      <c r="F147" s="94"/>
      <c r="G147" s="95" t="s">
        <v>232</v>
      </c>
      <c r="H147" s="9"/>
    </row>
    <row r="148" spans="2:8" ht="15" hidden="1" customHeight="1" x14ac:dyDescent="0.25">
      <c r="B148" s="8"/>
      <c r="C148" s="86"/>
      <c r="D148" s="86"/>
      <c r="E148" s="86"/>
      <c r="F148" s="86"/>
      <c r="G148" s="86"/>
      <c r="H148" s="9"/>
    </row>
    <row r="149" spans="2:8" ht="15" hidden="1" customHeight="1" x14ac:dyDescent="0.25">
      <c r="B149" s="8"/>
      <c r="C149" s="86" t="s">
        <v>64</v>
      </c>
      <c r="D149" s="86"/>
      <c r="E149" s="86"/>
      <c r="F149" s="86"/>
      <c r="G149" s="86"/>
      <c r="H149" s="9"/>
    </row>
    <row r="150" spans="2:8" ht="15" hidden="1" customHeight="1" x14ac:dyDescent="0.25">
      <c r="B150" s="8"/>
      <c r="C150" s="91" t="s">
        <v>76</v>
      </c>
      <c r="D150" s="93" t="str">
        <f>IF(I.Product.P2Year1="","Baseline year 1",I.Product.P2Year1)</f>
        <v>Baseline year 1</v>
      </c>
      <c r="E150" s="93" t="str">
        <f>IF(I.Product.P2Year1="","Baseline year 2",I.Product.P2Year1+1)</f>
        <v>Baseline year 2</v>
      </c>
      <c r="F150" s="93" t="str">
        <f>IF(I.Product.P2Status="Yes","",IF(I.Product.P2Year1="","Baseline year 3",I.Product.P2Year1+2))</f>
        <v>Baseline year 3</v>
      </c>
      <c r="G150" s="90" t="s">
        <v>17</v>
      </c>
      <c r="H150" s="9"/>
    </row>
    <row r="151" spans="2:8" ht="15" hidden="1" customHeight="1" x14ac:dyDescent="0.35">
      <c r="B151" s="8"/>
      <c r="C151" s="87" t="s">
        <v>39</v>
      </c>
      <c r="D151" s="94"/>
      <c r="E151" s="94"/>
      <c r="F151" s="94"/>
      <c r="G151" s="95" t="s">
        <v>212</v>
      </c>
      <c r="H151" s="9"/>
    </row>
    <row r="152" spans="2:8" ht="15" hidden="1" customHeight="1" x14ac:dyDescent="0.35">
      <c r="B152" s="8"/>
      <c r="C152" s="87" t="s">
        <v>40</v>
      </c>
      <c r="D152" s="94"/>
      <c r="E152" s="94"/>
      <c r="F152" s="94"/>
      <c r="G152" s="95" t="s">
        <v>213</v>
      </c>
      <c r="H152" s="9"/>
    </row>
    <row r="153" spans="2:8" ht="15" hidden="1" customHeight="1" x14ac:dyDescent="0.35">
      <c r="B153" s="8"/>
      <c r="C153" s="87" t="s">
        <v>41</v>
      </c>
      <c r="D153" s="94"/>
      <c r="E153" s="94"/>
      <c r="F153" s="94"/>
      <c r="G153" s="95" t="s">
        <v>214</v>
      </c>
      <c r="H153" s="9"/>
    </row>
    <row r="154" spans="2:8" ht="15" hidden="1" customHeight="1" x14ac:dyDescent="0.35">
      <c r="B154" s="8"/>
      <c r="C154" s="87" t="s">
        <v>42</v>
      </c>
      <c r="D154" s="94"/>
      <c r="E154" s="94"/>
      <c r="F154" s="94"/>
      <c r="G154" s="95" t="s">
        <v>215</v>
      </c>
      <c r="H154" s="9"/>
    </row>
    <row r="155" spans="2:8" ht="15" hidden="1" customHeight="1" x14ac:dyDescent="0.35">
      <c r="B155" s="8"/>
      <c r="C155" s="87" t="s">
        <v>43</v>
      </c>
      <c r="D155" s="94"/>
      <c r="E155" s="94"/>
      <c r="F155" s="94"/>
      <c r="G155" s="95" t="s">
        <v>216</v>
      </c>
      <c r="H155" s="9"/>
    </row>
    <row r="156" spans="2:8" ht="15" hidden="1" customHeight="1" x14ac:dyDescent="0.35">
      <c r="B156" s="8"/>
      <c r="C156" s="87" t="s">
        <v>44</v>
      </c>
      <c r="D156" s="94"/>
      <c r="E156" s="94"/>
      <c r="F156" s="94"/>
      <c r="G156" s="95" t="s">
        <v>217</v>
      </c>
      <c r="H156" s="9"/>
    </row>
    <row r="157" spans="2:8" ht="15" hidden="1" customHeight="1" x14ac:dyDescent="0.35">
      <c r="B157" s="8"/>
      <c r="C157" s="87" t="s">
        <v>45</v>
      </c>
      <c r="D157" s="94"/>
      <c r="E157" s="94"/>
      <c r="F157" s="94"/>
      <c r="G157" s="95" t="s">
        <v>218</v>
      </c>
      <c r="H157" s="9"/>
    </row>
    <row r="158" spans="2:8" ht="15" hidden="1" customHeight="1" x14ac:dyDescent="0.35">
      <c r="B158" s="8"/>
      <c r="C158" s="87" t="s">
        <v>46</v>
      </c>
      <c r="D158" s="94"/>
      <c r="E158" s="94"/>
      <c r="F158" s="94"/>
      <c r="G158" s="95" t="s">
        <v>219</v>
      </c>
      <c r="H158" s="9"/>
    </row>
    <row r="159" spans="2:8" ht="15" hidden="1" customHeight="1" x14ac:dyDescent="0.35">
      <c r="B159" s="8"/>
      <c r="C159" s="87" t="s">
        <v>47</v>
      </c>
      <c r="D159" s="94"/>
      <c r="E159" s="94"/>
      <c r="F159" s="94"/>
      <c r="G159" s="95" t="s">
        <v>220</v>
      </c>
      <c r="H159" s="9"/>
    </row>
    <row r="160" spans="2:8" ht="15" hidden="1" customHeight="1" x14ac:dyDescent="0.35">
      <c r="B160" s="8"/>
      <c r="C160" s="87" t="s">
        <v>48</v>
      </c>
      <c r="D160" s="94"/>
      <c r="E160" s="94"/>
      <c r="F160" s="94"/>
      <c r="G160" s="95" t="s">
        <v>221</v>
      </c>
      <c r="H160" s="9"/>
    </row>
    <row r="161" spans="2:8" ht="15" hidden="1" customHeight="1" x14ac:dyDescent="0.35">
      <c r="B161" s="8"/>
      <c r="C161" s="87" t="s">
        <v>49</v>
      </c>
      <c r="D161" s="94"/>
      <c r="E161" s="94"/>
      <c r="F161" s="94"/>
      <c r="G161" s="95" t="s">
        <v>222</v>
      </c>
      <c r="H161" s="9"/>
    </row>
    <row r="162" spans="2:8" ht="15" hidden="1" customHeight="1" x14ac:dyDescent="0.35">
      <c r="B162" s="8"/>
      <c r="C162" s="87" t="s">
        <v>50</v>
      </c>
      <c r="D162" s="94"/>
      <c r="E162" s="94"/>
      <c r="F162" s="94"/>
      <c r="G162" s="95" t="s">
        <v>223</v>
      </c>
      <c r="H162" s="9"/>
    </row>
    <row r="163" spans="2:8" ht="15" hidden="1" customHeight="1" x14ac:dyDescent="0.35">
      <c r="B163" s="8"/>
      <c r="C163" s="87" t="s">
        <v>51</v>
      </c>
      <c r="D163" s="94"/>
      <c r="E163" s="94"/>
      <c r="F163" s="94"/>
      <c r="G163" s="95" t="s">
        <v>224</v>
      </c>
      <c r="H163" s="9"/>
    </row>
    <row r="164" spans="2:8" ht="15" hidden="1" customHeight="1" x14ac:dyDescent="0.35">
      <c r="B164" s="8"/>
      <c r="C164" s="87" t="s">
        <v>52</v>
      </c>
      <c r="D164" s="94"/>
      <c r="E164" s="94"/>
      <c r="F164" s="94"/>
      <c r="G164" s="95" t="s">
        <v>225</v>
      </c>
      <c r="H164" s="9"/>
    </row>
    <row r="165" spans="2:8" ht="15" hidden="1" customHeight="1" x14ac:dyDescent="0.35">
      <c r="B165" s="8"/>
      <c r="C165" s="87" t="s">
        <v>53</v>
      </c>
      <c r="D165" s="94"/>
      <c r="E165" s="94"/>
      <c r="F165" s="94"/>
      <c r="G165" s="95" t="s">
        <v>226</v>
      </c>
      <c r="H165" s="9"/>
    </row>
    <row r="166" spans="2:8" ht="15" hidden="1" customHeight="1" x14ac:dyDescent="0.35">
      <c r="B166" s="8"/>
      <c r="C166" s="87" t="s">
        <v>54</v>
      </c>
      <c r="D166" s="94"/>
      <c r="E166" s="94"/>
      <c r="F166" s="94"/>
      <c r="G166" s="95" t="s">
        <v>227</v>
      </c>
      <c r="H166" s="9"/>
    </row>
    <row r="167" spans="2:8" ht="15" hidden="1" customHeight="1" x14ac:dyDescent="0.35">
      <c r="B167" s="8"/>
      <c r="C167" s="87" t="s">
        <v>55</v>
      </c>
      <c r="D167" s="94"/>
      <c r="E167" s="94"/>
      <c r="F167" s="94"/>
      <c r="G167" s="95" t="s">
        <v>228</v>
      </c>
      <c r="H167" s="9"/>
    </row>
    <row r="168" spans="2:8" ht="15" hidden="1" customHeight="1" x14ac:dyDescent="0.35">
      <c r="B168" s="8"/>
      <c r="C168" s="87" t="s">
        <v>56</v>
      </c>
      <c r="D168" s="94"/>
      <c r="E168" s="94"/>
      <c r="F168" s="94"/>
      <c r="G168" s="95" t="s">
        <v>229</v>
      </c>
      <c r="H168" s="9"/>
    </row>
    <row r="169" spans="2:8" ht="15" hidden="1" customHeight="1" x14ac:dyDescent="0.35">
      <c r="B169" s="8"/>
      <c r="C169" s="87" t="s">
        <v>57</v>
      </c>
      <c r="D169" s="94"/>
      <c r="E169" s="94"/>
      <c r="F169" s="94"/>
      <c r="G169" s="95" t="s">
        <v>230</v>
      </c>
      <c r="H169" s="9"/>
    </row>
    <row r="170" spans="2:8" ht="15" hidden="1" customHeight="1" x14ac:dyDescent="0.35">
      <c r="B170" s="8"/>
      <c r="C170" s="87" t="s">
        <v>58</v>
      </c>
      <c r="D170" s="94"/>
      <c r="E170" s="94"/>
      <c r="F170" s="94"/>
      <c r="G170" s="95" t="s">
        <v>231</v>
      </c>
      <c r="H170" s="9"/>
    </row>
    <row r="171" spans="2:8" ht="15" hidden="1" customHeight="1" x14ac:dyDescent="0.35">
      <c r="B171" s="8"/>
      <c r="C171" s="87" t="s">
        <v>59</v>
      </c>
      <c r="D171" s="94"/>
      <c r="E171" s="94"/>
      <c r="F171" s="94"/>
      <c r="G171" s="95" t="s">
        <v>232</v>
      </c>
      <c r="H171" s="9"/>
    </row>
    <row r="172" spans="2:8" ht="15" hidden="1" customHeight="1" x14ac:dyDescent="0.25">
      <c r="B172" s="8"/>
      <c r="C172" s="86"/>
      <c r="D172" s="86"/>
      <c r="E172" s="86"/>
      <c r="F172" s="86"/>
      <c r="G172" s="86"/>
      <c r="H172" s="9"/>
    </row>
    <row r="173" spans="2:8" ht="15" hidden="1" customHeight="1" x14ac:dyDescent="0.25">
      <c r="B173" s="8"/>
      <c r="C173" s="86" t="s">
        <v>65</v>
      </c>
      <c r="D173" s="86"/>
      <c r="E173" s="86"/>
      <c r="F173" s="86"/>
      <c r="G173" s="86"/>
      <c r="H173" s="9"/>
    </row>
    <row r="174" spans="2:8" ht="15" hidden="1" customHeight="1" x14ac:dyDescent="0.25">
      <c r="B174" s="8"/>
      <c r="C174" s="91" t="s">
        <v>76</v>
      </c>
      <c r="D174" s="93" t="str">
        <f>IF(I.Product.P2Year1="","Baseline year 1",I.Product.P2Year1)</f>
        <v>Baseline year 1</v>
      </c>
      <c r="E174" s="93" t="str">
        <f>IF(I.Product.P2Year1="","Baseline year 2",I.Product.P2Year1+1)</f>
        <v>Baseline year 2</v>
      </c>
      <c r="F174" s="93" t="str">
        <f>IF(I.Product.P2Status="Yes","",IF(I.Product.P2Year1="","Baseline year 3",I.Product.P2Year1+2))</f>
        <v>Baseline year 3</v>
      </c>
      <c r="G174" s="90" t="s">
        <v>17</v>
      </c>
      <c r="H174" s="9"/>
    </row>
    <row r="175" spans="2:8" ht="15" hidden="1" customHeight="1" x14ac:dyDescent="0.35">
      <c r="B175" s="8"/>
      <c r="C175" s="87" t="s">
        <v>36</v>
      </c>
      <c r="D175" s="94"/>
      <c r="E175" s="94"/>
      <c r="F175" s="94"/>
      <c r="G175" s="95" t="s">
        <v>209</v>
      </c>
      <c r="H175" s="9"/>
    </row>
    <row r="176" spans="2:8" ht="15" hidden="1" customHeight="1" x14ac:dyDescent="0.35">
      <c r="B176" s="8"/>
      <c r="C176" s="87" t="s">
        <v>37</v>
      </c>
      <c r="D176" s="94"/>
      <c r="E176" s="94"/>
      <c r="F176" s="94"/>
      <c r="G176" s="95" t="s">
        <v>210</v>
      </c>
      <c r="H176" s="9"/>
    </row>
    <row r="177" spans="2:8" ht="15" hidden="1" customHeight="1" x14ac:dyDescent="0.35">
      <c r="B177" s="8"/>
      <c r="C177" s="87" t="s">
        <v>38</v>
      </c>
      <c r="D177" s="94"/>
      <c r="E177" s="94"/>
      <c r="F177" s="94"/>
      <c r="G177" s="95" t="s">
        <v>211</v>
      </c>
      <c r="H177" s="9"/>
    </row>
    <row r="178" spans="2:8" ht="15" hidden="1" customHeight="1" x14ac:dyDescent="0.25">
      <c r="B178" s="8"/>
      <c r="C178" s="86"/>
      <c r="D178" s="86"/>
      <c r="E178" s="86"/>
      <c r="F178" s="86"/>
      <c r="G178" s="86"/>
      <c r="H178" s="9"/>
    </row>
    <row r="179" spans="2:8" ht="15" hidden="1" customHeight="1" x14ac:dyDescent="0.25">
      <c r="B179" s="8"/>
      <c r="C179" s="86" t="s">
        <v>66</v>
      </c>
      <c r="D179" s="86"/>
      <c r="E179" s="86"/>
      <c r="F179" s="86"/>
      <c r="G179" s="86"/>
      <c r="H179" s="9"/>
    </row>
    <row r="180" spans="2:8" ht="15" hidden="1" customHeight="1" x14ac:dyDescent="0.25">
      <c r="B180" s="8"/>
      <c r="C180" s="91" t="s">
        <v>76</v>
      </c>
      <c r="D180" s="93" t="str">
        <f>IF(I.Product.P2Year1="","Baseline year 1",I.Product.P2Year1)</f>
        <v>Baseline year 1</v>
      </c>
      <c r="E180" s="93" t="str">
        <f>IF(I.Product.P2Year1="","Baseline year 2",I.Product.P2Year1+1)</f>
        <v>Baseline year 2</v>
      </c>
      <c r="F180" s="93" t="str">
        <f>IF(I.Product.P2Status="Yes","",IF(I.Product.P2Year1="","Baseline year 3",I.Product.P2Year1+2))</f>
        <v>Baseline year 3</v>
      </c>
      <c r="G180" s="90" t="s">
        <v>17</v>
      </c>
      <c r="H180" s="9"/>
    </row>
    <row r="181" spans="2:8" ht="15" hidden="1" customHeight="1" x14ac:dyDescent="0.35">
      <c r="B181" s="8"/>
      <c r="C181" s="87" t="s">
        <v>36</v>
      </c>
      <c r="D181" s="94"/>
      <c r="E181" s="94"/>
      <c r="F181" s="94"/>
      <c r="G181" s="95" t="s">
        <v>209</v>
      </c>
      <c r="H181" s="9"/>
    </row>
    <row r="182" spans="2:8" ht="15" hidden="1" customHeight="1" x14ac:dyDescent="0.35">
      <c r="B182" s="8"/>
      <c r="C182" s="87" t="s">
        <v>37</v>
      </c>
      <c r="D182" s="94"/>
      <c r="E182" s="94"/>
      <c r="F182" s="94"/>
      <c r="G182" s="95" t="s">
        <v>210</v>
      </c>
      <c r="H182" s="9"/>
    </row>
    <row r="183" spans="2:8" ht="15" hidden="1" customHeight="1" x14ac:dyDescent="0.35">
      <c r="B183" s="8"/>
      <c r="C183" s="87" t="s">
        <v>38</v>
      </c>
      <c r="D183" s="94"/>
      <c r="E183" s="94"/>
      <c r="F183" s="94"/>
      <c r="G183" s="95" t="s">
        <v>211</v>
      </c>
      <c r="H183" s="9"/>
    </row>
    <row r="184" spans="2:8" ht="15" hidden="1" customHeight="1" x14ac:dyDescent="0.25">
      <c r="B184" s="8"/>
      <c r="C184" s="86"/>
      <c r="D184" s="86"/>
      <c r="E184" s="86"/>
      <c r="F184" s="86"/>
      <c r="G184" s="86"/>
      <c r="H184" s="9"/>
    </row>
    <row r="185" spans="2:8" ht="15" hidden="1" customHeight="1" x14ac:dyDescent="0.25">
      <c r="B185" s="8"/>
      <c r="C185" s="86" t="s">
        <v>67</v>
      </c>
      <c r="D185" s="86"/>
      <c r="E185" s="86"/>
      <c r="F185" s="86"/>
      <c r="G185" s="86"/>
      <c r="H185" s="9"/>
    </row>
    <row r="186" spans="2:8" ht="15" hidden="1" customHeight="1" x14ac:dyDescent="0.25">
      <c r="B186" s="8"/>
      <c r="C186" s="91" t="s">
        <v>76</v>
      </c>
      <c r="D186" s="93" t="str">
        <f>IF(I.Product.P2Year1="","Baseline year 1",I.Product.P2Year1)</f>
        <v>Baseline year 1</v>
      </c>
      <c r="E186" s="93" t="str">
        <f>IF(I.Product.P2Year1="","Baseline year 2",I.Product.P2Year1+1)</f>
        <v>Baseline year 2</v>
      </c>
      <c r="F186" s="93" t="str">
        <f>IF(I.Product.P2Status="Yes","",IF(I.Product.P2Year1="","Baseline year 3",I.Product.P2Year1+2))</f>
        <v>Baseline year 3</v>
      </c>
      <c r="G186" s="90" t="s">
        <v>17</v>
      </c>
      <c r="H186" s="9"/>
    </row>
    <row r="187" spans="2:8" ht="15" hidden="1" customHeight="1" x14ac:dyDescent="0.35">
      <c r="B187" s="8"/>
      <c r="C187" s="87" t="s">
        <v>36</v>
      </c>
      <c r="D187" s="94"/>
      <c r="E187" s="94"/>
      <c r="F187" s="94"/>
      <c r="G187" s="95" t="s">
        <v>209</v>
      </c>
      <c r="H187" s="9"/>
    </row>
    <row r="188" spans="2:8" ht="15" hidden="1" customHeight="1" x14ac:dyDescent="0.35">
      <c r="B188" s="8"/>
      <c r="C188" s="87" t="s">
        <v>37</v>
      </c>
      <c r="D188" s="94"/>
      <c r="E188" s="94"/>
      <c r="F188" s="94"/>
      <c r="G188" s="95" t="s">
        <v>210</v>
      </c>
      <c r="H188" s="9"/>
    </row>
    <row r="189" spans="2:8" ht="15" hidden="1" customHeight="1" x14ac:dyDescent="0.35">
      <c r="B189" s="8"/>
      <c r="C189" s="87" t="s">
        <v>38</v>
      </c>
      <c r="D189" s="94"/>
      <c r="E189" s="94"/>
      <c r="F189" s="94"/>
      <c r="G189" s="95" t="s">
        <v>211</v>
      </c>
      <c r="H189" s="9"/>
    </row>
    <row r="190" spans="2:8" ht="15" hidden="1" customHeight="1" x14ac:dyDescent="0.25">
      <c r="B190" s="8"/>
      <c r="C190" s="86"/>
      <c r="D190" s="86"/>
      <c r="E190" s="86"/>
      <c r="F190" s="86"/>
      <c r="G190" s="86"/>
      <c r="H190" s="9"/>
    </row>
    <row r="191" spans="2:8" ht="15" hidden="1" customHeight="1" x14ac:dyDescent="0.25">
      <c r="B191" s="8"/>
      <c r="C191" s="86" t="s">
        <v>68</v>
      </c>
      <c r="D191" s="86"/>
      <c r="E191" s="86"/>
      <c r="F191" s="86"/>
      <c r="G191" s="86"/>
      <c r="H191" s="9"/>
    </row>
    <row r="192" spans="2:8" ht="15" hidden="1" customHeight="1" x14ac:dyDescent="0.25">
      <c r="B192" s="8"/>
      <c r="C192" s="91" t="s">
        <v>76</v>
      </c>
      <c r="D192" s="93" t="str">
        <f>IF(I.Product.P2Year1="","Baseline year 1",I.Product.P2Year1)</f>
        <v>Baseline year 1</v>
      </c>
      <c r="E192" s="93" t="str">
        <f>IF(I.Product.P2Year1="","Baseline year 2",I.Product.P2Year1+1)</f>
        <v>Baseline year 2</v>
      </c>
      <c r="F192" s="93" t="str">
        <f>IF(I.Product.P2Status="Yes","",IF(I.Product.P2Year1="","Baseline year 3",I.Product.P2Year1+2))</f>
        <v>Baseline year 3</v>
      </c>
      <c r="G192" s="90" t="s">
        <v>17</v>
      </c>
      <c r="H192" s="9"/>
    </row>
    <row r="193" spans="2:8" ht="15" hidden="1" customHeight="1" x14ac:dyDescent="0.35">
      <c r="B193" s="8"/>
      <c r="C193" s="87" t="s">
        <v>36</v>
      </c>
      <c r="D193" s="94"/>
      <c r="E193" s="94"/>
      <c r="F193" s="94"/>
      <c r="G193" s="95" t="s">
        <v>209</v>
      </c>
      <c r="H193" s="9"/>
    </row>
    <row r="194" spans="2:8" ht="15" hidden="1" customHeight="1" x14ac:dyDescent="0.35">
      <c r="B194" s="8"/>
      <c r="C194" s="87" t="s">
        <v>37</v>
      </c>
      <c r="D194" s="94"/>
      <c r="E194" s="94"/>
      <c r="F194" s="94"/>
      <c r="G194" s="95" t="s">
        <v>210</v>
      </c>
      <c r="H194" s="9"/>
    </row>
    <row r="195" spans="2:8" ht="15" hidden="1" customHeight="1" x14ac:dyDescent="0.35">
      <c r="B195" s="8"/>
      <c r="C195" s="87" t="s">
        <v>38</v>
      </c>
      <c r="D195" s="94"/>
      <c r="E195" s="94"/>
      <c r="F195" s="94"/>
      <c r="G195" s="95" t="s">
        <v>211</v>
      </c>
      <c r="H195" s="9"/>
    </row>
    <row r="196" spans="2:8" ht="15" hidden="1" customHeight="1" x14ac:dyDescent="0.25">
      <c r="B196" s="8"/>
      <c r="C196" s="86"/>
      <c r="D196" s="86"/>
      <c r="E196" s="86"/>
      <c r="F196" s="86"/>
      <c r="G196" s="86"/>
      <c r="H196" s="9"/>
    </row>
    <row r="197" spans="2:8" ht="15" hidden="1" customHeight="1" x14ac:dyDescent="0.25">
      <c r="B197" s="8"/>
      <c r="C197" s="86" t="s">
        <v>69</v>
      </c>
      <c r="D197" s="86"/>
      <c r="E197" s="86"/>
      <c r="F197" s="86"/>
      <c r="G197" s="86"/>
      <c r="H197" s="9"/>
    </row>
    <row r="198" spans="2:8" ht="15" hidden="1" customHeight="1" x14ac:dyDescent="0.25">
      <c r="B198" s="8"/>
      <c r="C198" s="91" t="s">
        <v>76</v>
      </c>
      <c r="D198" s="93" t="str">
        <f>IF(I.Product.P2Year1="","Baseline year 1",I.Product.P2Year1)</f>
        <v>Baseline year 1</v>
      </c>
      <c r="E198" s="93" t="str">
        <f>IF(I.Product.P2Year1="","Baseline year 2",I.Product.P2Year1+1)</f>
        <v>Baseline year 2</v>
      </c>
      <c r="F198" s="93" t="str">
        <f>IF(I.Product.P2Status="Yes","",IF(I.Product.P2Year1="","Baseline year 3",I.Product.P2Year1+2))</f>
        <v>Baseline year 3</v>
      </c>
      <c r="G198" s="90" t="s">
        <v>17</v>
      </c>
      <c r="H198" s="9"/>
    </row>
    <row r="199" spans="2:8" ht="15" hidden="1" customHeight="1" x14ac:dyDescent="0.35">
      <c r="B199" s="8"/>
      <c r="C199" s="87" t="s">
        <v>36</v>
      </c>
      <c r="D199" s="94"/>
      <c r="E199" s="94"/>
      <c r="F199" s="94"/>
      <c r="G199" s="95" t="s">
        <v>209</v>
      </c>
      <c r="H199" s="9"/>
    </row>
    <row r="200" spans="2:8" ht="15" hidden="1" customHeight="1" x14ac:dyDescent="0.35">
      <c r="B200" s="8"/>
      <c r="C200" s="87" t="s">
        <v>37</v>
      </c>
      <c r="D200" s="94"/>
      <c r="E200" s="94"/>
      <c r="F200" s="94"/>
      <c r="G200" s="95" t="s">
        <v>210</v>
      </c>
      <c r="H200" s="9"/>
    </row>
    <row r="201" spans="2:8" ht="15" hidden="1" customHeight="1" x14ac:dyDescent="0.35">
      <c r="B201" s="8"/>
      <c r="C201" s="87" t="s">
        <v>38</v>
      </c>
      <c r="D201" s="94"/>
      <c r="E201" s="94"/>
      <c r="F201" s="94"/>
      <c r="G201" s="95" t="s">
        <v>211</v>
      </c>
      <c r="H201" s="9"/>
    </row>
    <row r="202" spans="2:8" ht="15" hidden="1" customHeight="1" x14ac:dyDescent="0.25">
      <c r="B202" s="8"/>
      <c r="C202" s="86"/>
      <c r="D202" s="86"/>
      <c r="E202" s="86"/>
      <c r="F202" s="86"/>
      <c r="G202" s="86"/>
      <c r="H202" s="9"/>
    </row>
    <row r="203" spans="2:8" ht="15" hidden="1" customHeight="1" x14ac:dyDescent="0.25">
      <c r="B203" s="8"/>
      <c r="C203" s="86" t="s">
        <v>70</v>
      </c>
      <c r="D203" s="86"/>
      <c r="E203" s="86"/>
      <c r="F203" s="86"/>
      <c r="G203" s="86"/>
      <c r="H203" s="9"/>
    </row>
    <row r="204" spans="2:8" ht="15" hidden="1" customHeight="1" x14ac:dyDescent="0.25">
      <c r="B204" s="8"/>
      <c r="C204" s="91" t="s">
        <v>76</v>
      </c>
      <c r="D204" s="93" t="str">
        <f>IF(I.Product.P2Year1="","Baseline year 1",I.Product.P2Year1)</f>
        <v>Baseline year 1</v>
      </c>
      <c r="E204" s="93" t="str">
        <f>IF(I.Product.P2Year1="","Baseline year 2",I.Product.P2Year1+1)</f>
        <v>Baseline year 2</v>
      </c>
      <c r="F204" s="93" t="str">
        <f>IF(I.Product.P2Status="Yes","",IF(I.Product.P2Year1="","Baseline year 3",I.Product.P2Year1+2))</f>
        <v>Baseline year 3</v>
      </c>
      <c r="G204" s="90" t="s">
        <v>17</v>
      </c>
      <c r="H204" s="9"/>
    </row>
    <row r="205" spans="2:8" ht="15" hidden="1" customHeight="1" x14ac:dyDescent="0.35">
      <c r="B205" s="8"/>
      <c r="C205" s="87" t="s">
        <v>36</v>
      </c>
      <c r="D205" s="94"/>
      <c r="E205" s="94"/>
      <c r="F205" s="94"/>
      <c r="G205" s="95" t="s">
        <v>209</v>
      </c>
      <c r="H205" s="9"/>
    </row>
    <row r="206" spans="2:8" ht="15" hidden="1" customHeight="1" x14ac:dyDescent="0.35">
      <c r="B206" s="8"/>
      <c r="C206" s="87" t="s">
        <v>37</v>
      </c>
      <c r="D206" s="94"/>
      <c r="E206" s="94"/>
      <c r="F206" s="94"/>
      <c r="G206" s="95" t="s">
        <v>210</v>
      </c>
      <c r="H206" s="9"/>
    </row>
    <row r="207" spans="2:8" ht="15" hidden="1" customHeight="1" x14ac:dyDescent="0.35">
      <c r="B207" s="8"/>
      <c r="C207" s="87" t="s">
        <v>38</v>
      </c>
      <c r="D207" s="94"/>
      <c r="E207" s="94"/>
      <c r="F207" s="94"/>
      <c r="G207" s="95" t="s">
        <v>211</v>
      </c>
      <c r="H207" s="9"/>
    </row>
    <row r="208" spans="2:8" ht="15" hidden="1" customHeight="1" x14ac:dyDescent="0.25">
      <c r="B208" s="8"/>
      <c r="C208" s="86"/>
      <c r="D208" s="86"/>
      <c r="E208" s="86"/>
      <c r="F208" s="86"/>
      <c r="G208" s="86"/>
      <c r="H208" s="9"/>
    </row>
    <row r="209" spans="2:8" ht="20.100000000000001" hidden="1" customHeight="1" x14ac:dyDescent="0.25">
      <c r="B209" s="18"/>
      <c r="C209" s="104" t="s">
        <v>11</v>
      </c>
      <c r="D209" s="104"/>
      <c r="E209" s="104"/>
      <c r="F209" s="104"/>
      <c r="G209" s="104"/>
      <c r="H209" s="19"/>
    </row>
    <row r="210" spans="2:8" ht="15" hidden="1" customHeight="1" x14ac:dyDescent="0.25">
      <c r="B210" s="8"/>
      <c r="C210" s="86"/>
      <c r="D210" s="86"/>
      <c r="E210" s="86"/>
      <c r="F210" s="86"/>
      <c r="G210" s="86"/>
      <c r="H210" s="9"/>
    </row>
    <row r="211" spans="2:8" ht="15" hidden="1" customHeight="1" x14ac:dyDescent="0.25">
      <c r="B211" s="8"/>
      <c r="C211" s="86" t="s">
        <v>19</v>
      </c>
      <c r="D211" s="86"/>
      <c r="E211" s="86"/>
      <c r="F211" s="86"/>
      <c r="G211" s="86"/>
      <c r="H211" s="9"/>
    </row>
    <row r="212" spans="2:8" ht="15" hidden="1" customHeight="1" x14ac:dyDescent="0.25">
      <c r="B212" s="8"/>
      <c r="C212" s="118" t="str">
        <f>IF(I.Product.P3Name="","",I.Product.P3Name)</f>
        <v/>
      </c>
      <c r="D212" s="119"/>
      <c r="E212" s="86"/>
      <c r="F212" s="86"/>
      <c r="G212" s="86"/>
      <c r="H212" s="9"/>
    </row>
    <row r="213" spans="2:8" ht="15" hidden="1" customHeight="1" x14ac:dyDescent="0.25">
      <c r="B213" s="8"/>
      <c r="C213" s="86"/>
      <c r="D213" s="86"/>
      <c r="E213" s="86"/>
      <c r="F213" s="86"/>
      <c r="G213" s="86"/>
      <c r="H213" s="9"/>
    </row>
    <row r="214" spans="2:8" ht="15" hidden="1" customHeight="1" x14ac:dyDescent="0.25">
      <c r="B214" s="8"/>
      <c r="C214" s="86" t="s">
        <v>8</v>
      </c>
      <c r="D214" s="86"/>
      <c r="E214" s="86"/>
      <c r="F214" s="86"/>
      <c r="G214" s="86"/>
      <c r="H214" s="9"/>
    </row>
    <row r="215" spans="2:8" ht="15" hidden="1" customHeight="1" x14ac:dyDescent="0.25">
      <c r="B215" s="8"/>
      <c r="C215" s="91" t="s">
        <v>76</v>
      </c>
      <c r="D215" s="93" t="str">
        <f>IF(I.Product.P3Year1="","Baseline year 1",I.Product.P3Year1)</f>
        <v>Baseline year 1</v>
      </c>
      <c r="E215" s="93" t="str">
        <f>IF(I.Product.P3Year1="","Baseline year 2",I.Product.P3Year1+1)</f>
        <v>Baseline year 2</v>
      </c>
      <c r="F215" s="93" t="str">
        <f>IF(I.Product.P3Status="Yes","",IF(I.Product.P3Year1="","Baseline year 3",I.Product.P3Year1+2))</f>
        <v>Baseline year 3</v>
      </c>
      <c r="G215" s="90" t="s">
        <v>17</v>
      </c>
      <c r="H215" s="9"/>
    </row>
    <row r="216" spans="2:8" ht="15" hidden="1" customHeight="1" x14ac:dyDescent="0.25">
      <c r="B216" s="8"/>
      <c r="C216" s="87" t="s">
        <v>3023</v>
      </c>
      <c r="D216" s="94"/>
      <c r="E216" s="94"/>
      <c r="F216" s="94"/>
      <c r="G216" s="69"/>
      <c r="H216" s="9"/>
    </row>
    <row r="217" spans="2:8" ht="15" hidden="1" customHeight="1" x14ac:dyDescent="0.25">
      <c r="B217" s="8"/>
      <c r="C217" s="86"/>
      <c r="D217" s="86"/>
      <c r="E217" s="86"/>
      <c r="F217" s="86"/>
      <c r="G217" s="86"/>
      <c r="H217" s="9"/>
    </row>
    <row r="218" spans="2:8" ht="15" hidden="1" customHeight="1" x14ac:dyDescent="0.25">
      <c r="B218" s="8"/>
      <c r="C218" s="86" t="s">
        <v>63</v>
      </c>
      <c r="D218" s="86"/>
      <c r="E218" s="86"/>
      <c r="F218" s="86"/>
      <c r="G218" s="86"/>
      <c r="H218" s="9"/>
    </row>
    <row r="219" spans="2:8" ht="15" hidden="1" customHeight="1" x14ac:dyDescent="0.25">
      <c r="B219" s="8"/>
      <c r="C219" s="91" t="s">
        <v>76</v>
      </c>
      <c r="D219" s="93" t="str">
        <f>IF(I.Product.P3Year1="","Baseline year 1",I.Product.P3Year1)</f>
        <v>Baseline year 1</v>
      </c>
      <c r="E219" s="93" t="str">
        <f>IF(I.Product.P3Year1="","Baseline year 2",I.Product.P3Year1+1)</f>
        <v>Baseline year 2</v>
      </c>
      <c r="F219" s="93" t="str">
        <f>IF(I.Product.P3Status="Yes","",IF(I.Product.P3Year1="","Baseline year 3",I.Product.P3Year1+2))</f>
        <v>Baseline year 3</v>
      </c>
      <c r="G219" s="90" t="s">
        <v>17</v>
      </c>
      <c r="H219" s="9"/>
    </row>
    <row r="220" spans="2:8" ht="15" hidden="1" customHeight="1" x14ac:dyDescent="0.35">
      <c r="B220" s="8"/>
      <c r="C220" s="87" t="s">
        <v>36</v>
      </c>
      <c r="D220" s="94"/>
      <c r="E220" s="94"/>
      <c r="F220" s="94"/>
      <c r="G220" s="95" t="s">
        <v>209</v>
      </c>
      <c r="H220" s="9"/>
    </row>
    <row r="221" spans="2:8" ht="15" hidden="1" customHeight="1" x14ac:dyDescent="0.35">
      <c r="B221" s="8"/>
      <c r="C221" s="87" t="s">
        <v>37</v>
      </c>
      <c r="D221" s="94"/>
      <c r="E221" s="94"/>
      <c r="F221" s="94"/>
      <c r="G221" s="95" t="s">
        <v>210</v>
      </c>
      <c r="H221" s="9"/>
    </row>
    <row r="222" spans="2:8" ht="15" hidden="1" customHeight="1" x14ac:dyDescent="0.35">
      <c r="B222" s="8"/>
      <c r="C222" s="87" t="s">
        <v>38</v>
      </c>
      <c r="D222" s="94"/>
      <c r="E222" s="94"/>
      <c r="F222" s="94"/>
      <c r="G222" s="95" t="s">
        <v>211</v>
      </c>
      <c r="H222" s="9"/>
    </row>
    <row r="223" spans="2:8" ht="15" hidden="1" customHeight="1" x14ac:dyDescent="0.25">
      <c r="B223" s="8"/>
      <c r="C223" s="86"/>
      <c r="D223" s="86"/>
      <c r="E223" s="86"/>
      <c r="F223" s="86"/>
      <c r="G223" s="86"/>
      <c r="H223" s="9"/>
    </row>
    <row r="224" spans="2:8" ht="15" hidden="1" customHeight="1" x14ac:dyDescent="0.25">
      <c r="B224" s="8"/>
      <c r="C224" s="86" t="s">
        <v>24</v>
      </c>
      <c r="D224" s="86"/>
      <c r="E224" s="86"/>
      <c r="F224" s="86"/>
      <c r="G224" s="86"/>
      <c r="H224" s="9"/>
    </row>
    <row r="225" spans="2:8" ht="15" hidden="1" customHeight="1" x14ac:dyDescent="0.25">
      <c r="B225" s="8"/>
      <c r="C225" s="91" t="s">
        <v>76</v>
      </c>
      <c r="D225" s="93" t="str">
        <f>IF(I.Product.P3Year1="","Baseline year 1",I.Product.P3Year1)</f>
        <v>Baseline year 1</v>
      </c>
      <c r="E225" s="93" t="str">
        <f>IF(I.Product.P3Year1="","Baseline year 2",I.Product.P3Year1+1)</f>
        <v>Baseline year 2</v>
      </c>
      <c r="F225" s="93" t="str">
        <f>IF(I.Product.P3Status="Yes","",IF(I.Product.P3Year1="","Baseline year 3",I.Product.P3Year1+2))</f>
        <v>Baseline year 3</v>
      </c>
      <c r="G225" s="90" t="s">
        <v>17</v>
      </c>
      <c r="H225" s="9"/>
    </row>
    <row r="226" spans="2:8" ht="15" hidden="1" customHeight="1" x14ac:dyDescent="0.35">
      <c r="B226" s="8"/>
      <c r="C226" s="87" t="s">
        <v>36</v>
      </c>
      <c r="D226" s="94"/>
      <c r="E226" s="94"/>
      <c r="F226" s="94"/>
      <c r="G226" s="95" t="s">
        <v>209</v>
      </c>
      <c r="H226" s="9"/>
    </row>
    <row r="227" spans="2:8" ht="15" hidden="1" customHeight="1" x14ac:dyDescent="0.35">
      <c r="B227" s="8"/>
      <c r="C227" s="87" t="s">
        <v>37</v>
      </c>
      <c r="D227" s="94"/>
      <c r="E227" s="94"/>
      <c r="F227" s="94"/>
      <c r="G227" s="95" t="s">
        <v>210</v>
      </c>
      <c r="H227" s="9"/>
    </row>
    <row r="228" spans="2:8" ht="15" hidden="1" customHeight="1" x14ac:dyDescent="0.35">
      <c r="B228" s="8"/>
      <c r="C228" s="87" t="s">
        <v>38</v>
      </c>
      <c r="D228" s="94"/>
      <c r="E228" s="94"/>
      <c r="F228" s="94"/>
      <c r="G228" s="95" t="s">
        <v>211</v>
      </c>
      <c r="H228" s="9"/>
    </row>
    <row r="229" spans="2:8" ht="15" hidden="1" customHeight="1" x14ac:dyDescent="0.35">
      <c r="B229" s="8"/>
      <c r="C229" s="87" t="s">
        <v>39</v>
      </c>
      <c r="D229" s="94"/>
      <c r="E229" s="94"/>
      <c r="F229" s="94"/>
      <c r="G229" s="95" t="s">
        <v>212</v>
      </c>
      <c r="H229" s="9"/>
    </row>
    <row r="230" spans="2:8" ht="15" hidden="1" customHeight="1" x14ac:dyDescent="0.35">
      <c r="B230" s="8"/>
      <c r="C230" s="87" t="s">
        <v>40</v>
      </c>
      <c r="D230" s="94"/>
      <c r="E230" s="94"/>
      <c r="F230" s="94"/>
      <c r="G230" s="95" t="s">
        <v>213</v>
      </c>
      <c r="H230" s="9"/>
    </row>
    <row r="231" spans="2:8" ht="15" hidden="1" customHeight="1" x14ac:dyDescent="0.35">
      <c r="B231" s="8"/>
      <c r="C231" s="87" t="s">
        <v>41</v>
      </c>
      <c r="D231" s="94"/>
      <c r="E231" s="94"/>
      <c r="F231" s="94"/>
      <c r="G231" s="95" t="s">
        <v>214</v>
      </c>
      <c r="H231" s="9"/>
    </row>
    <row r="232" spans="2:8" ht="15" hidden="1" customHeight="1" x14ac:dyDescent="0.35">
      <c r="B232" s="8"/>
      <c r="C232" s="87" t="s">
        <v>42</v>
      </c>
      <c r="D232" s="94"/>
      <c r="E232" s="94"/>
      <c r="F232" s="94"/>
      <c r="G232" s="95" t="s">
        <v>215</v>
      </c>
      <c r="H232" s="9"/>
    </row>
    <row r="233" spans="2:8" ht="15" hidden="1" customHeight="1" x14ac:dyDescent="0.35">
      <c r="B233" s="8"/>
      <c r="C233" s="87" t="s">
        <v>43</v>
      </c>
      <c r="D233" s="94"/>
      <c r="E233" s="94"/>
      <c r="F233" s="94"/>
      <c r="G233" s="95" t="s">
        <v>216</v>
      </c>
      <c r="H233" s="9"/>
    </row>
    <row r="234" spans="2:8" ht="15" hidden="1" customHeight="1" x14ac:dyDescent="0.35">
      <c r="B234" s="8"/>
      <c r="C234" s="87" t="s">
        <v>44</v>
      </c>
      <c r="D234" s="94"/>
      <c r="E234" s="94"/>
      <c r="F234" s="94"/>
      <c r="G234" s="95" t="s">
        <v>217</v>
      </c>
      <c r="H234" s="9"/>
    </row>
    <row r="235" spans="2:8" ht="15" hidden="1" customHeight="1" x14ac:dyDescent="0.35">
      <c r="B235" s="8"/>
      <c r="C235" s="87" t="s">
        <v>45</v>
      </c>
      <c r="D235" s="94"/>
      <c r="E235" s="94"/>
      <c r="F235" s="94"/>
      <c r="G235" s="95" t="s">
        <v>218</v>
      </c>
      <c r="H235" s="9"/>
    </row>
    <row r="236" spans="2:8" ht="15" hidden="1" customHeight="1" x14ac:dyDescent="0.35">
      <c r="B236" s="8"/>
      <c r="C236" s="87" t="s">
        <v>46</v>
      </c>
      <c r="D236" s="94"/>
      <c r="E236" s="94"/>
      <c r="F236" s="94"/>
      <c r="G236" s="95" t="s">
        <v>219</v>
      </c>
      <c r="H236" s="9"/>
    </row>
    <row r="237" spans="2:8" ht="15" hidden="1" customHeight="1" x14ac:dyDescent="0.35">
      <c r="B237" s="8"/>
      <c r="C237" s="87" t="s">
        <v>47</v>
      </c>
      <c r="D237" s="94"/>
      <c r="E237" s="94"/>
      <c r="F237" s="94"/>
      <c r="G237" s="95" t="s">
        <v>220</v>
      </c>
      <c r="H237" s="9"/>
    </row>
    <row r="238" spans="2:8" ht="15" hidden="1" customHeight="1" x14ac:dyDescent="0.35">
      <c r="B238" s="8"/>
      <c r="C238" s="87" t="s">
        <v>48</v>
      </c>
      <c r="D238" s="94"/>
      <c r="E238" s="94"/>
      <c r="F238" s="94"/>
      <c r="G238" s="95" t="s">
        <v>221</v>
      </c>
      <c r="H238" s="9"/>
    </row>
    <row r="239" spans="2:8" ht="15" hidden="1" customHeight="1" x14ac:dyDescent="0.35">
      <c r="B239" s="8"/>
      <c r="C239" s="87" t="s">
        <v>49</v>
      </c>
      <c r="D239" s="94"/>
      <c r="E239" s="94"/>
      <c r="F239" s="94"/>
      <c r="G239" s="95" t="s">
        <v>222</v>
      </c>
      <c r="H239" s="9"/>
    </row>
    <row r="240" spans="2:8" ht="15" hidden="1" customHeight="1" x14ac:dyDescent="0.35">
      <c r="B240" s="8"/>
      <c r="C240" s="87" t="s">
        <v>50</v>
      </c>
      <c r="D240" s="94"/>
      <c r="E240" s="94"/>
      <c r="F240" s="94"/>
      <c r="G240" s="95" t="s">
        <v>223</v>
      </c>
      <c r="H240" s="9"/>
    </row>
    <row r="241" spans="2:8" ht="15" hidden="1" customHeight="1" x14ac:dyDescent="0.35">
      <c r="B241" s="8"/>
      <c r="C241" s="87" t="s">
        <v>51</v>
      </c>
      <c r="D241" s="94"/>
      <c r="E241" s="94"/>
      <c r="F241" s="94"/>
      <c r="G241" s="95" t="s">
        <v>224</v>
      </c>
      <c r="H241" s="9"/>
    </row>
    <row r="242" spans="2:8" ht="15" hidden="1" customHeight="1" x14ac:dyDescent="0.35">
      <c r="B242" s="8"/>
      <c r="C242" s="87" t="s">
        <v>52</v>
      </c>
      <c r="D242" s="94"/>
      <c r="E242" s="94"/>
      <c r="F242" s="94"/>
      <c r="G242" s="95" t="s">
        <v>225</v>
      </c>
      <c r="H242" s="9"/>
    </row>
    <row r="243" spans="2:8" ht="15" hidden="1" customHeight="1" x14ac:dyDescent="0.35">
      <c r="B243" s="8"/>
      <c r="C243" s="87" t="s">
        <v>53</v>
      </c>
      <c r="D243" s="94"/>
      <c r="E243" s="94"/>
      <c r="F243" s="94"/>
      <c r="G243" s="95" t="s">
        <v>226</v>
      </c>
      <c r="H243" s="9"/>
    </row>
    <row r="244" spans="2:8" ht="15" hidden="1" customHeight="1" x14ac:dyDescent="0.35">
      <c r="B244" s="8"/>
      <c r="C244" s="87" t="s">
        <v>54</v>
      </c>
      <c r="D244" s="94"/>
      <c r="E244" s="94"/>
      <c r="F244" s="94"/>
      <c r="G244" s="95" t="s">
        <v>227</v>
      </c>
      <c r="H244" s="9"/>
    </row>
    <row r="245" spans="2:8" ht="15" hidden="1" customHeight="1" x14ac:dyDescent="0.35">
      <c r="B245" s="8"/>
      <c r="C245" s="87" t="s">
        <v>55</v>
      </c>
      <c r="D245" s="94"/>
      <c r="E245" s="94"/>
      <c r="F245" s="94"/>
      <c r="G245" s="95" t="s">
        <v>228</v>
      </c>
      <c r="H245" s="9"/>
    </row>
    <row r="246" spans="2:8" ht="15" hidden="1" customHeight="1" x14ac:dyDescent="0.35">
      <c r="B246" s="8"/>
      <c r="C246" s="87" t="s">
        <v>56</v>
      </c>
      <c r="D246" s="94"/>
      <c r="E246" s="94"/>
      <c r="F246" s="94"/>
      <c r="G246" s="95" t="s">
        <v>229</v>
      </c>
      <c r="H246" s="9"/>
    </row>
    <row r="247" spans="2:8" ht="15" hidden="1" customHeight="1" x14ac:dyDescent="0.35">
      <c r="B247" s="8"/>
      <c r="C247" s="87" t="s">
        <v>57</v>
      </c>
      <c r="D247" s="94"/>
      <c r="E247" s="94"/>
      <c r="F247" s="94"/>
      <c r="G247" s="95" t="s">
        <v>230</v>
      </c>
      <c r="H247" s="9"/>
    </row>
    <row r="248" spans="2:8" ht="15" hidden="1" customHeight="1" x14ac:dyDescent="0.35">
      <c r="B248" s="8"/>
      <c r="C248" s="87" t="s">
        <v>58</v>
      </c>
      <c r="D248" s="94"/>
      <c r="E248" s="94"/>
      <c r="F248" s="94"/>
      <c r="G248" s="95" t="s">
        <v>231</v>
      </c>
      <c r="H248" s="9"/>
    </row>
    <row r="249" spans="2:8" ht="15" hidden="1" customHeight="1" x14ac:dyDescent="0.35">
      <c r="B249" s="8"/>
      <c r="C249" s="87" t="s">
        <v>59</v>
      </c>
      <c r="D249" s="94"/>
      <c r="E249" s="94"/>
      <c r="F249" s="94"/>
      <c r="G249" s="95" t="s">
        <v>232</v>
      </c>
      <c r="H249" s="9"/>
    </row>
    <row r="250" spans="2:8" ht="15" hidden="1" customHeight="1" x14ac:dyDescent="0.25">
      <c r="B250" s="8"/>
      <c r="C250" s="86"/>
      <c r="D250" s="86"/>
      <c r="E250" s="86"/>
      <c r="F250" s="86"/>
      <c r="G250" s="86"/>
      <c r="H250" s="9"/>
    </row>
    <row r="251" spans="2:8" ht="15" hidden="1" customHeight="1" x14ac:dyDescent="0.25">
      <c r="B251" s="8"/>
      <c r="C251" s="86" t="s">
        <v>64</v>
      </c>
      <c r="D251" s="86"/>
      <c r="E251" s="86"/>
      <c r="F251" s="86"/>
      <c r="G251" s="86"/>
      <c r="H251" s="9"/>
    </row>
    <row r="252" spans="2:8" ht="15" hidden="1" customHeight="1" x14ac:dyDescent="0.25">
      <c r="B252" s="8"/>
      <c r="C252" s="91" t="s">
        <v>76</v>
      </c>
      <c r="D252" s="93" t="str">
        <f>IF(I.Product.P3Year1="","Baseline year 1",I.Product.P3Year1)</f>
        <v>Baseline year 1</v>
      </c>
      <c r="E252" s="93" t="str">
        <f>IF(I.Product.P3Year1="","Baseline year 2",I.Product.P3Year1+1)</f>
        <v>Baseline year 2</v>
      </c>
      <c r="F252" s="93" t="str">
        <f>IF(I.Product.P3Status="Yes","",IF(I.Product.P3Year1="","Baseline year 3",I.Product.P3Year1+2))</f>
        <v>Baseline year 3</v>
      </c>
      <c r="G252" s="90" t="s">
        <v>17</v>
      </c>
      <c r="H252" s="9"/>
    </row>
    <row r="253" spans="2:8" ht="15" hidden="1" customHeight="1" x14ac:dyDescent="0.35">
      <c r="B253" s="8"/>
      <c r="C253" s="87" t="s">
        <v>39</v>
      </c>
      <c r="D253" s="94"/>
      <c r="E253" s="94"/>
      <c r="F253" s="94"/>
      <c r="G253" s="95" t="s">
        <v>212</v>
      </c>
      <c r="H253" s="9"/>
    </row>
    <row r="254" spans="2:8" ht="15" hidden="1" customHeight="1" x14ac:dyDescent="0.35">
      <c r="B254" s="8"/>
      <c r="C254" s="87" t="s">
        <v>40</v>
      </c>
      <c r="D254" s="94"/>
      <c r="E254" s="94"/>
      <c r="F254" s="94"/>
      <c r="G254" s="95" t="s">
        <v>213</v>
      </c>
      <c r="H254" s="9"/>
    </row>
    <row r="255" spans="2:8" ht="15" hidden="1" customHeight="1" x14ac:dyDescent="0.35">
      <c r="B255" s="8"/>
      <c r="C255" s="87" t="s">
        <v>41</v>
      </c>
      <c r="D255" s="94"/>
      <c r="E255" s="94"/>
      <c r="F255" s="94"/>
      <c r="G255" s="95" t="s">
        <v>214</v>
      </c>
      <c r="H255" s="9"/>
    </row>
    <row r="256" spans="2:8" ht="15" hidden="1" customHeight="1" x14ac:dyDescent="0.35">
      <c r="B256" s="8"/>
      <c r="C256" s="87" t="s">
        <v>42</v>
      </c>
      <c r="D256" s="94"/>
      <c r="E256" s="94"/>
      <c r="F256" s="94"/>
      <c r="G256" s="95" t="s">
        <v>215</v>
      </c>
      <c r="H256" s="9"/>
    </row>
    <row r="257" spans="2:8" ht="15" hidden="1" customHeight="1" x14ac:dyDescent="0.35">
      <c r="B257" s="8"/>
      <c r="C257" s="87" t="s">
        <v>43</v>
      </c>
      <c r="D257" s="94"/>
      <c r="E257" s="94"/>
      <c r="F257" s="94"/>
      <c r="G257" s="95" t="s">
        <v>216</v>
      </c>
      <c r="H257" s="9"/>
    </row>
    <row r="258" spans="2:8" ht="15" hidden="1" customHeight="1" x14ac:dyDescent="0.35">
      <c r="B258" s="8"/>
      <c r="C258" s="87" t="s">
        <v>44</v>
      </c>
      <c r="D258" s="94"/>
      <c r="E258" s="94"/>
      <c r="F258" s="94"/>
      <c r="G258" s="95" t="s">
        <v>217</v>
      </c>
      <c r="H258" s="9"/>
    </row>
    <row r="259" spans="2:8" ht="15" hidden="1" customHeight="1" x14ac:dyDescent="0.35">
      <c r="B259" s="8"/>
      <c r="C259" s="87" t="s">
        <v>45</v>
      </c>
      <c r="D259" s="94"/>
      <c r="E259" s="94"/>
      <c r="F259" s="94"/>
      <c r="G259" s="95" t="s">
        <v>218</v>
      </c>
      <c r="H259" s="9"/>
    </row>
    <row r="260" spans="2:8" ht="15" hidden="1" customHeight="1" x14ac:dyDescent="0.35">
      <c r="B260" s="8"/>
      <c r="C260" s="87" t="s">
        <v>46</v>
      </c>
      <c r="D260" s="94"/>
      <c r="E260" s="94"/>
      <c r="F260" s="94"/>
      <c r="G260" s="95" t="s">
        <v>219</v>
      </c>
      <c r="H260" s="9"/>
    </row>
    <row r="261" spans="2:8" ht="15" hidden="1" customHeight="1" x14ac:dyDescent="0.35">
      <c r="B261" s="8"/>
      <c r="C261" s="87" t="s">
        <v>47</v>
      </c>
      <c r="D261" s="94"/>
      <c r="E261" s="94"/>
      <c r="F261" s="94"/>
      <c r="G261" s="95" t="s">
        <v>220</v>
      </c>
      <c r="H261" s="9"/>
    </row>
    <row r="262" spans="2:8" ht="15" hidden="1" customHeight="1" x14ac:dyDescent="0.35">
      <c r="B262" s="8"/>
      <c r="C262" s="87" t="s">
        <v>48</v>
      </c>
      <c r="D262" s="94"/>
      <c r="E262" s="94"/>
      <c r="F262" s="94"/>
      <c r="G262" s="95" t="s">
        <v>221</v>
      </c>
      <c r="H262" s="9"/>
    </row>
    <row r="263" spans="2:8" ht="15" hidden="1" customHeight="1" x14ac:dyDescent="0.35">
      <c r="B263" s="8"/>
      <c r="C263" s="87" t="s">
        <v>49</v>
      </c>
      <c r="D263" s="94"/>
      <c r="E263" s="94"/>
      <c r="F263" s="94"/>
      <c r="G263" s="95" t="s">
        <v>222</v>
      </c>
      <c r="H263" s="9"/>
    </row>
    <row r="264" spans="2:8" ht="15" hidden="1" customHeight="1" x14ac:dyDescent="0.35">
      <c r="B264" s="8"/>
      <c r="C264" s="87" t="s">
        <v>50</v>
      </c>
      <c r="D264" s="94"/>
      <c r="E264" s="94"/>
      <c r="F264" s="94"/>
      <c r="G264" s="95" t="s">
        <v>223</v>
      </c>
      <c r="H264" s="9"/>
    </row>
    <row r="265" spans="2:8" ht="15" hidden="1" customHeight="1" x14ac:dyDescent="0.35">
      <c r="B265" s="8"/>
      <c r="C265" s="87" t="s">
        <v>51</v>
      </c>
      <c r="D265" s="94"/>
      <c r="E265" s="94"/>
      <c r="F265" s="94"/>
      <c r="G265" s="95" t="s">
        <v>224</v>
      </c>
      <c r="H265" s="9"/>
    </row>
    <row r="266" spans="2:8" ht="15" hidden="1" customHeight="1" x14ac:dyDescent="0.35">
      <c r="B266" s="8"/>
      <c r="C266" s="87" t="s">
        <v>52</v>
      </c>
      <c r="D266" s="94"/>
      <c r="E266" s="94"/>
      <c r="F266" s="94"/>
      <c r="G266" s="95" t="s">
        <v>225</v>
      </c>
      <c r="H266" s="9"/>
    </row>
    <row r="267" spans="2:8" ht="15" hidden="1" customHeight="1" x14ac:dyDescent="0.35">
      <c r="B267" s="8"/>
      <c r="C267" s="87" t="s">
        <v>53</v>
      </c>
      <c r="D267" s="94"/>
      <c r="E267" s="94"/>
      <c r="F267" s="94"/>
      <c r="G267" s="95" t="s">
        <v>226</v>
      </c>
      <c r="H267" s="9"/>
    </row>
    <row r="268" spans="2:8" ht="15" hidden="1" customHeight="1" x14ac:dyDescent="0.35">
      <c r="B268" s="8"/>
      <c r="C268" s="87" t="s">
        <v>54</v>
      </c>
      <c r="D268" s="94"/>
      <c r="E268" s="94"/>
      <c r="F268" s="94"/>
      <c r="G268" s="95" t="s">
        <v>227</v>
      </c>
      <c r="H268" s="9"/>
    </row>
    <row r="269" spans="2:8" ht="15" hidden="1" customHeight="1" x14ac:dyDescent="0.35">
      <c r="B269" s="8"/>
      <c r="C269" s="87" t="s">
        <v>55</v>
      </c>
      <c r="D269" s="94"/>
      <c r="E269" s="94"/>
      <c r="F269" s="94"/>
      <c r="G269" s="95" t="s">
        <v>228</v>
      </c>
      <c r="H269" s="9"/>
    </row>
    <row r="270" spans="2:8" ht="15" hidden="1" customHeight="1" x14ac:dyDescent="0.35">
      <c r="B270" s="8"/>
      <c r="C270" s="87" t="s">
        <v>56</v>
      </c>
      <c r="D270" s="94"/>
      <c r="E270" s="94"/>
      <c r="F270" s="94"/>
      <c r="G270" s="95" t="s">
        <v>229</v>
      </c>
      <c r="H270" s="9"/>
    </row>
    <row r="271" spans="2:8" ht="15" hidden="1" customHeight="1" x14ac:dyDescent="0.35">
      <c r="B271" s="8"/>
      <c r="C271" s="87" t="s">
        <v>57</v>
      </c>
      <c r="D271" s="94"/>
      <c r="E271" s="94"/>
      <c r="F271" s="94"/>
      <c r="G271" s="95" t="s">
        <v>230</v>
      </c>
      <c r="H271" s="9"/>
    </row>
    <row r="272" spans="2:8" ht="15" hidden="1" customHeight="1" x14ac:dyDescent="0.35">
      <c r="B272" s="8"/>
      <c r="C272" s="87" t="s">
        <v>58</v>
      </c>
      <c r="D272" s="94"/>
      <c r="E272" s="94"/>
      <c r="F272" s="94"/>
      <c r="G272" s="95" t="s">
        <v>231</v>
      </c>
      <c r="H272" s="9"/>
    </row>
    <row r="273" spans="2:8" ht="15" hidden="1" customHeight="1" x14ac:dyDescent="0.35">
      <c r="B273" s="8"/>
      <c r="C273" s="87" t="s">
        <v>59</v>
      </c>
      <c r="D273" s="94"/>
      <c r="E273" s="94"/>
      <c r="F273" s="94"/>
      <c r="G273" s="95" t="s">
        <v>232</v>
      </c>
      <c r="H273" s="9"/>
    </row>
    <row r="274" spans="2:8" ht="15" hidden="1" customHeight="1" x14ac:dyDescent="0.25">
      <c r="B274" s="8"/>
      <c r="C274" s="86"/>
      <c r="D274" s="86"/>
      <c r="E274" s="86"/>
      <c r="F274" s="86"/>
      <c r="G274" s="86"/>
      <c r="H274" s="9"/>
    </row>
    <row r="275" spans="2:8" ht="15" hidden="1" customHeight="1" x14ac:dyDescent="0.25">
      <c r="B275" s="8"/>
      <c r="C275" s="86" t="s">
        <v>65</v>
      </c>
      <c r="D275" s="86"/>
      <c r="E275" s="86"/>
      <c r="F275" s="86"/>
      <c r="G275" s="86"/>
      <c r="H275" s="9"/>
    </row>
    <row r="276" spans="2:8" ht="15" hidden="1" customHeight="1" x14ac:dyDescent="0.25">
      <c r="B276" s="8"/>
      <c r="C276" s="91" t="s">
        <v>76</v>
      </c>
      <c r="D276" s="93" t="str">
        <f>IF(I.Product.P3Year1="","Baseline year 1",I.Product.P3Year1)</f>
        <v>Baseline year 1</v>
      </c>
      <c r="E276" s="93" t="str">
        <f>IF(I.Product.P3Year1="","Baseline year 2",I.Product.P3Year1+1)</f>
        <v>Baseline year 2</v>
      </c>
      <c r="F276" s="93" t="str">
        <f>IF(I.Product.P3Status="Yes","",IF(I.Product.P3Year1="","Baseline year 3",I.Product.P3Year1+2))</f>
        <v>Baseline year 3</v>
      </c>
      <c r="G276" s="90" t="s">
        <v>17</v>
      </c>
      <c r="H276" s="9"/>
    </row>
    <row r="277" spans="2:8" ht="15" hidden="1" customHeight="1" x14ac:dyDescent="0.35">
      <c r="B277" s="8"/>
      <c r="C277" s="87" t="s">
        <v>36</v>
      </c>
      <c r="D277" s="94"/>
      <c r="E277" s="94"/>
      <c r="F277" s="94"/>
      <c r="G277" s="95" t="s">
        <v>209</v>
      </c>
      <c r="H277" s="9"/>
    </row>
    <row r="278" spans="2:8" ht="15" hidden="1" customHeight="1" x14ac:dyDescent="0.35">
      <c r="B278" s="8"/>
      <c r="C278" s="87" t="s">
        <v>37</v>
      </c>
      <c r="D278" s="94"/>
      <c r="E278" s="94"/>
      <c r="F278" s="94"/>
      <c r="G278" s="95" t="s">
        <v>210</v>
      </c>
      <c r="H278" s="9"/>
    </row>
    <row r="279" spans="2:8" ht="15" hidden="1" customHeight="1" x14ac:dyDescent="0.35">
      <c r="B279" s="8"/>
      <c r="C279" s="87" t="s">
        <v>38</v>
      </c>
      <c r="D279" s="94"/>
      <c r="E279" s="94"/>
      <c r="F279" s="94"/>
      <c r="G279" s="95" t="s">
        <v>211</v>
      </c>
      <c r="H279" s="9"/>
    </row>
    <row r="280" spans="2:8" ht="15" hidden="1" customHeight="1" x14ac:dyDescent="0.25">
      <c r="B280" s="8"/>
      <c r="C280" s="86"/>
      <c r="D280" s="86"/>
      <c r="E280" s="86"/>
      <c r="F280" s="86"/>
      <c r="G280" s="86"/>
      <c r="H280" s="9"/>
    </row>
    <row r="281" spans="2:8" ht="15" hidden="1" customHeight="1" x14ac:dyDescent="0.25">
      <c r="B281" s="8"/>
      <c r="C281" s="86" t="s">
        <v>66</v>
      </c>
      <c r="D281" s="86"/>
      <c r="E281" s="86"/>
      <c r="F281" s="86"/>
      <c r="G281" s="86"/>
      <c r="H281" s="9"/>
    </row>
    <row r="282" spans="2:8" ht="15" hidden="1" customHeight="1" x14ac:dyDescent="0.25">
      <c r="B282" s="8"/>
      <c r="C282" s="91" t="s">
        <v>76</v>
      </c>
      <c r="D282" s="93" t="str">
        <f>IF(I.Product.P3Year1="","Baseline year 1",I.Product.P3Year1)</f>
        <v>Baseline year 1</v>
      </c>
      <c r="E282" s="93" t="str">
        <f>IF(I.Product.P3Year1="","Baseline year 2",I.Product.P3Year1+1)</f>
        <v>Baseline year 2</v>
      </c>
      <c r="F282" s="93" t="str">
        <f>IF(I.Product.P3Status="Yes","",IF(I.Product.P3Year1="","Baseline year 3",I.Product.P3Year1+2))</f>
        <v>Baseline year 3</v>
      </c>
      <c r="G282" s="90" t="s">
        <v>17</v>
      </c>
      <c r="H282" s="9"/>
    </row>
    <row r="283" spans="2:8" ht="15" hidden="1" customHeight="1" x14ac:dyDescent="0.35">
      <c r="B283" s="8"/>
      <c r="C283" s="87" t="s">
        <v>36</v>
      </c>
      <c r="D283" s="94"/>
      <c r="E283" s="94"/>
      <c r="F283" s="94"/>
      <c r="G283" s="95" t="s">
        <v>209</v>
      </c>
      <c r="H283" s="9"/>
    </row>
    <row r="284" spans="2:8" ht="15" hidden="1" customHeight="1" x14ac:dyDescent="0.35">
      <c r="B284" s="8"/>
      <c r="C284" s="87" t="s">
        <v>37</v>
      </c>
      <c r="D284" s="94"/>
      <c r="E284" s="94"/>
      <c r="F284" s="94"/>
      <c r="G284" s="95" t="s">
        <v>210</v>
      </c>
      <c r="H284" s="9"/>
    </row>
    <row r="285" spans="2:8" ht="15" hidden="1" customHeight="1" x14ac:dyDescent="0.35">
      <c r="B285" s="8"/>
      <c r="C285" s="87" t="s">
        <v>38</v>
      </c>
      <c r="D285" s="94"/>
      <c r="E285" s="94"/>
      <c r="F285" s="94"/>
      <c r="G285" s="95" t="s">
        <v>211</v>
      </c>
      <c r="H285" s="9"/>
    </row>
    <row r="286" spans="2:8" ht="15" hidden="1" customHeight="1" x14ac:dyDescent="0.25">
      <c r="B286" s="8"/>
      <c r="C286" s="86"/>
      <c r="D286" s="86"/>
      <c r="E286" s="86"/>
      <c r="F286" s="86"/>
      <c r="G286" s="86"/>
      <c r="H286" s="9"/>
    </row>
    <row r="287" spans="2:8" ht="15" hidden="1" customHeight="1" x14ac:dyDescent="0.25">
      <c r="B287" s="8"/>
      <c r="C287" s="86" t="s">
        <v>67</v>
      </c>
      <c r="D287" s="86"/>
      <c r="E287" s="86"/>
      <c r="F287" s="86"/>
      <c r="G287" s="86"/>
      <c r="H287" s="9"/>
    </row>
    <row r="288" spans="2:8" ht="15" hidden="1" customHeight="1" x14ac:dyDescent="0.25">
      <c r="B288" s="8"/>
      <c r="C288" s="91" t="s">
        <v>76</v>
      </c>
      <c r="D288" s="93" t="str">
        <f>IF(I.Product.P3Year1="","Baseline year 1",I.Product.P3Year1)</f>
        <v>Baseline year 1</v>
      </c>
      <c r="E288" s="93" t="str">
        <f>IF(I.Product.P3Year1="","Baseline year 2",I.Product.P3Year1+1)</f>
        <v>Baseline year 2</v>
      </c>
      <c r="F288" s="93" t="str">
        <f>IF(I.Product.P3Status="Yes","",IF(I.Product.P3Year1="","Baseline year 3",I.Product.P3Year1+2))</f>
        <v>Baseline year 3</v>
      </c>
      <c r="G288" s="90" t="s">
        <v>17</v>
      </c>
      <c r="H288" s="9"/>
    </row>
    <row r="289" spans="2:8" ht="15" hidden="1" customHeight="1" x14ac:dyDescent="0.35">
      <c r="B289" s="8"/>
      <c r="C289" s="87" t="s">
        <v>36</v>
      </c>
      <c r="D289" s="94"/>
      <c r="E289" s="94"/>
      <c r="F289" s="94"/>
      <c r="G289" s="95" t="s">
        <v>209</v>
      </c>
      <c r="H289" s="9"/>
    </row>
    <row r="290" spans="2:8" ht="15" hidden="1" customHeight="1" x14ac:dyDescent="0.35">
      <c r="B290" s="8"/>
      <c r="C290" s="87" t="s">
        <v>37</v>
      </c>
      <c r="D290" s="94"/>
      <c r="E290" s="94"/>
      <c r="F290" s="94"/>
      <c r="G290" s="95" t="s">
        <v>210</v>
      </c>
      <c r="H290" s="9"/>
    </row>
    <row r="291" spans="2:8" ht="15" hidden="1" customHeight="1" x14ac:dyDescent="0.35">
      <c r="B291" s="8"/>
      <c r="C291" s="87" t="s">
        <v>38</v>
      </c>
      <c r="D291" s="94"/>
      <c r="E291" s="94"/>
      <c r="F291" s="94"/>
      <c r="G291" s="95" t="s">
        <v>211</v>
      </c>
      <c r="H291" s="9"/>
    </row>
    <row r="292" spans="2:8" ht="15" hidden="1" customHeight="1" x14ac:dyDescent="0.25">
      <c r="B292" s="8"/>
      <c r="C292" s="86"/>
      <c r="D292" s="86"/>
      <c r="E292" s="86"/>
      <c r="F292" s="86"/>
      <c r="G292" s="86"/>
      <c r="H292" s="9"/>
    </row>
    <row r="293" spans="2:8" ht="15" hidden="1" customHeight="1" x14ac:dyDescent="0.25">
      <c r="B293" s="8"/>
      <c r="C293" s="86" t="s">
        <v>68</v>
      </c>
      <c r="D293" s="86"/>
      <c r="E293" s="86"/>
      <c r="F293" s="86"/>
      <c r="G293" s="86"/>
      <c r="H293" s="9"/>
    </row>
    <row r="294" spans="2:8" ht="15" hidden="1" customHeight="1" x14ac:dyDescent="0.25">
      <c r="B294" s="8"/>
      <c r="C294" s="91" t="s">
        <v>76</v>
      </c>
      <c r="D294" s="93" t="str">
        <f>IF(I.Product.P3Year1="","Baseline year 1",I.Product.P3Year1)</f>
        <v>Baseline year 1</v>
      </c>
      <c r="E294" s="93" t="str">
        <f>IF(I.Product.P3Year1="","Baseline year 2",I.Product.P3Year1+1)</f>
        <v>Baseline year 2</v>
      </c>
      <c r="F294" s="93" t="str">
        <f>IF(I.Product.P3Status="Yes","",IF(I.Product.P3Year1="","Baseline year 3",I.Product.P3Year1+2))</f>
        <v>Baseline year 3</v>
      </c>
      <c r="G294" s="90" t="s">
        <v>17</v>
      </c>
      <c r="H294" s="9"/>
    </row>
    <row r="295" spans="2:8" ht="15" hidden="1" customHeight="1" x14ac:dyDescent="0.35">
      <c r="B295" s="8"/>
      <c r="C295" s="87" t="s">
        <v>36</v>
      </c>
      <c r="D295" s="94"/>
      <c r="E295" s="94"/>
      <c r="F295" s="94"/>
      <c r="G295" s="95" t="s">
        <v>209</v>
      </c>
      <c r="H295" s="9"/>
    </row>
    <row r="296" spans="2:8" ht="15" hidden="1" customHeight="1" x14ac:dyDescent="0.35">
      <c r="B296" s="8"/>
      <c r="C296" s="87" t="s">
        <v>37</v>
      </c>
      <c r="D296" s="94"/>
      <c r="E296" s="94"/>
      <c r="F296" s="94"/>
      <c r="G296" s="95" t="s">
        <v>210</v>
      </c>
      <c r="H296" s="9"/>
    </row>
    <row r="297" spans="2:8" ht="15" hidden="1" customHeight="1" x14ac:dyDescent="0.35">
      <c r="B297" s="8"/>
      <c r="C297" s="87" t="s">
        <v>38</v>
      </c>
      <c r="D297" s="94"/>
      <c r="E297" s="94"/>
      <c r="F297" s="94"/>
      <c r="G297" s="95" t="s">
        <v>211</v>
      </c>
      <c r="H297" s="9"/>
    </row>
    <row r="298" spans="2:8" ht="15" hidden="1" customHeight="1" x14ac:dyDescent="0.25">
      <c r="B298" s="8"/>
      <c r="C298" s="86"/>
      <c r="D298" s="86"/>
      <c r="E298" s="86"/>
      <c r="F298" s="86"/>
      <c r="G298" s="86"/>
      <c r="H298" s="9"/>
    </row>
    <row r="299" spans="2:8" ht="15" hidden="1" customHeight="1" x14ac:dyDescent="0.25">
      <c r="B299" s="8"/>
      <c r="C299" s="86" t="s">
        <v>69</v>
      </c>
      <c r="D299" s="86"/>
      <c r="E299" s="86"/>
      <c r="F299" s="86"/>
      <c r="G299" s="86"/>
      <c r="H299" s="9"/>
    </row>
    <row r="300" spans="2:8" ht="15" hidden="1" customHeight="1" x14ac:dyDescent="0.25">
      <c r="B300" s="8"/>
      <c r="C300" s="91" t="s">
        <v>76</v>
      </c>
      <c r="D300" s="93" t="str">
        <f>IF(I.Product.P3Year1="","Baseline year 1",I.Product.P3Year1)</f>
        <v>Baseline year 1</v>
      </c>
      <c r="E300" s="93" t="str">
        <f>IF(I.Product.P3Year1="","Baseline year 2",I.Product.P3Year1+1)</f>
        <v>Baseline year 2</v>
      </c>
      <c r="F300" s="93" t="str">
        <f>IF(I.Product.P3Status="Yes","",IF(I.Product.P3Year1="","Baseline year 3",I.Product.P3Year1+2))</f>
        <v>Baseline year 3</v>
      </c>
      <c r="G300" s="90" t="s">
        <v>17</v>
      </c>
      <c r="H300" s="9"/>
    </row>
    <row r="301" spans="2:8" ht="15" hidden="1" customHeight="1" x14ac:dyDescent="0.35">
      <c r="B301" s="8"/>
      <c r="C301" s="87" t="s">
        <v>36</v>
      </c>
      <c r="D301" s="94"/>
      <c r="E301" s="94"/>
      <c r="F301" s="94"/>
      <c r="G301" s="95" t="s">
        <v>209</v>
      </c>
      <c r="H301" s="9"/>
    </row>
    <row r="302" spans="2:8" ht="15" hidden="1" customHeight="1" x14ac:dyDescent="0.35">
      <c r="B302" s="8"/>
      <c r="C302" s="87" t="s">
        <v>37</v>
      </c>
      <c r="D302" s="94"/>
      <c r="E302" s="94"/>
      <c r="F302" s="94"/>
      <c r="G302" s="95" t="s">
        <v>210</v>
      </c>
      <c r="H302" s="9"/>
    </row>
    <row r="303" spans="2:8" ht="15" hidden="1" customHeight="1" x14ac:dyDescent="0.35">
      <c r="B303" s="8"/>
      <c r="C303" s="87" t="s">
        <v>38</v>
      </c>
      <c r="D303" s="94"/>
      <c r="E303" s="94"/>
      <c r="F303" s="94"/>
      <c r="G303" s="95" t="s">
        <v>211</v>
      </c>
      <c r="H303" s="9"/>
    </row>
    <row r="304" spans="2:8" ht="15" hidden="1" customHeight="1" x14ac:dyDescent="0.25">
      <c r="B304" s="8"/>
      <c r="C304" s="86"/>
      <c r="D304" s="86"/>
      <c r="E304" s="86"/>
      <c r="F304" s="86"/>
      <c r="G304" s="86"/>
      <c r="H304" s="9"/>
    </row>
    <row r="305" spans="2:8" ht="15" hidden="1" customHeight="1" x14ac:dyDescent="0.25">
      <c r="B305" s="8"/>
      <c r="C305" s="86" t="s">
        <v>70</v>
      </c>
      <c r="D305" s="86"/>
      <c r="E305" s="86"/>
      <c r="F305" s="86"/>
      <c r="G305" s="86"/>
      <c r="H305" s="9"/>
    </row>
    <row r="306" spans="2:8" ht="15" hidden="1" customHeight="1" x14ac:dyDescent="0.25">
      <c r="B306" s="8"/>
      <c r="C306" s="91" t="s">
        <v>76</v>
      </c>
      <c r="D306" s="93" t="str">
        <f>IF(I.Product.P3Year1="","Baseline year 1",I.Product.P3Year1)</f>
        <v>Baseline year 1</v>
      </c>
      <c r="E306" s="93" t="str">
        <f>IF(I.Product.P3Year1="","Baseline year 2",I.Product.P3Year1+1)</f>
        <v>Baseline year 2</v>
      </c>
      <c r="F306" s="93" t="str">
        <f>IF(I.Product.P3Status="Yes","",IF(I.Product.P3Year1="","Baseline year 3",I.Product.P3Year1+2))</f>
        <v>Baseline year 3</v>
      </c>
      <c r="G306" s="90" t="s">
        <v>17</v>
      </c>
      <c r="H306" s="9"/>
    </row>
    <row r="307" spans="2:8" ht="15" hidden="1" customHeight="1" x14ac:dyDescent="0.35">
      <c r="B307" s="8"/>
      <c r="C307" s="87" t="s">
        <v>36</v>
      </c>
      <c r="D307" s="94"/>
      <c r="E307" s="94"/>
      <c r="F307" s="94"/>
      <c r="G307" s="95" t="s">
        <v>209</v>
      </c>
      <c r="H307" s="9"/>
    </row>
    <row r="308" spans="2:8" ht="15" hidden="1" customHeight="1" x14ac:dyDescent="0.35">
      <c r="B308" s="8"/>
      <c r="C308" s="87" t="s">
        <v>37</v>
      </c>
      <c r="D308" s="94"/>
      <c r="E308" s="94"/>
      <c r="F308" s="94"/>
      <c r="G308" s="95" t="s">
        <v>210</v>
      </c>
      <c r="H308" s="9"/>
    </row>
    <row r="309" spans="2:8" ht="15" hidden="1" customHeight="1" x14ac:dyDescent="0.35">
      <c r="B309" s="8"/>
      <c r="C309" s="87" t="s">
        <v>38</v>
      </c>
      <c r="D309" s="94"/>
      <c r="E309" s="94"/>
      <c r="F309" s="94"/>
      <c r="G309" s="95" t="s">
        <v>211</v>
      </c>
      <c r="H309" s="9"/>
    </row>
    <row r="310" spans="2:8" ht="15" hidden="1" customHeight="1" x14ac:dyDescent="0.25">
      <c r="B310" s="8"/>
      <c r="C310" s="86"/>
      <c r="D310" s="86"/>
      <c r="E310" s="86"/>
      <c r="F310" s="86"/>
      <c r="G310" s="86"/>
      <c r="H310" s="9"/>
    </row>
    <row r="311" spans="2:8" ht="20.100000000000001" hidden="1" customHeight="1" x14ac:dyDescent="0.25">
      <c r="B311" s="18"/>
      <c r="C311" s="104" t="s">
        <v>12</v>
      </c>
      <c r="D311" s="104"/>
      <c r="E311" s="104"/>
      <c r="F311" s="104"/>
      <c r="G311" s="104"/>
      <c r="H311" s="19"/>
    </row>
    <row r="312" spans="2:8" ht="15" hidden="1" customHeight="1" x14ac:dyDescent="0.25">
      <c r="B312" s="8"/>
      <c r="C312" s="86"/>
      <c r="D312" s="86"/>
      <c r="E312" s="86"/>
      <c r="F312" s="86"/>
      <c r="G312" s="86"/>
      <c r="H312" s="9"/>
    </row>
    <row r="313" spans="2:8" ht="15" hidden="1" customHeight="1" x14ac:dyDescent="0.25">
      <c r="B313" s="8"/>
      <c r="C313" s="86" t="s">
        <v>19</v>
      </c>
      <c r="D313" s="86"/>
      <c r="E313" s="86"/>
      <c r="F313" s="86"/>
      <c r="G313" s="86"/>
      <c r="H313" s="9"/>
    </row>
    <row r="314" spans="2:8" ht="15" hidden="1" customHeight="1" x14ac:dyDescent="0.25">
      <c r="B314" s="8"/>
      <c r="C314" s="118" t="str">
        <f>IF(I.Product.P4Name="","",I.Product.P4Name)</f>
        <v/>
      </c>
      <c r="D314" s="119"/>
      <c r="E314" s="86"/>
      <c r="F314" s="86"/>
      <c r="G314" s="86"/>
      <c r="H314" s="9"/>
    </row>
    <row r="315" spans="2:8" ht="15" hidden="1" customHeight="1" x14ac:dyDescent="0.25">
      <c r="B315" s="8"/>
      <c r="C315" s="86"/>
      <c r="D315" s="86"/>
      <c r="E315" s="86"/>
      <c r="F315" s="86"/>
      <c r="G315" s="86"/>
      <c r="H315" s="9"/>
    </row>
    <row r="316" spans="2:8" ht="15" hidden="1" customHeight="1" x14ac:dyDescent="0.25">
      <c r="B316" s="8"/>
      <c r="C316" s="86" t="s">
        <v>8</v>
      </c>
      <c r="D316" s="86"/>
      <c r="E316" s="86"/>
      <c r="F316" s="86"/>
      <c r="G316" s="86"/>
      <c r="H316" s="9"/>
    </row>
    <row r="317" spans="2:8" ht="15" hidden="1" customHeight="1" x14ac:dyDescent="0.25">
      <c r="B317" s="8"/>
      <c r="C317" s="91" t="s">
        <v>76</v>
      </c>
      <c r="D317" s="93" t="str">
        <f>IF(I.Product.P4Year1="","Baseline year 1",I.Product.P4Year1)</f>
        <v>Baseline year 1</v>
      </c>
      <c r="E317" s="93" t="str">
        <f>IF(I.Product.P4Year1="","Baseline year 2",I.Product.P4Year1+1)</f>
        <v>Baseline year 2</v>
      </c>
      <c r="F317" s="93" t="str">
        <f>IF(I.Product.P4Status="Yes","",IF(I.Product.P4Year1="","Baseline year 3",I.Product.P4Year1+2))</f>
        <v>Baseline year 3</v>
      </c>
      <c r="G317" s="90" t="s">
        <v>17</v>
      </c>
      <c r="H317" s="9"/>
    </row>
    <row r="318" spans="2:8" ht="15" hidden="1" customHeight="1" x14ac:dyDescent="0.25">
      <c r="B318" s="8"/>
      <c r="C318" s="87" t="s">
        <v>3023</v>
      </c>
      <c r="D318" s="94"/>
      <c r="E318" s="94"/>
      <c r="F318" s="94"/>
      <c r="G318" s="69"/>
      <c r="H318" s="9"/>
    </row>
    <row r="319" spans="2:8" ht="15" hidden="1" customHeight="1" x14ac:dyDescent="0.25">
      <c r="B319" s="8"/>
      <c r="C319" s="86"/>
      <c r="D319" s="86"/>
      <c r="E319" s="86"/>
      <c r="F319" s="86"/>
      <c r="G319" s="86"/>
      <c r="H319" s="9"/>
    </row>
    <row r="320" spans="2:8" ht="15" hidden="1" customHeight="1" x14ac:dyDescent="0.25">
      <c r="B320" s="8"/>
      <c r="C320" s="86" t="s">
        <v>63</v>
      </c>
      <c r="D320" s="86"/>
      <c r="E320" s="86"/>
      <c r="F320" s="86"/>
      <c r="G320" s="86"/>
      <c r="H320" s="9"/>
    </row>
    <row r="321" spans="2:8" ht="15" hidden="1" customHeight="1" x14ac:dyDescent="0.25">
      <c r="B321" s="8"/>
      <c r="C321" s="91" t="s">
        <v>76</v>
      </c>
      <c r="D321" s="93" t="str">
        <f>IF(I.Product.P4Year1="","Baseline year 1",I.Product.P4Year1)</f>
        <v>Baseline year 1</v>
      </c>
      <c r="E321" s="93" t="str">
        <f>IF(I.Product.P4Year1="","Baseline year 2",I.Product.P4Year1+1)</f>
        <v>Baseline year 2</v>
      </c>
      <c r="F321" s="93" t="str">
        <f>IF(I.Product.P4Status="Yes","",IF(I.Product.P4Year1="","Baseline year 3",I.Product.P4Year1+2))</f>
        <v>Baseline year 3</v>
      </c>
      <c r="G321" s="90" t="s">
        <v>17</v>
      </c>
      <c r="H321" s="9"/>
    </row>
    <row r="322" spans="2:8" ht="15" hidden="1" customHeight="1" x14ac:dyDescent="0.35">
      <c r="B322" s="8"/>
      <c r="C322" s="87" t="s">
        <v>36</v>
      </c>
      <c r="D322" s="94"/>
      <c r="E322" s="94"/>
      <c r="F322" s="94"/>
      <c r="G322" s="95" t="s">
        <v>209</v>
      </c>
      <c r="H322" s="9"/>
    </row>
    <row r="323" spans="2:8" ht="15" hidden="1" customHeight="1" x14ac:dyDescent="0.35">
      <c r="B323" s="8"/>
      <c r="C323" s="87" t="s">
        <v>37</v>
      </c>
      <c r="D323" s="94"/>
      <c r="E323" s="94"/>
      <c r="F323" s="94"/>
      <c r="G323" s="95" t="s">
        <v>210</v>
      </c>
      <c r="H323" s="9"/>
    </row>
    <row r="324" spans="2:8" ht="15" hidden="1" customHeight="1" x14ac:dyDescent="0.35">
      <c r="B324" s="8"/>
      <c r="C324" s="87" t="s">
        <v>38</v>
      </c>
      <c r="D324" s="94"/>
      <c r="E324" s="94"/>
      <c r="F324" s="94"/>
      <c r="G324" s="95" t="s">
        <v>211</v>
      </c>
      <c r="H324" s="9"/>
    </row>
    <row r="325" spans="2:8" ht="15" hidden="1" customHeight="1" x14ac:dyDescent="0.25">
      <c r="B325" s="8"/>
      <c r="C325" s="86"/>
      <c r="D325" s="86"/>
      <c r="E325" s="86"/>
      <c r="F325" s="86"/>
      <c r="G325" s="86"/>
      <c r="H325" s="9"/>
    </row>
    <row r="326" spans="2:8" ht="15" hidden="1" customHeight="1" x14ac:dyDescent="0.25">
      <c r="B326" s="8"/>
      <c r="C326" s="86" t="s">
        <v>24</v>
      </c>
      <c r="D326" s="86"/>
      <c r="E326" s="86"/>
      <c r="F326" s="86"/>
      <c r="G326" s="86"/>
      <c r="H326" s="9"/>
    </row>
    <row r="327" spans="2:8" ht="15" hidden="1" customHeight="1" x14ac:dyDescent="0.25">
      <c r="B327" s="8"/>
      <c r="C327" s="91" t="s">
        <v>76</v>
      </c>
      <c r="D327" s="93" t="str">
        <f>IF(I.Product.P4Year1="","Baseline year 1",I.Product.P4Year1)</f>
        <v>Baseline year 1</v>
      </c>
      <c r="E327" s="93" t="str">
        <f>IF(I.Product.P4Year1="","Baseline year 2",I.Product.P4Year1+1)</f>
        <v>Baseline year 2</v>
      </c>
      <c r="F327" s="93" t="str">
        <f>IF(I.Product.P4Status="Yes","",IF(I.Product.P4Year1="","Baseline year 3",I.Product.P4Year1+2))</f>
        <v>Baseline year 3</v>
      </c>
      <c r="G327" s="90" t="s">
        <v>17</v>
      </c>
      <c r="H327" s="9"/>
    </row>
    <row r="328" spans="2:8" ht="15" hidden="1" customHeight="1" x14ac:dyDescent="0.35">
      <c r="B328" s="8"/>
      <c r="C328" s="87" t="s">
        <v>36</v>
      </c>
      <c r="D328" s="94"/>
      <c r="E328" s="94"/>
      <c r="F328" s="94"/>
      <c r="G328" s="95" t="s">
        <v>209</v>
      </c>
      <c r="H328" s="9"/>
    </row>
    <row r="329" spans="2:8" ht="15" hidden="1" customHeight="1" x14ac:dyDescent="0.35">
      <c r="B329" s="8"/>
      <c r="C329" s="87" t="s">
        <v>37</v>
      </c>
      <c r="D329" s="94"/>
      <c r="E329" s="94"/>
      <c r="F329" s="94"/>
      <c r="G329" s="95" t="s">
        <v>210</v>
      </c>
      <c r="H329" s="9"/>
    </row>
    <row r="330" spans="2:8" ht="15" hidden="1" customHeight="1" x14ac:dyDescent="0.35">
      <c r="B330" s="8"/>
      <c r="C330" s="87" t="s">
        <v>38</v>
      </c>
      <c r="D330" s="94"/>
      <c r="E330" s="94"/>
      <c r="F330" s="94"/>
      <c r="G330" s="95" t="s">
        <v>211</v>
      </c>
      <c r="H330" s="9"/>
    </row>
    <row r="331" spans="2:8" ht="15" hidden="1" customHeight="1" x14ac:dyDescent="0.35">
      <c r="B331" s="8"/>
      <c r="C331" s="87" t="s">
        <v>39</v>
      </c>
      <c r="D331" s="94"/>
      <c r="E331" s="94"/>
      <c r="F331" s="94"/>
      <c r="G331" s="95" t="s">
        <v>212</v>
      </c>
      <c r="H331" s="9"/>
    </row>
    <row r="332" spans="2:8" ht="15" hidden="1" customHeight="1" x14ac:dyDescent="0.35">
      <c r="B332" s="8"/>
      <c r="C332" s="87" t="s">
        <v>40</v>
      </c>
      <c r="D332" s="94"/>
      <c r="E332" s="94"/>
      <c r="F332" s="94"/>
      <c r="G332" s="95" t="s">
        <v>213</v>
      </c>
      <c r="H332" s="9"/>
    </row>
    <row r="333" spans="2:8" ht="15" hidden="1" customHeight="1" x14ac:dyDescent="0.35">
      <c r="B333" s="8"/>
      <c r="C333" s="87" t="s">
        <v>41</v>
      </c>
      <c r="D333" s="94"/>
      <c r="E333" s="94"/>
      <c r="F333" s="94"/>
      <c r="G333" s="95" t="s">
        <v>214</v>
      </c>
      <c r="H333" s="9"/>
    </row>
    <row r="334" spans="2:8" ht="15" hidden="1" customHeight="1" x14ac:dyDescent="0.35">
      <c r="B334" s="8"/>
      <c r="C334" s="87" t="s">
        <v>42</v>
      </c>
      <c r="D334" s="94"/>
      <c r="E334" s="94"/>
      <c r="F334" s="94"/>
      <c r="G334" s="95" t="s">
        <v>215</v>
      </c>
      <c r="H334" s="9"/>
    </row>
    <row r="335" spans="2:8" ht="15" hidden="1" customHeight="1" x14ac:dyDescent="0.35">
      <c r="B335" s="8"/>
      <c r="C335" s="87" t="s">
        <v>43</v>
      </c>
      <c r="D335" s="94"/>
      <c r="E335" s="94"/>
      <c r="F335" s="94"/>
      <c r="G335" s="95" t="s">
        <v>216</v>
      </c>
      <c r="H335" s="9"/>
    </row>
    <row r="336" spans="2:8" ht="15" hidden="1" customHeight="1" x14ac:dyDescent="0.35">
      <c r="B336" s="8"/>
      <c r="C336" s="87" t="s">
        <v>44</v>
      </c>
      <c r="D336" s="94"/>
      <c r="E336" s="94"/>
      <c r="F336" s="94"/>
      <c r="G336" s="95" t="s">
        <v>217</v>
      </c>
      <c r="H336" s="9"/>
    </row>
    <row r="337" spans="2:8" ht="15" hidden="1" customHeight="1" x14ac:dyDescent="0.35">
      <c r="B337" s="8"/>
      <c r="C337" s="87" t="s">
        <v>45</v>
      </c>
      <c r="D337" s="94"/>
      <c r="E337" s="94"/>
      <c r="F337" s="94"/>
      <c r="G337" s="95" t="s">
        <v>218</v>
      </c>
      <c r="H337" s="9"/>
    </row>
    <row r="338" spans="2:8" ht="15" hidden="1" customHeight="1" x14ac:dyDescent="0.35">
      <c r="B338" s="8"/>
      <c r="C338" s="87" t="s">
        <v>46</v>
      </c>
      <c r="D338" s="94"/>
      <c r="E338" s="94"/>
      <c r="F338" s="94"/>
      <c r="G338" s="95" t="s">
        <v>219</v>
      </c>
      <c r="H338" s="9"/>
    </row>
    <row r="339" spans="2:8" ht="15" hidden="1" customHeight="1" x14ac:dyDescent="0.35">
      <c r="B339" s="8"/>
      <c r="C339" s="87" t="s">
        <v>47</v>
      </c>
      <c r="D339" s="94"/>
      <c r="E339" s="94"/>
      <c r="F339" s="94"/>
      <c r="G339" s="95" t="s">
        <v>220</v>
      </c>
      <c r="H339" s="9"/>
    </row>
    <row r="340" spans="2:8" ht="15" hidden="1" customHeight="1" x14ac:dyDescent="0.35">
      <c r="B340" s="8"/>
      <c r="C340" s="87" t="s">
        <v>48</v>
      </c>
      <c r="D340" s="94"/>
      <c r="E340" s="94"/>
      <c r="F340" s="94"/>
      <c r="G340" s="95" t="s">
        <v>221</v>
      </c>
      <c r="H340" s="9"/>
    </row>
    <row r="341" spans="2:8" ht="15" hidden="1" customHeight="1" x14ac:dyDescent="0.35">
      <c r="B341" s="8"/>
      <c r="C341" s="87" t="s">
        <v>49</v>
      </c>
      <c r="D341" s="94"/>
      <c r="E341" s="94"/>
      <c r="F341" s="94"/>
      <c r="G341" s="95" t="s">
        <v>222</v>
      </c>
      <c r="H341" s="9"/>
    </row>
    <row r="342" spans="2:8" ht="15" hidden="1" customHeight="1" x14ac:dyDescent="0.35">
      <c r="B342" s="8"/>
      <c r="C342" s="87" t="s">
        <v>50</v>
      </c>
      <c r="D342" s="94"/>
      <c r="E342" s="94"/>
      <c r="F342" s="94"/>
      <c r="G342" s="95" t="s">
        <v>223</v>
      </c>
      <c r="H342" s="9"/>
    </row>
    <row r="343" spans="2:8" ht="15" hidden="1" customHeight="1" x14ac:dyDescent="0.35">
      <c r="B343" s="8"/>
      <c r="C343" s="87" t="s">
        <v>51</v>
      </c>
      <c r="D343" s="94"/>
      <c r="E343" s="94"/>
      <c r="F343" s="94"/>
      <c r="G343" s="95" t="s">
        <v>224</v>
      </c>
      <c r="H343" s="9"/>
    </row>
    <row r="344" spans="2:8" ht="15" hidden="1" customHeight="1" x14ac:dyDescent="0.35">
      <c r="B344" s="8"/>
      <c r="C344" s="87" t="s">
        <v>52</v>
      </c>
      <c r="D344" s="94"/>
      <c r="E344" s="94"/>
      <c r="F344" s="94"/>
      <c r="G344" s="95" t="s">
        <v>225</v>
      </c>
      <c r="H344" s="9"/>
    </row>
    <row r="345" spans="2:8" ht="15" hidden="1" customHeight="1" x14ac:dyDescent="0.35">
      <c r="B345" s="8"/>
      <c r="C345" s="87" t="s">
        <v>53</v>
      </c>
      <c r="D345" s="94"/>
      <c r="E345" s="94"/>
      <c r="F345" s="94"/>
      <c r="G345" s="95" t="s">
        <v>226</v>
      </c>
      <c r="H345" s="9"/>
    </row>
    <row r="346" spans="2:8" ht="15" hidden="1" customHeight="1" x14ac:dyDescent="0.35">
      <c r="B346" s="8"/>
      <c r="C346" s="87" t="s">
        <v>54</v>
      </c>
      <c r="D346" s="94"/>
      <c r="E346" s="94"/>
      <c r="F346" s="94"/>
      <c r="G346" s="95" t="s">
        <v>227</v>
      </c>
      <c r="H346" s="9"/>
    </row>
    <row r="347" spans="2:8" ht="15" hidden="1" customHeight="1" x14ac:dyDescent="0.35">
      <c r="B347" s="8"/>
      <c r="C347" s="87" t="s">
        <v>55</v>
      </c>
      <c r="D347" s="94"/>
      <c r="E347" s="94"/>
      <c r="F347" s="94"/>
      <c r="G347" s="95" t="s">
        <v>228</v>
      </c>
      <c r="H347" s="9"/>
    </row>
    <row r="348" spans="2:8" ht="15" hidden="1" customHeight="1" x14ac:dyDescent="0.35">
      <c r="B348" s="8"/>
      <c r="C348" s="87" t="s">
        <v>56</v>
      </c>
      <c r="D348" s="94"/>
      <c r="E348" s="94"/>
      <c r="F348" s="94"/>
      <c r="G348" s="95" t="s">
        <v>229</v>
      </c>
      <c r="H348" s="9"/>
    </row>
    <row r="349" spans="2:8" ht="15" hidden="1" customHeight="1" x14ac:dyDescent="0.35">
      <c r="B349" s="8"/>
      <c r="C349" s="87" t="s">
        <v>57</v>
      </c>
      <c r="D349" s="94"/>
      <c r="E349" s="94"/>
      <c r="F349" s="94"/>
      <c r="G349" s="95" t="s">
        <v>230</v>
      </c>
      <c r="H349" s="9"/>
    </row>
    <row r="350" spans="2:8" ht="15" hidden="1" customHeight="1" x14ac:dyDescent="0.35">
      <c r="B350" s="8"/>
      <c r="C350" s="87" t="s">
        <v>58</v>
      </c>
      <c r="D350" s="94"/>
      <c r="E350" s="94"/>
      <c r="F350" s="94"/>
      <c r="G350" s="95" t="s">
        <v>231</v>
      </c>
      <c r="H350" s="9"/>
    </row>
    <row r="351" spans="2:8" ht="15" hidden="1" customHeight="1" x14ac:dyDescent="0.35">
      <c r="B351" s="8"/>
      <c r="C351" s="87" t="s">
        <v>59</v>
      </c>
      <c r="D351" s="94"/>
      <c r="E351" s="94"/>
      <c r="F351" s="94"/>
      <c r="G351" s="95" t="s">
        <v>232</v>
      </c>
      <c r="H351" s="9"/>
    </row>
    <row r="352" spans="2:8" ht="15" hidden="1" customHeight="1" x14ac:dyDescent="0.25">
      <c r="B352" s="8"/>
      <c r="C352" s="86"/>
      <c r="D352" s="86"/>
      <c r="E352" s="86"/>
      <c r="F352" s="86"/>
      <c r="G352" s="86"/>
      <c r="H352" s="9"/>
    </row>
    <row r="353" spans="2:8" ht="15" hidden="1" customHeight="1" x14ac:dyDescent="0.25">
      <c r="B353" s="8"/>
      <c r="C353" s="86" t="s">
        <v>64</v>
      </c>
      <c r="D353" s="86"/>
      <c r="E353" s="86"/>
      <c r="F353" s="86"/>
      <c r="G353" s="86"/>
      <c r="H353" s="9"/>
    </row>
    <row r="354" spans="2:8" ht="15" hidden="1" customHeight="1" x14ac:dyDescent="0.25">
      <c r="B354" s="8"/>
      <c r="C354" s="91" t="s">
        <v>76</v>
      </c>
      <c r="D354" s="93" t="str">
        <f>IF(I.Product.P4Year1="","Baseline year 1",I.Product.P4Year1)</f>
        <v>Baseline year 1</v>
      </c>
      <c r="E354" s="93" t="str">
        <f>IF(I.Product.P4Year1="","Baseline year 2",I.Product.P4Year1+1)</f>
        <v>Baseline year 2</v>
      </c>
      <c r="F354" s="93" t="str">
        <f>IF(I.Product.P4Status="Yes","",IF(I.Product.P4Year1="","Baseline year 3",I.Product.P4Year1+2))</f>
        <v>Baseline year 3</v>
      </c>
      <c r="G354" s="90" t="s">
        <v>17</v>
      </c>
      <c r="H354" s="9"/>
    </row>
    <row r="355" spans="2:8" ht="15" hidden="1" customHeight="1" x14ac:dyDescent="0.35">
      <c r="B355" s="8"/>
      <c r="C355" s="87" t="s">
        <v>39</v>
      </c>
      <c r="D355" s="94"/>
      <c r="E355" s="94"/>
      <c r="F355" s="94"/>
      <c r="G355" s="95" t="s">
        <v>212</v>
      </c>
      <c r="H355" s="9"/>
    </row>
    <row r="356" spans="2:8" ht="15" hidden="1" customHeight="1" x14ac:dyDescent="0.35">
      <c r="B356" s="8"/>
      <c r="C356" s="87" t="s">
        <v>40</v>
      </c>
      <c r="D356" s="94"/>
      <c r="E356" s="94"/>
      <c r="F356" s="94"/>
      <c r="G356" s="95" t="s">
        <v>213</v>
      </c>
      <c r="H356" s="9"/>
    </row>
    <row r="357" spans="2:8" ht="15" hidden="1" customHeight="1" x14ac:dyDescent="0.35">
      <c r="B357" s="8"/>
      <c r="C357" s="87" t="s">
        <v>41</v>
      </c>
      <c r="D357" s="94"/>
      <c r="E357" s="94"/>
      <c r="F357" s="94"/>
      <c r="G357" s="95" t="s">
        <v>214</v>
      </c>
      <c r="H357" s="9"/>
    </row>
    <row r="358" spans="2:8" ht="15" hidden="1" customHeight="1" x14ac:dyDescent="0.35">
      <c r="B358" s="8"/>
      <c r="C358" s="87" t="s">
        <v>42</v>
      </c>
      <c r="D358" s="94"/>
      <c r="E358" s="94"/>
      <c r="F358" s="94"/>
      <c r="G358" s="95" t="s">
        <v>215</v>
      </c>
      <c r="H358" s="9"/>
    </row>
    <row r="359" spans="2:8" ht="15" hidden="1" customHeight="1" x14ac:dyDescent="0.35">
      <c r="B359" s="8"/>
      <c r="C359" s="87" t="s">
        <v>43</v>
      </c>
      <c r="D359" s="94"/>
      <c r="E359" s="94"/>
      <c r="F359" s="94"/>
      <c r="G359" s="95" t="s">
        <v>216</v>
      </c>
      <c r="H359" s="9"/>
    </row>
    <row r="360" spans="2:8" ht="15" hidden="1" customHeight="1" x14ac:dyDescent="0.35">
      <c r="B360" s="8"/>
      <c r="C360" s="87" t="s">
        <v>44</v>
      </c>
      <c r="D360" s="94"/>
      <c r="E360" s="94"/>
      <c r="F360" s="94"/>
      <c r="G360" s="95" t="s">
        <v>217</v>
      </c>
      <c r="H360" s="9"/>
    </row>
    <row r="361" spans="2:8" ht="15" hidden="1" customHeight="1" x14ac:dyDescent="0.35">
      <c r="B361" s="8"/>
      <c r="C361" s="87" t="s">
        <v>45</v>
      </c>
      <c r="D361" s="94"/>
      <c r="E361" s="94"/>
      <c r="F361" s="94"/>
      <c r="G361" s="95" t="s">
        <v>218</v>
      </c>
      <c r="H361" s="9"/>
    </row>
    <row r="362" spans="2:8" ht="15" hidden="1" customHeight="1" x14ac:dyDescent="0.35">
      <c r="B362" s="8"/>
      <c r="C362" s="87" t="s">
        <v>46</v>
      </c>
      <c r="D362" s="94"/>
      <c r="E362" s="94"/>
      <c r="F362" s="94"/>
      <c r="G362" s="95" t="s">
        <v>219</v>
      </c>
      <c r="H362" s="9"/>
    </row>
    <row r="363" spans="2:8" ht="15" hidden="1" customHeight="1" x14ac:dyDescent="0.35">
      <c r="B363" s="8"/>
      <c r="C363" s="87" t="s">
        <v>47</v>
      </c>
      <c r="D363" s="94"/>
      <c r="E363" s="94"/>
      <c r="F363" s="94"/>
      <c r="G363" s="95" t="s">
        <v>220</v>
      </c>
      <c r="H363" s="9"/>
    </row>
    <row r="364" spans="2:8" ht="15" hidden="1" customHeight="1" x14ac:dyDescent="0.35">
      <c r="B364" s="8"/>
      <c r="C364" s="87" t="s">
        <v>48</v>
      </c>
      <c r="D364" s="94"/>
      <c r="E364" s="94"/>
      <c r="F364" s="94"/>
      <c r="G364" s="95" t="s">
        <v>221</v>
      </c>
      <c r="H364" s="9"/>
    </row>
    <row r="365" spans="2:8" ht="15" hidden="1" customHeight="1" x14ac:dyDescent="0.35">
      <c r="B365" s="8"/>
      <c r="C365" s="87" t="s">
        <v>49</v>
      </c>
      <c r="D365" s="94"/>
      <c r="E365" s="94"/>
      <c r="F365" s="94"/>
      <c r="G365" s="95" t="s">
        <v>222</v>
      </c>
      <c r="H365" s="9"/>
    </row>
    <row r="366" spans="2:8" ht="15" hidden="1" customHeight="1" x14ac:dyDescent="0.35">
      <c r="B366" s="8"/>
      <c r="C366" s="87" t="s">
        <v>50</v>
      </c>
      <c r="D366" s="94"/>
      <c r="E366" s="94"/>
      <c r="F366" s="94"/>
      <c r="G366" s="95" t="s">
        <v>223</v>
      </c>
      <c r="H366" s="9"/>
    </row>
    <row r="367" spans="2:8" ht="15" hidden="1" customHeight="1" x14ac:dyDescent="0.35">
      <c r="B367" s="8"/>
      <c r="C367" s="87" t="s">
        <v>51</v>
      </c>
      <c r="D367" s="94"/>
      <c r="E367" s="94"/>
      <c r="F367" s="94"/>
      <c r="G367" s="95" t="s">
        <v>224</v>
      </c>
      <c r="H367" s="9"/>
    </row>
    <row r="368" spans="2:8" ht="15" hidden="1" customHeight="1" x14ac:dyDescent="0.35">
      <c r="B368" s="8"/>
      <c r="C368" s="87" t="s">
        <v>52</v>
      </c>
      <c r="D368" s="94"/>
      <c r="E368" s="94"/>
      <c r="F368" s="94"/>
      <c r="G368" s="95" t="s">
        <v>225</v>
      </c>
      <c r="H368" s="9"/>
    </row>
    <row r="369" spans="2:8" ht="15" hidden="1" customHeight="1" x14ac:dyDescent="0.35">
      <c r="B369" s="8"/>
      <c r="C369" s="87" t="s">
        <v>53</v>
      </c>
      <c r="D369" s="94"/>
      <c r="E369" s="94"/>
      <c r="F369" s="94"/>
      <c r="G369" s="95" t="s">
        <v>226</v>
      </c>
      <c r="H369" s="9"/>
    </row>
    <row r="370" spans="2:8" ht="15" hidden="1" customHeight="1" x14ac:dyDescent="0.35">
      <c r="B370" s="8"/>
      <c r="C370" s="87" t="s">
        <v>54</v>
      </c>
      <c r="D370" s="94"/>
      <c r="E370" s="94"/>
      <c r="F370" s="94"/>
      <c r="G370" s="95" t="s">
        <v>227</v>
      </c>
      <c r="H370" s="9"/>
    </row>
    <row r="371" spans="2:8" ht="15" hidden="1" customHeight="1" x14ac:dyDescent="0.35">
      <c r="B371" s="8"/>
      <c r="C371" s="87" t="s">
        <v>55</v>
      </c>
      <c r="D371" s="94"/>
      <c r="E371" s="94"/>
      <c r="F371" s="94"/>
      <c r="G371" s="95" t="s">
        <v>228</v>
      </c>
      <c r="H371" s="9"/>
    </row>
    <row r="372" spans="2:8" ht="15" hidden="1" customHeight="1" x14ac:dyDescent="0.35">
      <c r="B372" s="8"/>
      <c r="C372" s="87" t="s">
        <v>56</v>
      </c>
      <c r="D372" s="94"/>
      <c r="E372" s="94"/>
      <c r="F372" s="94"/>
      <c r="G372" s="95" t="s">
        <v>229</v>
      </c>
      <c r="H372" s="9"/>
    </row>
    <row r="373" spans="2:8" ht="15" hidden="1" customHeight="1" x14ac:dyDescent="0.35">
      <c r="B373" s="8"/>
      <c r="C373" s="87" t="s">
        <v>57</v>
      </c>
      <c r="D373" s="94"/>
      <c r="E373" s="94"/>
      <c r="F373" s="94"/>
      <c r="G373" s="95" t="s">
        <v>230</v>
      </c>
      <c r="H373" s="9"/>
    </row>
    <row r="374" spans="2:8" ht="15" hidden="1" customHeight="1" x14ac:dyDescent="0.35">
      <c r="B374" s="8"/>
      <c r="C374" s="87" t="s">
        <v>58</v>
      </c>
      <c r="D374" s="94"/>
      <c r="E374" s="94"/>
      <c r="F374" s="94"/>
      <c r="G374" s="95" t="s">
        <v>231</v>
      </c>
      <c r="H374" s="9"/>
    </row>
    <row r="375" spans="2:8" ht="15" hidden="1" customHeight="1" x14ac:dyDescent="0.35">
      <c r="B375" s="8"/>
      <c r="C375" s="87" t="s">
        <v>59</v>
      </c>
      <c r="D375" s="94"/>
      <c r="E375" s="94"/>
      <c r="F375" s="94"/>
      <c r="G375" s="95" t="s">
        <v>232</v>
      </c>
      <c r="H375" s="9"/>
    </row>
    <row r="376" spans="2:8" ht="15" hidden="1" customHeight="1" x14ac:dyDescent="0.25">
      <c r="B376" s="8"/>
      <c r="C376" s="86"/>
      <c r="D376" s="86"/>
      <c r="E376" s="86"/>
      <c r="F376" s="86"/>
      <c r="G376" s="86"/>
      <c r="H376" s="9"/>
    </row>
    <row r="377" spans="2:8" ht="15" hidden="1" customHeight="1" x14ac:dyDescent="0.25">
      <c r="B377" s="8"/>
      <c r="C377" s="86" t="s">
        <v>65</v>
      </c>
      <c r="D377" s="86"/>
      <c r="E377" s="86"/>
      <c r="F377" s="86"/>
      <c r="G377" s="86"/>
      <c r="H377" s="9"/>
    </row>
    <row r="378" spans="2:8" ht="15" hidden="1" customHeight="1" x14ac:dyDescent="0.25">
      <c r="B378" s="8"/>
      <c r="C378" s="91" t="s">
        <v>76</v>
      </c>
      <c r="D378" s="93" t="str">
        <f>IF(I.Product.P4Year1="","Baseline year 1",I.Product.P4Year1)</f>
        <v>Baseline year 1</v>
      </c>
      <c r="E378" s="93" t="str">
        <f>IF(I.Product.P4Year1="","Baseline year 2",I.Product.P4Year1+1)</f>
        <v>Baseline year 2</v>
      </c>
      <c r="F378" s="93" t="str">
        <f>IF(I.Product.P4Status="Yes","",IF(I.Product.P4Year1="","Baseline year 3",I.Product.P4Year1+2))</f>
        <v>Baseline year 3</v>
      </c>
      <c r="G378" s="90" t="s">
        <v>17</v>
      </c>
      <c r="H378" s="9"/>
    </row>
    <row r="379" spans="2:8" ht="15" hidden="1" customHeight="1" x14ac:dyDescent="0.35">
      <c r="B379" s="8"/>
      <c r="C379" s="87" t="s">
        <v>36</v>
      </c>
      <c r="D379" s="94"/>
      <c r="E379" s="94"/>
      <c r="F379" s="94"/>
      <c r="G379" s="95" t="s">
        <v>209</v>
      </c>
      <c r="H379" s="9"/>
    </row>
    <row r="380" spans="2:8" ht="15" hidden="1" customHeight="1" x14ac:dyDescent="0.35">
      <c r="B380" s="8"/>
      <c r="C380" s="87" t="s">
        <v>37</v>
      </c>
      <c r="D380" s="94"/>
      <c r="E380" s="94"/>
      <c r="F380" s="94"/>
      <c r="G380" s="95" t="s">
        <v>210</v>
      </c>
      <c r="H380" s="9"/>
    </row>
    <row r="381" spans="2:8" ht="15" hidden="1" customHeight="1" x14ac:dyDescent="0.35">
      <c r="B381" s="8"/>
      <c r="C381" s="87" t="s">
        <v>38</v>
      </c>
      <c r="D381" s="94"/>
      <c r="E381" s="94"/>
      <c r="F381" s="94"/>
      <c r="G381" s="95" t="s">
        <v>211</v>
      </c>
      <c r="H381" s="9"/>
    </row>
    <row r="382" spans="2:8" ht="15" hidden="1" customHeight="1" x14ac:dyDescent="0.25">
      <c r="B382" s="8"/>
      <c r="C382" s="86"/>
      <c r="D382" s="86"/>
      <c r="E382" s="86"/>
      <c r="F382" s="86"/>
      <c r="G382" s="86"/>
      <c r="H382" s="9"/>
    </row>
    <row r="383" spans="2:8" ht="15" hidden="1" customHeight="1" x14ac:dyDescent="0.25">
      <c r="B383" s="8"/>
      <c r="C383" s="86" t="s">
        <v>66</v>
      </c>
      <c r="D383" s="86"/>
      <c r="E383" s="86"/>
      <c r="F383" s="86"/>
      <c r="G383" s="86"/>
      <c r="H383" s="9"/>
    </row>
    <row r="384" spans="2:8" ht="15" hidden="1" customHeight="1" x14ac:dyDescent="0.25">
      <c r="B384" s="8"/>
      <c r="C384" s="91" t="s">
        <v>76</v>
      </c>
      <c r="D384" s="93" t="str">
        <f>IF(I.Product.P4Year1="","Baseline year 1",I.Product.P4Year1)</f>
        <v>Baseline year 1</v>
      </c>
      <c r="E384" s="93" t="str">
        <f>IF(I.Product.P4Year1="","Baseline year 2",I.Product.P4Year1+1)</f>
        <v>Baseline year 2</v>
      </c>
      <c r="F384" s="93" t="str">
        <f>IF(I.Product.P4Status="Yes","",IF(I.Product.P4Year1="","Baseline year 3",I.Product.P4Year1+2))</f>
        <v>Baseline year 3</v>
      </c>
      <c r="G384" s="90" t="s">
        <v>17</v>
      </c>
      <c r="H384" s="9"/>
    </row>
    <row r="385" spans="2:8" ht="15" hidden="1" customHeight="1" x14ac:dyDescent="0.35">
      <c r="B385" s="8"/>
      <c r="C385" s="87" t="s">
        <v>36</v>
      </c>
      <c r="D385" s="94"/>
      <c r="E385" s="94"/>
      <c r="F385" s="94"/>
      <c r="G385" s="95" t="s">
        <v>209</v>
      </c>
      <c r="H385" s="9"/>
    </row>
    <row r="386" spans="2:8" ht="15" hidden="1" customHeight="1" x14ac:dyDescent="0.35">
      <c r="B386" s="8"/>
      <c r="C386" s="87" t="s">
        <v>37</v>
      </c>
      <c r="D386" s="94"/>
      <c r="E386" s="94"/>
      <c r="F386" s="94"/>
      <c r="G386" s="95" t="s">
        <v>210</v>
      </c>
      <c r="H386" s="9"/>
    </row>
    <row r="387" spans="2:8" ht="15" hidden="1" customHeight="1" x14ac:dyDescent="0.35">
      <c r="B387" s="8"/>
      <c r="C387" s="87" t="s">
        <v>38</v>
      </c>
      <c r="D387" s="94"/>
      <c r="E387" s="94"/>
      <c r="F387" s="94"/>
      <c r="G387" s="95" t="s">
        <v>211</v>
      </c>
      <c r="H387" s="9"/>
    </row>
    <row r="388" spans="2:8" ht="15" hidden="1" customHeight="1" x14ac:dyDescent="0.25">
      <c r="B388" s="8"/>
      <c r="C388" s="86"/>
      <c r="D388" s="86"/>
      <c r="E388" s="86"/>
      <c r="F388" s="86"/>
      <c r="G388" s="86"/>
      <c r="H388" s="9"/>
    </row>
    <row r="389" spans="2:8" ht="15" hidden="1" customHeight="1" x14ac:dyDescent="0.25">
      <c r="B389" s="8"/>
      <c r="C389" s="86" t="s">
        <v>67</v>
      </c>
      <c r="D389" s="86"/>
      <c r="E389" s="86"/>
      <c r="F389" s="86"/>
      <c r="G389" s="86"/>
      <c r="H389" s="9"/>
    </row>
    <row r="390" spans="2:8" ht="15" hidden="1" customHeight="1" x14ac:dyDescent="0.25">
      <c r="B390" s="8"/>
      <c r="C390" s="91" t="s">
        <v>76</v>
      </c>
      <c r="D390" s="93" t="str">
        <f>IF(I.Product.P4Year1="","Baseline year 1",I.Product.P4Year1)</f>
        <v>Baseline year 1</v>
      </c>
      <c r="E390" s="93" t="str">
        <f>IF(I.Product.P4Year1="","Baseline year 2",I.Product.P4Year1+1)</f>
        <v>Baseline year 2</v>
      </c>
      <c r="F390" s="93" t="str">
        <f>IF(I.Product.P4Status="Yes","",IF(I.Product.P4Year1="","Baseline year 3",I.Product.P4Year1+2))</f>
        <v>Baseline year 3</v>
      </c>
      <c r="G390" s="90" t="s">
        <v>17</v>
      </c>
      <c r="H390" s="9"/>
    </row>
    <row r="391" spans="2:8" ht="15" hidden="1" customHeight="1" x14ac:dyDescent="0.35">
      <c r="B391" s="8"/>
      <c r="C391" s="87" t="s">
        <v>36</v>
      </c>
      <c r="D391" s="94"/>
      <c r="E391" s="94"/>
      <c r="F391" s="94"/>
      <c r="G391" s="95" t="s">
        <v>209</v>
      </c>
      <c r="H391" s="9"/>
    </row>
    <row r="392" spans="2:8" ht="15" hidden="1" customHeight="1" x14ac:dyDescent="0.35">
      <c r="B392" s="8"/>
      <c r="C392" s="87" t="s">
        <v>37</v>
      </c>
      <c r="D392" s="94"/>
      <c r="E392" s="94"/>
      <c r="F392" s="94"/>
      <c r="G392" s="95" t="s">
        <v>210</v>
      </c>
      <c r="H392" s="9"/>
    </row>
    <row r="393" spans="2:8" ht="15" hidden="1" customHeight="1" x14ac:dyDescent="0.35">
      <c r="B393" s="8"/>
      <c r="C393" s="87" t="s">
        <v>38</v>
      </c>
      <c r="D393" s="94"/>
      <c r="E393" s="94"/>
      <c r="F393" s="94"/>
      <c r="G393" s="95" t="s">
        <v>211</v>
      </c>
      <c r="H393" s="9"/>
    </row>
    <row r="394" spans="2:8" ht="15" hidden="1" customHeight="1" x14ac:dyDescent="0.25">
      <c r="B394" s="8"/>
      <c r="C394" s="86"/>
      <c r="D394" s="86"/>
      <c r="E394" s="86"/>
      <c r="F394" s="86"/>
      <c r="G394" s="86"/>
      <c r="H394" s="9"/>
    </row>
    <row r="395" spans="2:8" ht="15" hidden="1" customHeight="1" x14ac:dyDescent="0.25">
      <c r="B395" s="8"/>
      <c r="C395" s="86" t="s">
        <v>68</v>
      </c>
      <c r="D395" s="86"/>
      <c r="E395" s="86"/>
      <c r="F395" s="86"/>
      <c r="G395" s="86"/>
      <c r="H395" s="9"/>
    </row>
    <row r="396" spans="2:8" ht="15" hidden="1" customHeight="1" x14ac:dyDescent="0.25">
      <c r="B396" s="8"/>
      <c r="C396" s="91" t="s">
        <v>76</v>
      </c>
      <c r="D396" s="93" t="str">
        <f>IF(I.Product.P4Year1="","Baseline year 1",I.Product.P4Year1)</f>
        <v>Baseline year 1</v>
      </c>
      <c r="E396" s="93" t="str">
        <f>IF(I.Product.P4Year1="","Baseline year 2",I.Product.P4Year1+1)</f>
        <v>Baseline year 2</v>
      </c>
      <c r="F396" s="93" t="str">
        <f>IF(I.Product.P4Status="Yes","",IF(I.Product.P4Year1="","Baseline year 3",I.Product.P4Year1+2))</f>
        <v>Baseline year 3</v>
      </c>
      <c r="G396" s="90" t="s">
        <v>17</v>
      </c>
      <c r="H396" s="9"/>
    </row>
    <row r="397" spans="2:8" ht="15" hidden="1" customHeight="1" x14ac:dyDescent="0.35">
      <c r="B397" s="8"/>
      <c r="C397" s="87" t="s">
        <v>36</v>
      </c>
      <c r="D397" s="94"/>
      <c r="E397" s="94"/>
      <c r="F397" s="94"/>
      <c r="G397" s="95" t="s">
        <v>209</v>
      </c>
      <c r="H397" s="9"/>
    </row>
    <row r="398" spans="2:8" ht="15" hidden="1" customHeight="1" x14ac:dyDescent="0.35">
      <c r="B398" s="8"/>
      <c r="C398" s="87" t="s">
        <v>37</v>
      </c>
      <c r="D398" s="94"/>
      <c r="E398" s="94"/>
      <c r="F398" s="94"/>
      <c r="G398" s="95" t="s">
        <v>210</v>
      </c>
      <c r="H398" s="9"/>
    </row>
    <row r="399" spans="2:8" ht="15" hidden="1" customHeight="1" x14ac:dyDescent="0.35">
      <c r="B399" s="8"/>
      <c r="C399" s="87" t="s">
        <v>38</v>
      </c>
      <c r="D399" s="94"/>
      <c r="E399" s="94"/>
      <c r="F399" s="94"/>
      <c r="G399" s="95" t="s">
        <v>211</v>
      </c>
      <c r="H399" s="9"/>
    </row>
    <row r="400" spans="2:8" ht="15" hidden="1" customHeight="1" x14ac:dyDescent="0.25">
      <c r="B400" s="8"/>
      <c r="C400" s="86"/>
      <c r="D400" s="86"/>
      <c r="E400" s="86"/>
      <c r="F400" s="86"/>
      <c r="G400" s="86"/>
      <c r="H400" s="9"/>
    </row>
    <row r="401" spans="2:8" ht="15" hidden="1" customHeight="1" x14ac:dyDescent="0.25">
      <c r="B401" s="8"/>
      <c r="C401" s="86" t="s">
        <v>69</v>
      </c>
      <c r="D401" s="86"/>
      <c r="E401" s="86"/>
      <c r="F401" s="86"/>
      <c r="G401" s="86"/>
      <c r="H401" s="9"/>
    </row>
    <row r="402" spans="2:8" ht="15" hidden="1" customHeight="1" x14ac:dyDescent="0.25">
      <c r="B402" s="8"/>
      <c r="C402" s="91" t="s">
        <v>76</v>
      </c>
      <c r="D402" s="93" t="str">
        <f>IF(I.Product.P4Year1="","Baseline year 1",I.Product.P4Year1)</f>
        <v>Baseline year 1</v>
      </c>
      <c r="E402" s="93" t="str">
        <f>IF(I.Product.P4Year1="","Baseline year 2",I.Product.P4Year1+1)</f>
        <v>Baseline year 2</v>
      </c>
      <c r="F402" s="93" t="str">
        <f>IF(I.Product.P4Status="Yes","",IF(I.Product.P4Year1="","Baseline year 3",I.Product.P4Year1+2))</f>
        <v>Baseline year 3</v>
      </c>
      <c r="G402" s="90" t="s">
        <v>17</v>
      </c>
      <c r="H402" s="9"/>
    </row>
    <row r="403" spans="2:8" ht="15" hidden="1" customHeight="1" x14ac:dyDescent="0.35">
      <c r="B403" s="8"/>
      <c r="C403" s="87" t="s">
        <v>36</v>
      </c>
      <c r="D403" s="94"/>
      <c r="E403" s="94"/>
      <c r="F403" s="94"/>
      <c r="G403" s="95" t="s">
        <v>209</v>
      </c>
      <c r="H403" s="9"/>
    </row>
    <row r="404" spans="2:8" ht="15" hidden="1" customHeight="1" x14ac:dyDescent="0.35">
      <c r="B404" s="8"/>
      <c r="C404" s="87" t="s">
        <v>37</v>
      </c>
      <c r="D404" s="94"/>
      <c r="E404" s="94"/>
      <c r="F404" s="94"/>
      <c r="G404" s="95" t="s">
        <v>210</v>
      </c>
      <c r="H404" s="9"/>
    </row>
    <row r="405" spans="2:8" ht="15" hidden="1" customHeight="1" x14ac:dyDescent="0.35">
      <c r="B405" s="8"/>
      <c r="C405" s="87" t="s">
        <v>38</v>
      </c>
      <c r="D405" s="94"/>
      <c r="E405" s="94"/>
      <c r="F405" s="94"/>
      <c r="G405" s="95" t="s">
        <v>211</v>
      </c>
      <c r="H405" s="9"/>
    </row>
    <row r="406" spans="2:8" ht="15" hidden="1" customHeight="1" x14ac:dyDescent="0.25">
      <c r="B406" s="8"/>
      <c r="C406" s="86"/>
      <c r="D406" s="86"/>
      <c r="E406" s="86"/>
      <c r="F406" s="86"/>
      <c r="G406" s="86"/>
      <c r="H406" s="9"/>
    </row>
    <row r="407" spans="2:8" ht="15" hidden="1" customHeight="1" x14ac:dyDescent="0.25">
      <c r="B407" s="8"/>
      <c r="C407" s="86" t="s">
        <v>70</v>
      </c>
      <c r="D407" s="86"/>
      <c r="E407" s="86"/>
      <c r="F407" s="86"/>
      <c r="G407" s="86"/>
      <c r="H407" s="9"/>
    </row>
    <row r="408" spans="2:8" ht="15" hidden="1" customHeight="1" x14ac:dyDescent="0.25">
      <c r="B408" s="8"/>
      <c r="C408" s="91" t="s">
        <v>76</v>
      </c>
      <c r="D408" s="93" t="str">
        <f>IF(I.Product.P4Year1="","Baseline year 1",I.Product.P4Year1)</f>
        <v>Baseline year 1</v>
      </c>
      <c r="E408" s="93" t="str">
        <f>IF(I.Product.P4Year1="","Baseline year 2",I.Product.P4Year1+1)</f>
        <v>Baseline year 2</v>
      </c>
      <c r="F408" s="93" t="str">
        <f>IF(I.Product.P4Status="Yes","",IF(I.Product.P4Year1="","Baseline year 3",I.Product.P4Year1+2))</f>
        <v>Baseline year 3</v>
      </c>
      <c r="G408" s="90" t="s">
        <v>17</v>
      </c>
      <c r="H408" s="9"/>
    </row>
    <row r="409" spans="2:8" ht="15" hidden="1" customHeight="1" x14ac:dyDescent="0.35">
      <c r="B409" s="8"/>
      <c r="C409" s="87" t="s">
        <v>36</v>
      </c>
      <c r="D409" s="94"/>
      <c r="E409" s="94"/>
      <c r="F409" s="94"/>
      <c r="G409" s="95" t="s">
        <v>209</v>
      </c>
      <c r="H409" s="9"/>
    </row>
    <row r="410" spans="2:8" ht="15" hidden="1" customHeight="1" x14ac:dyDescent="0.35">
      <c r="B410" s="8"/>
      <c r="C410" s="87" t="s">
        <v>37</v>
      </c>
      <c r="D410" s="94"/>
      <c r="E410" s="94"/>
      <c r="F410" s="94"/>
      <c r="G410" s="95" t="s">
        <v>210</v>
      </c>
      <c r="H410" s="9"/>
    </row>
    <row r="411" spans="2:8" ht="15" hidden="1" customHeight="1" x14ac:dyDescent="0.35">
      <c r="B411" s="8"/>
      <c r="C411" s="87" t="s">
        <v>38</v>
      </c>
      <c r="D411" s="94"/>
      <c r="E411" s="94"/>
      <c r="F411" s="94"/>
      <c r="G411" s="95" t="s">
        <v>211</v>
      </c>
      <c r="H411" s="9"/>
    </row>
    <row r="412" spans="2:8" ht="15" hidden="1" customHeight="1" x14ac:dyDescent="0.25">
      <c r="B412" s="8"/>
      <c r="C412" s="86"/>
      <c r="D412" s="86"/>
      <c r="E412" s="86"/>
      <c r="F412" s="86"/>
      <c r="G412" s="86"/>
      <c r="H412" s="9"/>
    </row>
    <row r="413" spans="2:8" ht="20.100000000000001" hidden="1" customHeight="1" x14ac:dyDescent="0.25">
      <c r="B413" s="18"/>
      <c r="C413" s="104" t="s">
        <v>13</v>
      </c>
      <c r="D413" s="104"/>
      <c r="E413" s="104"/>
      <c r="F413" s="104"/>
      <c r="G413" s="104"/>
      <c r="H413" s="19"/>
    </row>
    <row r="414" spans="2:8" ht="15" hidden="1" customHeight="1" x14ac:dyDescent="0.25">
      <c r="B414" s="8"/>
      <c r="C414" s="86"/>
      <c r="D414" s="86"/>
      <c r="E414" s="86"/>
      <c r="F414" s="86"/>
      <c r="G414" s="86"/>
      <c r="H414" s="9"/>
    </row>
    <row r="415" spans="2:8" ht="15" hidden="1" customHeight="1" x14ac:dyDescent="0.25">
      <c r="B415" s="8"/>
      <c r="C415" s="86" t="s">
        <v>19</v>
      </c>
      <c r="D415" s="86"/>
      <c r="E415" s="86"/>
      <c r="F415" s="86"/>
      <c r="G415" s="86"/>
      <c r="H415" s="9"/>
    </row>
    <row r="416" spans="2:8" ht="15" hidden="1" customHeight="1" x14ac:dyDescent="0.25">
      <c r="B416" s="8"/>
      <c r="C416" s="118" t="str">
        <f>IF(I.Product.P5Name="","",I.Product.P5Name)</f>
        <v/>
      </c>
      <c r="D416" s="119"/>
      <c r="E416" s="86"/>
      <c r="F416" s="86"/>
      <c r="G416" s="86"/>
      <c r="H416" s="9"/>
    </row>
    <row r="417" spans="2:8" ht="15" hidden="1" customHeight="1" x14ac:dyDescent="0.25">
      <c r="B417" s="8"/>
      <c r="C417" s="86"/>
      <c r="D417" s="86"/>
      <c r="E417" s="86"/>
      <c r="F417" s="86"/>
      <c r="G417" s="86"/>
      <c r="H417" s="9"/>
    </row>
    <row r="418" spans="2:8" ht="15" hidden="1" customHeight="1" x14ac:dyDescent="0.25">
      <c r="B418" s="8"/>
      <c r="C418" s="86" t="s">
        <v>8</v>
      </c>
      <c r="D418" s="86"/>
      <c r="E418" s="86"/>
      <c r="F418" s="86"/>
      <c r="G418" s="86"/>
      <c r="H418" s="9"/>
    </row>
    <row r="419" spans="2:8" ht="15" hidden="1" customHeight="1" x14ac:dyDescent="0.25">
      <c r="B419" s="8"/>
      <c r="C419" s="91" t="s">
        <v>76</v>
      </c>
      <c r="D419" s="93" t="str">
        <f>IF(I.Product.P5Year1="","Baseline year 1",I.Product.P5Year1)</f>
        <v>Baseline year 1</v>
      </c>
      <c r="E419" s="93" t="str">
        <f>IF(I.Product.P5Year1="","Baseline year 2",I.Product.P5Year1+1)</f>
        <v>Baseline year 2</v>
      </c>
      <c r="F419" s="93" t="str">
        <f>IF(I.Product.P5Status="Yes","",IF(I.Product.P5Year1="","Baseline year 3",I.Product.P5Year1+2))</f>
        <v>Baseline year 3</v>
      </c>
      <c r="G419" s="90" t="s">
        <v>17</v>
      </c>
      <c r="H419" s="9"/>
    </row>
    <row r="420" spans="2:8" ht="15" hidden="1" customHeight="1" x14ac:dyDescent="0.25">
      <c r="B420" s="8"/>
      <c r="C420" s="87" t="s">
        <v>3023</v>
      </c>
      <c r="D420" s="94"/>
      <c r="E420" s="94"/>
      <c r="F420" s="94"/>
      <c r="G420" s="69"/>
      <c r="H420" s="9"/>
    </row>
    <row r="421" spans="2:8" ht="15" hidden="1" customHeight="1" x14ac:dyDescent="0.25">
      <c r="B421" s="8"/>
      <c r="C421" s="86"/>
      <c r="D421" s="86"/>
      <c r="E421" s="86"/>
      <c r="F421" s="86"/>
      <c r="G421" s="86"/>
      <c r="H421" s="9"/>
    </row>
    <row r="422" spans="2:8" ht="15" hidden="1" customHeight="1" x14ac:dyDescent="0.25">
      <c r="B422" s="8"/>
      <c r="C422" s="86" t="s">
        <v>63</v>
      </c>
      <c r="D422" s="86"/>
      <c r="E422" s="86"/>
      <c r="F422" s="86"/>
      <c r="G422" s="86"/>
      <c r="H422" s="9"/>
    </row>
    <row r="423" spans="2:8" ht="15" hidden="1" customHeight="1" x14ac:dyDescent="0.25">
      <c r="B423" s="8"/>
      <c r="C423" s="91" t="s">
        <v>76</v>
      </c>
      <c r="D423" s="93" t="str">
        <f>IF(I.Product.P5Year1="","Baseline year 1",I.Product.P5Year1)</f>
        <v>Baseline year 1</v>
      </c>
      <c r="E423" s="93" t="str">
        <f>IF(I.Product.P5Year1="","Baseline year 2",I.Product.P5Year1+1)</f>
        <v>Baseline year 2</v>
      </c>
      <c r="F423" s="93" t="str">
        <f>IF(I.Product.P5Status="Yes","",IF(I.Product.P5Year1="","Baseline year 3",I.Product.P5Year1+2))</f>
        <v>Baseline year 3</v>
      </c>
      <c r="G423" s="90" t="s">
        <v>17</v>
      </c>
      <c r="H423" s="9"/>
    </row>
    <row r="424" spans="2:8" ht="15" hidden="1" customHeight="1" x14ac:dyDescent="0.35">
      <c r="B424" s="8"/>
      <c r="C424" s="87" t="s">
        <v>36</v>
      </c>
      <c r="D424" s="94"/>
      <c r="E424" s="94"/>
      <c r="F424" s="94"/>
      <c r="G424" s="95" t="s">
        <v>209</v>
      </c>
      <c r="H424" s="9"/>
    </row>
    <row r="425" spans="2:8" ht="15" hidden="1" customHeight="1" x14ac:dyDescent="0.35">
      <c r="B425" s="8"/>
      <c r="C425" s="87" t="s">
        <v>37</v>
      </c>
      <c r="D425" s="94"/>
      <c r="E425" s="94"/>
      <c r="F425" s="94"/>
      <c r="G425" s="95" t="s">
        <v>210</v>
      </c>
      <c r="H425" s="9"/>
    </row>
    <row r="426" spans="2:8" ht="15" hidden="1" customHeight="1" x14ac:dyDescent="0.35">
      <c r="B426" s="8"/>
      <c r="C426" s="87" t="s">
        <v>38</v>
      </c>
      <c r="D426" s="94"/>
      <c r="E426" s="94"/>
      <c r="F426" s="94"/>
      <c r="G426" s="95" t="s">
        <v>211</v>
      </c>
      <c r="H426" s="9"/>
    </row>
    <row r="427" spans="2:8" ht="15" hidden="1" customHeight="1" x14ac:dyDescent="0.25">
      <c r="B427" s="8"/>
      <c r="C427" s="86"/>
      <c r="D427" s="86"/>
      <c r="E427" s="86"/>
      <c r="F427" s="86"/>
      <c r="G427" s="86"/>
      <c r="H427" s="9"/>
    </row>
    <row r="428" spans="2:8" ht="15" hidden="1" customHeight="1" x14ac:dyDescent="0.25">
      <c r="B428" s="8"/>
      <c r="C428" s="86" t="s">
        <v>24</v>
      </c>
      <c r="D428" s="86"/>
      <c r="E428" s="86"/>
      <c r="F428" s="86"/>
      <c r="G428" s="86"/>
      <c r="H428" s="9"/>
    </row>
    <row r="429" spans="2:8" ht="15" hidden="1" customHeight="1" x14ac:dyDescent="0.25">
      <c r="B429" s="8"/>
      <c r="C429" s="91" t="s">
        <v>76</v>
      </c>
      <c r="D429" s="93" t="str">
        <f>IF(I.Product.P5Year1="","Baseline year 1",I.Product.P5Year1)</f>
        <v>Baseline year 1</v>
      </c>
      <c r="E429" s="93" t="str">
        <f>IF(I.Product.P5Year1="","Baseline year 2",I.Product.P5Year1+1)</f>
        <v>Baseline year 2</v>
      </c>
      <c r="F429" s="93" t="str">
        <f>IF(I.Product.P5Status="Yes","",IF(I.Product.P5Year1="","Baseline year 3",I.Product.P5Year1+2))</f>
        <v>Baseline year 3</v>
      </c>
      <c r="G429" s="90" t="s">
        <v>17</v>
      </c>
      <c r="H429" s="9"/>
    </row>
    <row r="430" spans="2:8" ht="15" hidden="1" customHeight="1" x14ac:dyDescent="0.35">
      <c r="B430" s="8"/>
      <c r="C430" s="87" t="s">
        <v>36</v>
      </c>
      <c r="D430" s="94"/>
      <c r="E430" s="94"/>
      <c r="F430" s="94"/>
      <c r="G430" s="95" t="s">
        <v>209</v>
      </c>
      <c r="H430" s="9"/>
    </row>
    <row r="431" spans="2:8" ht="15" hidden="1" customHeight="1" x14ac:dyDescent="0.35">
      <c r="B431" s="8"/>
      <c r="C431" s="87" t="s">
        <v>37</v>
      </c>
      <c r="D431" s="94"/>
      <c r="E431" s="94"/>
      <c r="F431" s="94"/>
      <c r="G431" s="95" t="s">
        <v>210</v>
      </c>
      <c r="H431" s="9"/>
    </row>
    <row r="432" spans="2:8" ht="15" hidden="1" customHeight="1" x14ac:dyDescent="0.35">
      <c r="B432" s="8"/>
      <c r="C432" s="87" t="s">
        <v>38</v>
      </c>
      <c r="D432" s="94"/>
      <c r="E432" s="94"/>
      <c r="F432" s="94"/>
      <c r="G432" s="95" t="s">
        <v>211</v>
      </c>
      <c r="H432" s="9"/>
    </row>
    <row r="433" spans="2:8" ht="15" hidden="1" customHeight="1" x14ac:dyDescent="0.35">
      <c r="B433" s="8"/>
      <c r="C433" s="87" t="s">
        <v>39</v>
      </c>
      <c r="D433" s="94"/>
      <c r="E433" s="94"/>
      <c r="F433" s="94"/>
      <c r="G433" s="95" t="s">
        <v>212</v>
      </c>
      <c r="H433" s="9"/>
    </row>
    <row r="434" spans="2:8" ht="15" hidden="1" customHeight="1" x14ac:dyDescent="0.35">
      <c r="B434" s="8"/>
      <c r="C434" s="87" t="s">
        <v>40</v>
      </c>
      <c r="D434" s="94"/>
      <c r="E434" s="94"/>
      <c r="F434" s="94"/>
      <c r="G434" s="95" t="s">
        <v>213</v>
      </c>
      <c r="H434" s="9"/>
    </row>
    <row r="435" spans="2:8" ht="15" hidden="1" customHeight="1" x14ac:dyDescent="0.35">
      <c r="B435" s="8"/>
      <c r="C435" s="87" t="s">
        <v>41</v>
      </c>
      <c r="D435" s="94"/>
      <c r="E435" s="94"/>
      <c r="F435" s="94"/>
      <c r="G435" s="95" t="s">
        <v>214</v>
      </c>
      <c r="H435" s="9"/>
    </row>
    <row r="436" spans="2:8" ht="15" hidden="1" customHeight="1" x14ac:dyDescent="0.35">
      <c r="B436" s="8"/>
      <c r="C436" s="87" t="s">
        <v>42</v>
      </c>
      <c r="D436" s="94"/>
      <c r="E436" s="94"/>
      <c r="F436" s="94"/>
      <c r="G436" s="95" t="s">
        <v>215</v>
      </c>
      <c r="H436" s="9"/>
    </row>
    <row r="437" spans="2:8" ht="15" hidden="1" customHeight="1" x14ac:dyDescent="0.35">
      <c r="B437" s="8"/>
      <c r="C437" s="87" t="s">
        <v>43</v>
      </c>
      <c r="D437" s="94"/>
      <c r="E437" s="94"/>
      <c r="F437" s="94"/>
      <c r="G437" s="95" t="s">
        <v>216</v>
      </c>
      <c r="H437" s="9"/>
    </row>
    <row r="438" spans="2:8" ht="15" hidden="1" customHeight="1" x14ac:dyDescent="0.35">
      <c r="B438" s="8"/>
      <c r="C438" s="87" t="s">
        <v>44</v>
      </c>
      <c r="D438" s="94"/>
      <c r="E438" s="94"/>
      <c r="F438" s="94"/>
      <c r="G438" s="95" t="s">
        <v>217</v>
      </c>
      <c r="H438" s="9"/>
    </row>
    <row r="439" spans="2:8" ht="15" hidden="1" customHeight="1" x14ac:dyDescent="0.35">
      <c r="B439" s="8"/>
      <c r="C439" s="87" t="s">
        <v>45</v>
      </c>
      <c r="D439" s="94"/>
      <c r="E439" s="94"/>
      <c r="F439" s="94"/>
      <c r="G439" s="95" t="s">
        <v>218</v>
      </c>
      <c r="H439" s="9"/>
    </row>
    <row r="440" spans="2:8" ht="15" hidden="1" customHeight="1" x14ac:dyDescent="0.35">
      <c r="B440" s="8"/>
      <c r="C440" s="87" t="s">
        <v>46</v>
      </c>
      <c r="D440" s="94"/>
      <c r="E440" s="94"/>
      <c r="F440" s="94"/>
      <c r="G440" s="95" t="s">
        <v>219</v>
      </c>
      <c r="H440" s="9"/>
    </row>
    <row r="441" spans="2:8" ht="15" hidden="1" customHeight="1" x14ac:dyDescent="0.35">
      <c r="B441" s="8"/>
      <c r="C441" s="87" t="s">
        <v>47</v>
      </c>
      <c r="D441" s="94"/>
      <c r="E441" s="94"/>
      <c r="F441" s="94"/>
      <c r="G441" s="95" t="s">
        <v>220</v>
      </c>
      <c r="H441" s="9"/>
    </row>
    <row r="442" spans="2:8" ht="15" hidden="1" customHeight="1" x14ac:dyDescent="0.35">
      <c r="B442" s="8"/>
      <c r="C442" s="87" t="s">
        <v>48</v>
      </c>
      <c r="D442" s="94"/>
      <c r="E442" s="94"/>
      <c r="F442" s="94"/>
      <c r="G442" s="95" t="s">
        <v>221</v>
      </c>
      <c r="H442" s="9"/>
    </row>
    <row r="443" spans="2:8" ht="15" hidden="1" customHeight="1" x14ac:dyDescent="0.35">
      <c r="B443" s="8"/>
      <c r="C443" s="87" t="s">
        <v>49</v>
      </c>
      <c r="D443" s="94"/>
      <c r="E443" s="94"/>
      <c r="F443" s="94"/>
      <c r="G443" s="95" t="s">
        <v>222</v>
      </c>
      <c r="H443" s="9"/>
    </row>
    <row r="444" spans="2:8" ht="15" hidden="1" customHeight="1" x14ac:dyDescent="0.35">
      <c r="B444" s="8"/>
      <c r="C444" s="87" t="s">
        <v>50</v>
      </c>
      <c r="D444" s="94"/>
      <c r="E444" s="94"/>
      <c r="F444" s="94"/>
      <c r="G444" s="95" t="s">
        <v>223</v>
      </c>
      <c r="H444" s="9"/>
    </row>
    <row r="445" spans="2:8" ht="15" hidden="1" customHeight="1" x14ac:dyDescent="0.35">
      <c r="B445" s="8"/>
      <c r="C445" s="87" t="s">
        <v>51</v>
      </c>
      <c r="D445" s="94"/>
      <c r="E445" s="94"/>
      <c r="F445" s="94"/>
      <c r="G445" s="95" t="s">
        <v>224</v>
      </c>
      <c r="H445" s="9"/>
    </row>
    <row r="446" spans="2:8" ht="15" hidden="1" customHeight="1" x14ac:dyDescent="0.35">
      <c r="B446" s="8"/>
      <c r="C446" s="87" t="s">
        <v>52</v>
      </c>
      <c r="D446" s="94"/>
      <c r="E446" s="94"/>
      <c r="F446" s="94"/>
      <c r="G446" s="95" t="s">
        <v>225</v>
      </c>
      <c r="H446" s="9"/>
    </row>
    <row r="447" spans="2:8" ht="15" hidden="1" customHeight="1" x14ac:dyDescent="0.35">
      <c r="B447" s="8"/>
      <c r="C447" s="87" t="s">
        <v>53</v>
      </c>
      <c r="D447" s="94"/>
      <c r="E447" s="94"/>
      <c r="F447" s="94"/>
      <c r="G447" s="95" t="s">
        <v>226</v>
      </c>
      <c r="H447" s="9"/>
    </row>
    <row r="448" spans="2:8" ht="15" hidden="1" customHeight="1" x14ac:dyDescent="0.35">
      <c r="B448" s="8"/>
      <c r="C448" s="87" t="s">
        <v>54</v>
      </c>
      <c r="D448" s="94"/>
      <c r="E448" s="94"/>
      <c r="F448" s="94"/>
      <c r="G448" s="95" t="s">
        <v>227</v>
      </c>
      <c r="H448" s="9"/>
    </row>
    <row r="449" spans="2:8" ht="15" hidden="1" customHeight="1" x14ac:dyDescent="0.35">
      <c r="B449" s="8"/>
      <c r="C449" s="87" t="s">
        <v>55</v>
      </c>
      <c r="D449" s="94"/>
      <c r="E449" s="94"/>
      <c r="F449" s="94"/>
      <c r="G449" s="95" t="s">
        <v>228</v>
      </c>
      <c r="H449" s="9"/>
    </row>
    <row r="450" spans="2:8" ht="15" hidden="1" customHeight="1" x14ac:dyDescent="0.35">
      <c r="B450" s="8"/>
      <c r="C450" s="87" t="s">
        <v>56</v>
      </c>
      <c r="D450" s="94"/>
      <c r="E450" s="94"/>
      <c r="F450" s="94"/>
      <c r="G450" s="95" t="s">
        <v>229</v>
      </c>
      <c r="H450" s="9"/>
    </row>
    <row r="451" spans="2:8" ht="15" hidden="1" customHeight="1" x14ac:dyDescent="0.35">
      <c r="B451" s="8"/>
      <c r="C451" s="87" t="s">
        <v>57</v>
      </c>
      <c r="D451" s="94"/>
      <c r="E451" s="94"/>
      <c r="F451" s="94"/>
      <c r="G451" s="95" t="s">
        <v>230</v>
      </c>
      <c r="H451" s="9"/>
    </row>
    <row r="452" spans="2:8" ht="15" hidden="1" customHeight="1" x14ac:dyDescent="0.35">
      <c r="B452" s="8"/>
      <c r="C452" s="87" t="s">
        <v>58</v>
      </c>
      <c r="D452" s="94"/>
      <c r="E452" s="94"/>
      <c r="F452" s="94"/>
      <c r="G452" s="95" t="s">
        <v>231</v>
      </c>
      <c r="H452" s="9"/>
    </row>
    <row r="453" spans="2:8" ht="15" hidden="1" customHeight="1" x14ac:dyDescent="0.35">
      <c r="B453" s="8"/>
      <c r="C453" s="87" t="s">
        <v>59</v>
      </c>
      <c r="D453" s="94"/>
      <c r="E453" s="94"/>
      <c r="F453" s="94"/>
      <c r="G453" s="95" t="s">
        <v>232</v>
      </c>
      <c r="H453" s="9"/>
    </row>
    <row r="454" spans="2:8" ht="15" hidden="1" customHeight="1" x14ac:dyDescent="0.25">
      <c r="B454" s="8"/>
      <c r="C454" s="86"/>
      <c r="D454" s="86"/>
      <c r="E454" s="86"/>
      <c r="F454" s="86"/>
      <c r="G454" s="86"/>
      <c r="H454" s="9"/>
    </row>
    <row r="455" spans="2:8" ht="15" hidden="1" customHeight="1" x14ac:dyDescent="0.25">
      <c r="B455" s="8"/>
      <c r="C455" s="86" t="s">
        <v>64</v>
      </c>
      <c r="D455" s="86"/>
      <c r="E455" s="86"/>
      <c r="F455" s="86"/>
      <c r="G455" s="86"/>
      <c r="H455" s="9"/>
    </row>
    <row r="456" spans="2:8" ht="15" hidden="1" customHeight="1" x14ac:dyDescent="0.25">
      <c r="B456" s="8"/>
      <c r="C456" s="91" t="s">
        <v>76</v>
      </c>
      <c r="D456" s="93" t="str">
        <f>IF(I.Product.P5Year1="","Baseline year 1",I.Product.P5Year1)</f>
        <v>Baseline year 1</v>
      </c>
      <c r="E456" s="93" t="str">
        <f>IF(I.Product.P5Year1="","Baseline year 2",I.Product.P5Year1+1)</f>
        <v>Baseline year 2</v>
      </c>
      <c r="F456" s="93" t="str">
        <f>IF(I.Product.P5Status="Yes","",IF(I.Product.P5Year1="","Baseline year 3",I.Product.P5Year1+2))</f>
        <v>Baseline year 3</v>
      </c>
      <c r="G456" s="90" t="s">
        <v>17</v>
      </c>
      <c r="H456" s="9"/>
    </row>
    <row r="457" spans="2:8" ht="15" hidden="1" customHeight="1" x14ac:dyDescent="0.35">
      <c r="B457" s="8"/>
      <c r="C457" s="87" t="s">
        <v>39</v>
      </c>
      <c r="D457" s="94"/>
      <c r="E457" s="94"/>
      <c r="F457" s="94"/>
      <c r="G457" s="95" t="s">
        <v>212</v>
      </c>
      <c r="H457" s="9"/>
    </row>
    <row r="458" spans="2:8" ht="15" hidden="1" customHeight="1" x14ac:dyDescent="0.35">
      <c r="B458" s="8"/>
      <c r="C458" s="87" t="s">
        <v>40</v>
      </c>
      <c r="D458" s="94"/>
      <c r="E458" s="94"/>
      <c r="F458" s="94"/>
      <c r="G458" s="95" t="s">
        <v>213</v>
      </c>
      <c r="H458" s="9"/>
    </row>
    <row r="459" spans="2:8" ht="15" hidden="1" customHeight="1" x14ac:dyDescent="0.35">
      <c r="B459" s="8"/>
      <c r="C459" s="87" t="s">
        <v>41</v>
      </c>
      <c r="D459" s="94"/>
      <c r="E459" s="94"/>
      <c r="F459" s="94"/>
      <c r="G459" s="95" t="s">
        <v>214</v>
      </c>
      <c r="H459" s="9"/>
    </row>
    <row r="460" spans="2:8" ht="15" hidden="1" customHeight="1" x14ac:dyDescent="0.35">
      <c r="B460" s="8"/>
      <c r="C460" s="87" t="s">
        <v>42</v>
      </c>
      <c r="D460" s="94"/>
      <c r="E460" s="94"/>
      <c r="F460" s="94"/>
      <c r="G460" s="95" t="s">
        <v>215</v>
      </c>
      <c r="H460" s="9"/>
    </row>
    <row r="461" spans="2:8" ht="15" hidden="1" customHeight="1" x14ac:dyDescent="0.35">
      <c r="B461" s="8"/>
      <c r="C461" s="87" t="s">
        <v>43</v>
      </c>
      <c r="D461" s="94"/>
      <c r="E461" s="94"/>
      <c r="F461" s="94"/>
      <c r="G461" s="95" t="s">
        <v>216</v>
      </c>
      <c r="H461" s="9"/>
    </row>
    <row r="462" spans="2:8" ht="15" hidden="1" customHeight="1" x14ac:dyDescent="0.35">
      <c r="B462" s="8"/>
      <c r="C462" s="87" t="s">
        <v>44</v>
      </c>
      <c r="D462" s="94"/>
      <c r="E462" s="94"/>
      <c r="F462" s="94"/>
      <c r="G462" s="95" t="s">
        <v>217</v>
      </c>
      <c r="H462" s="9"/>
    </row>
    <row r="463" spans="2:8" ht="15" hidden="1" customHeight="1" x14ac:dyDescent="0.35">
      <c r="B463" s="8"/>
      <c r="C463" s="87" t="s">
        <v>45</v>
      </c>
      <c r="D463" s="94"/>
      <c r="E463" s="94"/>
      <c r="F463" s="94"/>
      <c r="G463" s="95" t="s">
        <v>218</v>
      </c>
      <c r="H463" s="9"/>
    </row>
    <row r="464" spans="2:8" ht="15" hidden="1" customHeight="1" x14ac:dyDescent="0.35">
      <c r="B464" s="8"/>
      <c r="C464" s="87" t="s">
        <v>46</v>
      </c>
      <c r="D464" s="94"/>
      <c r="E464" s="94"/>
      <c r="F464" s="94"/>
      <c r="G464" s="95" t="s">
        <v>219</v>
      </c>
      <c r="H464" s="9"/>
    </row>
    <row r="465" spans="2:8" ht="15" hidden="1" customHeight="1" x14ac:dyDescent="0.35">
      <c r="B465" s="8"/>
      <c r="C465" s="87" t="s">
        <v>47</v>
      </c>
      <c r="D465" s="94"/>
      <c r="E465" s="94"/>
      <c r="F465" s="94"/>
      <c r="G465" s="95" t="s">
        <v>220</v>
      </c>
      <c r="H465" s="9"/>
    </row>
    <row r="466" spans="2:8" ht="15" hidden="1" customHeight="1" x14ac:dyDescent="0.35">
      <c r="B466" s="8"/>
      <c r="C466" s="87" t="s">
        <v>48</v>
      </c>
      <c r="D466" s="94"/>
      <c r="E466" s="94"/>
      <c r="F466" s="94"/>
      <c r="G466" s="95" t="s">
        <v>221</v>
      </c>
      <c r="H466" s="9"/>
    </row>
    <row r="467" spans="2:8" ht="15" hidden="1" customHeight="1" x14ac:dyDescent="0.35">
      <c r="B467" s="8"/>
      <c r="C467" s="87" t="s">
        <v>49</v>
      </c>
      <c r="D467" s="94"/>
      <c r="E467" s="94"/>
      <c r="F467" s="94"/>
      <c r="G467" s="95" t="s">
        <v>222</v>
      </c>
      <c r="H467" s="9"/>
    </row>
    <row r="468" spans="2:8" ht="15" hidden="1" customHeight="1" x14ac:dyDescent="0.35">
      <c r="B468" s="8"/>
      <c r="C468" s="87" t="s">
        <v>50</v>
      </c>
      <c r="D468" s="94"/>
      <c r="E468" s="94"/>
      <c r="F468" s="94"/>
      <c r="G468" s="95" t="s">
        <v>223</v>
      </c>
      <c r="H468" s="9"/>
    </row>
    <row r="469" spans="2:8" ht="15" hidden="1" customHeight="1" x14ac:dyDescent="0.35">
      <c r="B469" s="8"/>
      <c r="C469" s="87" t="s">
        <v>51</v>
      </c>
      <c r="D469" s="94"/>
      <c r="E469" s="94"/>
      <c r="F469" s="94"/>
      <c r="G469" s="95" t="s">
        <v>224</v>
      </c>
      <c r="H469" s="9"/>
    </row>
    <row r="470" spans="2:8" ht="15" hidden="1" customHeight="1" x14ac:dyDescent="0.35">
      <c r="B470" s="8"/>
      <c r="C470" s="87" t="s">
        <v>52</v>
      </c>
      <c r="D470" s="94"/>
      <c r="E470" s="94"/>
      <c r="F470" s="94"/>
      <c r="G470" s="95" t="s">
        <v>225</v>
      </c>
      <c r="H470" s="9"/>
    </row>
    <row r="471" spans="2:8" ht="15" hidden="1" customHeight="1" x14ac:dyDescent="0.35">
      <c r="B471" s="8"/>
      <c r="C471" s="87" t="s">
        <v>53</v>
      </c>
      <c r="D471" s="94"/>
      <c r="E471" s="94"/>
      <c r="F471" s="94"/>
      <c r="G471" s="95" t="s">
        <v>226</v>
      </c>
      <c r="H471" s="9"/>
    </row>
    <row r="472" spans="2:8" ht="15" hidden="1" customHeight="1" x14ac:dyDescent="0.35">
      <c r="B472" s="8"/>
      <c r="C472" s="87" t="s">
        <v>54</v>
      </c>
      <c r="D472" s="94"/>
      <c r="E472" s="94"/>
      <c r="F472" s="94"/>
      <c r="G472" s="95" t="s">
        <v>227</v>
      </c>
      <c r="H472" s="9"/>
    </row>
    <row r="473" spans="2:8" ht="15" hidden="1" customHeight="1" x14ac:dyDescent="0.35">
      <c r="B473" s="8"/>
      <c r="C473" s="87" t="s">
        <v>55</v>
      </c>
      <c r="D473" s="94"/>
      <c r="E473" s="94"/>
      <c r="F473" s="94"/>
      <c r="G473" s="95" t="s">
        <v>228</v>
      </c>
      <c r="H473" s="9"/>
    </row>
    <row r="474" spans="2:8" ht="15" hidden="1" customHeight="1" x14ac:dyDescent="0.35">
      <c r="B474" s="8"/>
      <c r="C474" s="87" t="s">
        <v>56</v>
      </c>
      <c r="D474" s="94"/>
      <c r="E474" s="94"/>
      <c r="F474" s="94"/>
      <c r="G474" s="95" t="s">
        <v>229</v>
      </c>
      <c r="H474" s="9"/>
    </row>
    <row r="475" spans="2:8" ht="15" hidden="1" customHeight="1" x14ac:dyDescent="0.35">
      <c r="B475" s="8"/>
      <c r="C475" s="87" t="s">
        <v>57</v>
      </c>
      <c r="D475" s="94"/>
      <c r="E475" s="94"/>
      <c r="F475" s="94"/>
      <c r="G475" s="95" t="s">
        <v>230</v>
      </c>
      <c r="H475" s="9"/>
    </row>
    <row r="476" spans="2:8" ht="15" hidden="1" customHeight="1" x14ac:dyDescent="0.35">
      <c r="B476" s="8"/>
      <c r="C476" s="87" t="s">
        <v>58</v>
      </c>
      <c r="D476" s="94"/>
      <c r="E476" s="94"/>
      <c r="F476" s="94"/>
      <c r="G476" s="95" t="s">
        <v>231</v>
      </c>
      <c r="H476" s="9"/>
    </row>
    <row r="477" spans="2:8" ht="15" hidden="1" customHeight="1" x14ac:dyDescent="0.35">
      <c r="B477" s="8"/>
      <c r="C477" s="87" t="s">
        <v>59</v>
      </c>
      <c r="D477" s="94"/>
      <c r="E477" s="94"/>
      <c r="F477" s="94"/>
      <c r="G477" s="95" t="s">
        <v>232</v>
      </c>
      <c r="H477" s="9"/>
    </row>
    <row r="478" spans="2:8" ht="15" hidden="1" customHeight="1" x14ac:dyDescent="0.25">
      <c r="B478" s="8"/>
      <c r="C478" s="86"/>
      <c r="D478" s="86"/>
      <c r="E478" s="86"/>
      <c r="F478" s="86"/>
      <c r="G478" s="86"/>
      <c r="H478" s="9"/>
    </row>
    <row r="479" spans="2:8" ht="15" hidden="1" customHeight="1" x14ac:dyDescent="0.25">
      <c r="B479" s="8"/>
      <c r="C479" s="86" t="s">
        <v>65</v>
      </c>
      <c r="D479" s="86"/>
      <c r="E479" s="86"/>
      <c r="F479" s="86"/>
      <c r="G479" s="86"/>
      <c r="H479" s="9"/>
    </row>
    <row r="480" spans="2:8" ht="15" hidden="1" customHeight="1" x14ac:dyDescent="0.25">
      <c r="B480" s="8"/>
      <c r="C480" s="91" t="s">
        <v>76</v>
      </c>
      <c r="D480" s="93" t="str">
        <f>IF(I.Product.P5Year1="","Baseline year 1",I.Product.P5Year1)</f>
        <v>Baseline year 1</v>
      </c>
      <c r="E480" s="93" t="str">
        <f>IF(I.Product.P5Year1="","Baseline year 2",I.Product.P5Year1+1)</f>
        <v>Baseline year 2</v>
      </c>
      <c r="F480" s="93" t="str">
        <f>IF(I.Product.P5Status="Yes","",IF(I.Product.P5Year1="","Baseline year 3",I.Product.P5Year1+2))</f>
        <v>Baseline year 3</v>
      </c>
      <c r="G480" s="90" t="s">
        <v>17</v>
      </c>
      <c r="H480" s="9"/>
    </row>
    <row r="481" spans="2:8" ht="15" hidden="1" customHeight="1" x14ac:dyDescent="0.35">
      <c r="B481" s="8"/>
      <c r="C481" s="87" t="s">
        <v>36</v>
      </c>
      <c r="D481" s="94"/>
      <c r="E481" s="94"/>
      <c r="F481" s="94"/>
      <c r="G481" s="95" t="s">
        <v>209</v>
      </c>
      <c r="H481" s="9"/>
    </row>
    <row r="482" spans="2:8" ht="15" hidden="1" customHeight="1" x14ac:dyDescent="0.35">
      <c r="B482" s="8"/>
      <c r="C482" s="87" t="s">
        <v>37</v>
      </c>
      <c r="D482" s="94"/>
      <c r="E482" s="94"/>
      <c r="F482" s="94"/>
      <c r="G482" s="95" t="s">
        <v>210</v>
      </c>
      <c r="H482" s="9"/>
    </row>
    <row r="483" spans="2:8" ht="15" hidden="1" customHeight="1" x14ac:dyDescent="0.35">
      <c r="B483" s="8"/>
      <c r="C483" s="87" t="s">
        <v>38</v>
      </c>
      <c r="D483" s="94"/>
      <c r="E483" s="94"/>
      <c r="F483" s="94"/>
      <c r="G483" s="95" t="s">
        <v>211</v>
      </c>
      <c r="H483" s="9"/>
    </row>
    <row r="484" spans="2:8" ht="15" hidden="1" customHeight="1" x14ac:dyDescent="0.25">
      <c r="B484" s="8"/>
      <c r="C484" s="86"/>
      <c r="D484" s="86"/>
      <c r="E484" s="86"/>
      <c r="F484" s="86"/>
      <c r="G484" s="86"/>
      <c r="H484" s="9"/>
    </row>
    <row r="485" spans="2:8" ht="15" hidden="1" customHeight="1" x14ac:dyDescent="0.25">
      <c r="B485" s="8"/>
      <c r="C485" s="86" t="s">
        <v>66</v>
      </c>
      <c r="D485" s="86"/>
      <c r="E485" s="86"/>
      <c r="F485" s="86"/>
      <c r="G485" s="86"/>
      <c r="H485" s="9"/>
    </row>
    <row r="486" spans="2:8" ht="15" hidden="1" customHeight="1" x14ac:dyDescent="0.25">
      <c r="B486" s="8"/>
      <c r="C486" s="91" t="s">
        <v>76</v>
      </c>
      <c r="D486" s="93" t="str">
        <f>IF(I.Product.P5Year1="","Baseline year 1",I.Product.P5Year1)</f>
        <v>Baseline year 1</v>
      </c>
      <c r="E486" s="93" t="str">
        <f>IF(I.Product.P5Year1="","Baseline year 2",I.Product.P5Year1+1)</f>
        <v>Baseline year 2</v>
      </c>
      <c r="F486" s="93" t="str">
        <f>IF(I.Product.P5Status="Yes","",IF(I.Product.P5Year1="","Baseline year 3",I.Product.P5Year1+2))</f>
        <v>Baseline year 3</v>
      </c>
      <c r="G486" s="90" t="s">
        <v>17</v>
      </c>
      <c r="H486" s="9"/>
    </row>
    <row r="487" spans="2:8" ht="15" hidden="1" customHeight="1" x14ac:dyDescent="0.35">
      <c r="B487" s="8"/>
      <c r="C487" s="87" t="s">
        <v>36</v>
      </c>
      <c r="D487" s="94"/>
      <c r="E487" s="94"/>
      <c r="F487" s="94"/>
      <c r="G487" s="95" t="s">
        <v>209</v>
      </c>
      <c r="H487" s="9"/>
    </row>
    <row r="488" spans="2:8" ht="15" hidden="1" customHeight="1" x14ac:dyDescent="0.35">
      <c r="B488" s="8"/>
      <c r="C488" s="87" t="s">
        <v>37</v>
      </c>
      <c r="D488" s="94"/>
      <c r="E488" s="94"/>
      <c r="F488" s="94"/>
      <c r="G488" s="95" t="s">
        <v>210</v>
      </c>
      <c r="H488" s="9"/>
    </row>
    <row r="489" spans="2:8" ht="15" hidden="1" customHeight="1" x14ac:dyDescent="0.35">
      <c r="B489" s="8"/>
      <c r="C489" s="87" t="s">
        <v>38</v>
      </c>
      <c r="D489" s="94"/>
      <c r="E489" s="94"/>
      <c r="F489" s="94"/>
      <c r="G489" s="95" t="s">
        <v>211</v>
      </c>
      <c r="H489" s="9"/>
    </row>
    <row r="490" spans="2:8" ht="15" hidden="1" customHeight="1" x14ac:dyDescent="0.25">
      <c r="B490" s="8"/>
      <c r="C490" s="86"/>
      <c r="D490" s="86"/>
      <c r="E490" s="86"/>
      <c r="F490" s="86"/>
      <c r="G490" s="86"/>
      <c r="H490" s="9"/>
    </row>
    <row r="491" spans="2:8" ht="15" hidden="1" customHeight="1" x14ac:dyDescent="0.25">
      <c r="B491" s="8"/>
      <c r="C491" s="86" t="s">
        <v>67</v>
      </c>
      <c r="D491" s="86"/>
      <c r="E491" s="86"/>
      <c r="F491" s="86"/>
      <c r="G491" s="86"/>
      <c r="H491" s="9"/>
    </row>
    <row r="492" spans="2:8" ht="15" hidden="1" customHeight="1" x14ac:dyDescent="0.25">
      <c r="B492" s="8"/>
      <c r="C492" s="91" t="s">
        <v>76</v>
      </c>
      <c r="D492" s="93" t="str">
        <f>IF(I.Product.P5Year1="","Baseline year 1",I.Product.P5Year1)</f>
        <v>Baseline year 1</v>
      </c>
      <c r="E492" s="93" t="str">
        <f>IF(I.Product.P5Year1="","Baseline year 2",I.Product.P5Year1+1)</f>
        <v>Baseline year 2</v>
      </c>
      <c r="F492" s="93" t="str">
        <f>IF(I.Product.P5Status="Yes","",IF(I.Product.P5Year1="","Baseline year 3",I.Product.P5Year1+2))</f>
        <v>Baseline year 3</v>
      </c>
      <c r="G492" s="90" t="s">
        <v>17</v>
      </c>
      <c r="H492" s="9"/>
    </row>
    <row r="493" spans="2:8" ht="15" hidden="1" customHeight="1" x14ac:dyDescent="0.35">
      <c r="B493" s="8"/>
      <c r="C493" s="87" t="s">
        <v>36</v>
      </c>
      <c r="D493" s="94"/>
      <c r="E493" s="94"/>
      <c r="F493" s="94"/>
      <c r="G493" s="95" t="s">
        <v>209</v>
      </c>
      <c r="H493" s="9"/>
    </row>
    <row r="494" spans="2:8" ht="15" hidden="1" customHeight="1" x14ac:dyDescent="0.35">
      <c r="B494" s="8"/>
      <c r="C494" s="87" t="s">
        <v>37</v>
      </c>
      <c r="D494" s="94"/>
      <c r="E494" s="94"/>
      <c r="F494" s="94"/>
      <c r="G494" s="95" t="s">
        <v>210</v>
      </c>
      <c r="H494" s="9"/>
    </row>
    <row r="495" spans="2:8" ht="15" hidden="1" customHeight="1" x14ac:dyDescent="0.35">
      <c r="B495" s="8"/>
      <c r="C495" s="87" t="s">
        <v>38</v>
      </c>
      <c r="D495" s="94"/>
      <c r="E495" s="94"/>
      <c r="F495" s="94"/>
      <c r="G495" s="95" t="s">
        <v>211</v>
      </c>
      <c r="H495" s="9"/>
    </row>
    <row r="496" spans="2:8" ht="15" hidden="1" customHeight="1" x14ac:dyDescent="0.25">
      <c r="B496" s="8"/>
      <c r="C496" s="86"/>
      <c r="D496" s="86"/>
      <c r="E496" s="86"/>
      <c r="F496" s="86"/>
      <c r="G496" s="86"/>
      <c r="H496" s="9"/>
    </row>
    <row r="497" spans="2:8" ht="15" hidden="1" customHeight="1" x14ac:dyDescent="0.25">
      <c r="B497" s="8"/>
      <c r="C497" s="86" t="s">
        <v>68</v>
      </c>
      <c r="D497" s="86"/>
      <c r="E497" s="86"/>
      <c r="F497" s="86"/>
      <c r="G497" s="86"/>
      <c r="H497" s="9"/>
    </row>
    <row r="498" spans="2:8" ht="15" hidden="1" customHeight="1" x14ac:dyDescent="0.25">
      <c r="B498" s="8"/>
      <c r="C498" s="91" t="s">
        <v>76</v>
      </c>
      <c r="D498" s="93" t="str">
        <f>IF(I.Product.P5Year1="","Baseline year 1",I.Product.P5Year1)</f>
        <v>Baseline year 1</v>
      </c>
      <c r="E498" s="93" t="str">
        <f>IF(I.Product.P5Year1="","Baseline year 2",I.Product.P5Year1+1)</f>
        <v>Baseline year 2</v>
      </c>
      <c r="F498" s="93" t="str">
        <f>IF(I.Product.P5Status="Yes","",IF(I.Product.P5Year1="","Baseline year 3",I.Product.P5Year1+2))</f>
        <v>Baseline year 3</v>
      </c>
      <c r="G498" s="90" t="s">
        <v>17</v>
      </c>
      <c r="H498" s="9"/>
    </row>
    <row r="499" spans="2:8" ht="15" hidden="1" customHeight="1" x14ac:dyDescent="0.35">
      <c r="B499" s="8"/>
      <c r="C499" s="87" t="s">
        <v>36</v>
      </c>
      <c r="D499" s="94"/>
      <c r="E499" s="94"/>
      <c r="F499" s="94"/>
      <c r="G499" s="95" t="s">
        <v>209</v>
      </c>
      <c r="H499" s="9"/>
    </row>
    <row r="500" spans="2:8" ht="15" hidden="1" customHeight="1" x14ac:dyDescent="0.35">
      <c r="B500" s="8"/>
      <c r="C500" s="87" t="s">
        <v>37</v>
      </c>
      <c r="D500" s="94"/>
      <c r="E500" s="94"/>
      <c r="F500" s="94"/>
      <c r="G500" s="95" t="s">
        <v>210</v>
      </c>
      <c r="H500" s="9"/>
    </row>
    <row r="501" spans="2:8" ht="15" hidden="1" customHeight="1" x14ac:dyDescent="0.35">
      <c r="B501" s="8"/>
      <c r="C501" s="87" t="s">
        <v>38</v>
      </c>
      <c r="D501" s="94"/>
      <c r="E501" s="94"/>
      <c r="F501" s="94"/>
      <c r="G501" s="95" t="s">
        <v>211</v>
      </c>
      <c r="H501" s="9"/>
    </row>
    <row r="502" spans="2:8" ht="15" hidden="1" customHeight="1" x14ac:dyDescent="0.25">
      <c r="B502" s="8"/>
      <c r="C502" s="86"/>
      <c r="D502" s="86"/>
      <c r="E502" s="86"/>
      <c r="F502" s="86"/>
      <c r="G502" s="86"/>
      <c r="H502" s="9"/>
    </row>
    <row r="503" spans="2:8" ht="15" hidden="1" customHeight="1" x14ac:dyDescent="0.25">
      <c r="B503" s="8"/>
      <c r="C503" s="86" t="s">
        <v>69</v>
      </c>
      <c r="D503" s="86"/>
      <c r="E503" s="86"/>
      <c r="F503" s="86"/>
      <c r="G503" s="86"/>
      <c r="H503" s="9"/>
    </row>
    <row r="504" spans="2:8" ht="15" hidden="1" customHeight="1" x14ac:dyDescent="0.25">
      <c r="B504" s="8"/>
      <c r="C504" s="91" t="s">
        <v>76</v>
      </c>
      <c r="D504" s="93" t="str">
        <f>IF(I.Product.P5Year1="","Baseline year 1",I.Product.P5Year1)</f>
        <v>Baseline year 1</v>
      </c>
      <c r="E504" s="93" t="str">
        <f>IF(I.Product.P5Year1="","Baseline year 2",I.Product.P5Year1+1)</f>
        <v>Baseline year 2</v>
      </c>
      <c r="F504" s="93" t="str">
        <f>IF(I.Product.P5Status="Yes","",IF(I.Product.P5Year1="","Baseline year 3",I.Product.P5Year1+2))</f>
        <v>Baseline year 3</v>
      </c>
      <c r="G504" s="90" t="s">
        <v>17</v>
      </c>
      <c r="H504" s="9"/>
    </row>
    <row r="505" spans="2:8" ht="15" hidden="1" customHeight="1" x14ac:dyDescent="0.35">
      <c r="B505" s="8"/>
      <c r="C505" s="87" t="s">
        <v>36</v>
      </c>
      <c r="D505" s="94"/>
      <c r="E505" s="94"/>
      <c r="F505" s="94"/>
      <c r="G505" s="95" t="s">
        <v>209</v>
      </c>
      <c r="H505" s="9"/>
    </row>
    <row r="506" spans="2:8" ht="15" hidden="1" customHeight="1" x14ac:dyDescent="0.35">
      <c r="B506" s="8"/>
      <c r="C506" s="87" t="s">
        <v>37</v>
      </c>
      <c r="D506" s="94"/>
      <c r="E506" s="94"/>
      <c r="F506" s="94"/>
      <c r="G506" s="95" t="s">
        <v>210</v>
      </c>
      <c r="H506" s="9"/>
    </row>
    <row r="507" spans="2:8" ht="15" hidden="1" customHeight="1" x14ac:dyDescent="0.35">
      <c r="B507" s="8"/>
      <c r="C507" s="87" t="s">
        <v>38</v>
      </c>
      <c r="D507" s="94"/>
      <c r="E507" s="94"/>
      <c r="F507" s="94"/>
      <c r="G507" s="95" t="s">
        <v>211</v>
      </c>
      <c r="H507" s="9"/>
    </row>
    <row r="508" spans="2:8" ht="15" hidden="1" customHeight="1" x14ac:dyDescent="0.25">
      <c r="B508" s="8"/>
      <c r="C508" s="86"/>
      <c r="D508" s="86"/>
      <c r="E508" s="86"/>
      <c r="F508" s="86"/>
      <c r="G508" s="86"/>
      <c r="H508" s="9"/>
    </row>
    <row r="509" spans="2:8" ht="15" hidden="1" customHeight="1" x14ac:dyDescent="0.25">
      <c r="B509" s="8"/>
      <c r="C509" s="86" t="s">
        <v>70</v>
      </c>
      <c r="D509" s="86"/>
      <c r="E509" s="86"/>
      <c r="F509" s="86"/>
      <c r="G509" s="86"/>
      <c r="H509" s="9"/>
    </row>
    <row r="510" spans="2:8" ht="15" hidden="1" customHeight="1" x14ac:dyDescent="0.25">
      <c r="B510" s="8"/>
      <c r="C510" s="91" t="s">
        <v>76</v>
      </c>
      <c r="D510" s="93" t="str">
        <f>IF(I.Product.P5Year1="","Baseline year 1",I.Product.P5Year1)</f>
        <v>Baseline year 1</v>
      </c>
      <c r="E510" s="93" t="str">
        <f>IF(I.Product.P5Year1="","Baseline year 2",I.Product.P5Year1+1)</f>
        <v>Baseline year 2</v>
      </c>
      <c r="F510" s="93" t="str">
        <f>IF(I.Product.P5Status="Yes","",IF(I.Product.P5Year1="","Baseline year 3",I.Product.P5Year1+2))</f>
        <v>Baseline year 3</v>
      </c>
      <c r="G510" s="90" t="s">
        <v>17</v>
      </c>
      <c r="H510" s="9"/>
    </row>
    <row r="511" spans="2:8" ht="15" hidden="1" customHeight="1" x14ac:dyDescent="0.35">
      <c r="B511" s="8"/>
      <c r="C511" s="87" t="s">
        <v>36</v>
      </c>
      <c r="D511" s="94"/>
      <c r="E511" s="94"/>
      <c r="F511" s="94"/>
      <c r="G511" s="95" t="s">
        <v>209</v>
      </c>
      <c r="H511" s="9"/>
    </row>
    <row r="512" spans="2:8" ht="15" hidden="1" customHeight="1" x14ac:dyDescent="0.35">
      <c r="B512" s="8"/>
      <c r="C512" s="87" t="s">
        <v>37</v>
      </c>
      <c r="D512" s="94"/>
      <c r="E512" s="94"/>
      <c r="F512" s="94"/>
      <c r="G512" s="95" t="s">
        <v>210</v>
      </c>
      <c r="H512" s="9"/>
    </row>
    <row r="513" spans="2:8" ht="15" hidden="1" customHeight="1" x14ac:dyDescent="0.35">
      <c r="B513" s="8"/>
      <c r="C513" s="87" t="s">
        <v>38</v>
      </c>
      <c r="D513" s="94"/>
      <c r="E513" s="94"/>
      <c r="F513" s="94"/>
      <c r="G513" s="95" t="s">
        <v>211</v>
      </c>
      <c r="H513" s="9"/>
    </row>
    <row r="514" spans="2:8" ht="15" hidden="1" customHeight="1" x14ac:dyDescent="0.25">
      <c r="B514" s="8"/>
      <c r="C514" s="86"/>
      <c r="D514" s="86"/>
      <c r="E514" s="86"/>
      <c r="F514" s="86"/>
      <c r="G514" s="86"/>
      <c r="H514" s="9"/>
    </row>
    <row r="515" spans="2:8" ht="15" customHeight="1" x14ac:dyDescent="0.25">
      <c r="B515" s="8"/>
      <c r="C515" s="89"/>
      <c r="D515" s="86"/>
      <c r="E515" s="86"/>
      <c r="F515" s="86"/>
      <c r="G515" s="86"/>
      <c r="H515" s="9"/>
    </row>
    <row r="516" spans="2:8" ht="15" customHeight="1" x14ac:dyDescent="0.25">
      <c r="B516" s="8"/>
      <c r="C516" s="86"/>
      <c r="D516" s="86"/>
      <c r="E516" s="86"/>
      <c r="F516" s="86"/>
      <c r="G516" s="86"/>
      <c r="H516" s="9"/>
    </row>
    <row r="517" spans="2:8" ht="15" customHeight="1" x14ac:dyDescent="0.25">
      <c r="B517" s="10"/>
      <c r="C517" s="20">
        <f>R.Instructions.VersionNumber</f>
        <v>3.01</v>
      </c>
      <c r="D517" s="11"/>
      <c r="E517" s="11"/>
      <c r="F517" s="11"/>
      <c r="G517" s="12">
        <f>R.Instructions.VersionDate</f>
        <v>45329</v>
      </c>
      <c r="H517" s="13"/>
    </row>
    <row r="519" spans="2:8" ht="15" customHeight="1" x14ac:dyDescent="0.25">
      <c r="C519" s="110" t="str">
        <f>IFERROR(VLOOKUP("Incomplete",Developer!H553:I1562,2,FALSE),"Sheet complete.")</f>
        <v>Enter the production amount for product 1 in baseline year 1.</v>
      </c>
      <c r="D519" s="110"/>
      <c r="E519" s="110"/>
      <c r="F519" s="110"/>
      <c r="G519" s="110"/>
    </row>
    <row r="520" spans="2:8" ht="15" customHeight="1" x14ac:dyDescent="0.25">
      <c r="C520" s="110"/>
      <c r="D520" s="110"/>
      <c r="E520" s="110"/>
      <c r="F520" s="110"/>
      <c r="G520" s="110"/>
    </row>
    <row r="521" spans="2:8" ht="15" customHeight="1" x14ac:dyDescent="0.25">
      <c r="C521" s="110"/>
      <c r="D521" s="110"/>
      <c r="E521" s="110"/>
      <c r="F521" s="110"/>
      <c r="G521" s="110"/>
    </row>
  </sheetData>
  <sheetProtection algorithmName="SHA-512" hashValue="2yYxXvdWfMEiJ1fwiCcw9wZKlgKaOQB2+LFuS/w4LlZIs83OFMg9GK6Og+hK2uEA+vqWBFScMB6NKPWfq7uA9Q==" saltValue="BCxJD3DoaDVehao5mqGr/Q==" spinCount="100000" sheet="1" objects="1" scenarios="1" selectLockedCells="1"/>
  <mergeCells count="12">
    <mergeCell ref="C4:G4"/>
    <mergeCell ref="C5:G5"/>
    <mergeCell ref="C519:G521"/>
    <mergeCell ref="C107:G107"/>
    <mergeCell ref="C311:G311"/>
    <mergeCell ref="C209:G209"/>
    <mergeCell ref="C413:G413"/>
    <mergeCell ref="C8:D8"/>
    <mergeCell ref="C110:D110"/>
    <mergeCell ref="C212:D212"/>
    <mergeCell ref="C314:D314"/>
    <mergeCell ref="C416:D416"/>
  </mergeCells>
  <conditionalFormatting sqref="C519">
    <cfRule type="cellIs" dxfId="3" priority="1" stopIfTrue="1" operator="equal">
      <formula>"Sheet complete."</formula>
    </cfRule>
  </conditionalFormatting>
  <printOptions horizontalCentered="1"/>
  <pageMargins left="0.25" right="0.25" top="0.25" bottom="0.25" header="0" footer="0"/>
  <pageSetup scale="8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8A65E-D48D-4593-A9DB-00AF7EDBBDFD}">
  <sheetPr codeName="Sheet5">
    <tabColor rgb="FF046A38"/>
    <pageSetUpPr fitToPage="1"/>
  </sheetPr>
  <dimension ref="B1:H504"/>
  <sheetViews>
    <sheetView showGridLines="0" showRowColHeaders="0" zoomScaleNormal="100" workbookViewId="0">
      <selection activeCell="D15" sqref="D15"/>
    </sheetView>
  </sheetViews>
  <sheetFormatPr defaultColWidth="9.140625" defaultRowHeight="15" customHeight="1" x14ac:dyDescent="0.25"/>
  <cols>
    <col min="1" max="2" width="5.7109375" customWidth="1"/>
    <col min="3" max="3" width="26.28515625" customWidth="1"/>
    <col min="4" max="6" width="18.7109375" customWidth="1"/>
    <col min="7" max="7" width="24.7109375" customWidth="1"/>
    <col min="8" max="8" width="5.7109375" customWidth="1"/>
  </cols>
  <sheetData>
    <row r="1" spans="2:8" ht="24.95" customHeight="1" x14ac:dyDescent="0.25"/>
    <row r="2" spans="2:8" ht="24.95" customHeight="1" x14ac:dyDescent="0.25"/>
    <row r="3" spans="2:8" ht="24.95" customHeight="1" x14ac:dyDescent="0.25"/>
    <row r="4" spans="2:8" ht="24.95" customHeight="1" x14ac:dyDescent="0.25">
      <c r="B4" s="6"/>
      <c r="C4" s="111" t="s">
        <v>92</v>
      </c>
      <c r="D4" s="111"/>
      <c r="E4" s="111"/>
      <c r="F4" s="111"/>
      <c r="G4" s="111"/>
      <c r="H4" s="7"/>
    </row>
    <row r="5" spans="2:8" ht="15" customHeight="1" x14ac:dyDescent="0.25">
      <c r="B5" s="8"/>
      <c r="C5" s="86"/>
      <c r="D5" s="86"/>
      <c r="E5" s="86"/>
      <c r="F5" s="86"/>
      <c r="G5" s="86"/>
      <c r="H5" s="9"/>
    </row>
    <row r="6" spans="2:8" ht="15" customHeight="1" x14ac:dyDescent="0.25">
      <c r="B6" s="8"/>
      <c r="C6" s="107" t="s">
        <v>2983</v>
      </c>
      <c r="D6" s="102"/>
      <c r="E6" s="102"/>
      <c r="F6" s="102"/>
      <c r="G6" s="102"/>
      <c r="H6" s="9"/>
    </row>
    <row r="7" spans="2:8" ht="15" customHeight="1" x14ac:dyDescent="0.25">
      <c r="B7" s="8"/>
      <c r="C7" s="103"/>
      <c r="D7" s="103"/>
      <c r="E7" s="103"/>
      <c r="F7" s="103"/>
      <c r="G7" s="103"/>
      <c r="H7" s="9"/>
    </row>
    <row r="8" spans="2:8" ht="20.100000000000001" hidden="1" customHeight="1" x14ac:dyDescent="0.25">
      <c r="B8" s="18"/>
      <c r="C8" s="104" t="s">
        <v>7</v>
      </c>
      <c r="D8" s="104"/>
      <c r="E8" s="104"/>
      <c r="F8" s="104"/>
      <c r="G8" s="104"/>
      <c r="H8" s="19"/>
    </row>
    <row r="9" spans="2:8" ht="15" hidden="1" customHeight="1" x14ac:dyDescent="0.25">
      <c r="B9" s="8"/>
      <c r="C9" s="86"/>
      <c r="D9" s="86"/>
      <c r="E9" s="86"/>
      <c r="F9" s="86"/>
      <c r="G9" s="86"/>
      <c r="H9" s="9"/>
    </row>
    <row r="10" spans="2:8" ht="15" hidden="1" customHeight="1" x14ac:dyDescent="0.25">
      <c r="B10" s="8"/>
      <c r="C10" s="86" t="s">
        <v>19</v>
      </c>
      <c r="D10" s="86"/>
      <c r="E10" s="86"/>
      <c r="F10" s="86"/>
      <c r="G10" s="86"/>
      <c r="H10" s="9"/>
    </row>
    <row r="11" spans="2:8" ht="15" hidden="1" customHeight="1" x14ac:dyDescent="0.25">
      <c r="B11" s="8"/>
      <c r="C11" s="118" t="str">
        <f>IF(I.Product.P1Name="","",I.Product.P1Name)</f>
        <v/>
      </c>
      <c r="D11" s="119"/>
      <c r="E11" s="86"/>
      <c r="F11" s="86"/>
      <c r="G11" s="86"/>
      <c r="H11" s="9"/>
    </row>
    <row r="12" spans="2:8" ht="15" hidden="1" customHeight="1" x14ac:dyDescent="0.25">
      <c r="B12" s="8"/>
      <c r="C12" s="86"/>
      <c r="D12" s="86"/>
      <c r="E12" s="86"/>
      <c r="F12" s="86"/>
      <c r="G12" s="86"/>
      <c r="H12" s="9"/>
    </row>
    <row r="13" spans="2:8" ht="15" hidden="1" customHeight="1" x14ac:dyDescent="0.25">
      <c r="B13" s="8"/>
      <c r="C13" s="86" t="s">
        <v>63</v>
      </c>
      <c r="D13" s="86"/>
      <c r="E13" s="86"/>
      <c r="F13" s="86"/>
      <c r="G13" s="86"/>
      <c r="H13" s="9"/>
    </row>
    <row r="14" spans="2:8" ht="15" hidden="1" customHeight="1" x14ac:dyDescent="0.25">
      <c r="B14" s="8"/>
      <c r="C14" s="91" t="s">
        <v>76</v>
      </c>
      <c r="D14" s="93" t="str">
        <f>IF(I.Product.P1Year1="","Baseline year 1",I.Product.P1Year1)</f>
        <v>Baseline year 1</v>
      </c>
      <c r="E14" s="93" t="str">
        <f>IF(I.Product.P1Year1="","Baseline year 2",I.Product.P1Year1+1)</f>
        <v>Baseline year 2</v>
      </c>
      <c r="F14" s="93" t="str">
        <f>IF(I.Product.P1Status&lt;&gt;"No","",IF(I.Product.P1Year1="","Baseline year 3",I.Product.P1Year1+2))</f>
        <v/>
      </c>
      <c r="G14" s="90" t="s">
        <v>17</v>
      </c>
      <c r="H14" s="9"/>
    </row>
    <row r="15" spans="2:8" ht="15" hidden="1" customHeight="1" x14ac:dyDescent="0.35">
      <c r="B15" s="8"/>
      <c r="C15" s="87" t="s">
        <v>36</v>
      </c>
      <c r="D15" s="94"/>
      <c r="E15" s="94"/>
      <c r="F15" s="94"/>
      <c r="G15" s="95" t="s">
        <v>209</v>
      </c>
      <c r="H15" s="9"/>
    </row>
    <row r="16" spans="2:8" ht="15" hidden="1" customHeight="1" x14ac:dyDescent="0.35">
      <c r="B16" s="8"/>
      <c r="C16" s="87" t="s">
        <v>37</v>
      </c>
      <c r="D16" s="94"/>
      <c r="E16" s="94"/>
      <c r="F16" s="94"/>
      <c r="G16" s="95" t="s">
        <v>210</v>
      </c>
      <c r="H16" s="9"/>
    </row>
    <row r="17" spans="2:8" ht="15" hidden="1" customHeight="1" x14ac:dyDescent="0.35">
      <c r="B17" s="8"/>
      <c r="C17" s="87" t="s">
        <v>38</v>
      </c>
      <c r="D17" s="94"/>
      <c r="E17" s="94"/>
      <c r="F17" s="94"/>
      <c r="G17" s="95" t="s">
        <v>211</v>
      </c>
      <c r="H17" s="9"/>
    </row>
    <row r="18" spans="2:8" ht="15" hidden="1" customHeight="1" x14ac:dyDescent="0.25">
      <c r="B18" s="8"/>
      <c r="C18" s="86"/>
      <c r="D18" s="86"/>
      <c r="E18" s="86"/>
      <c r="F18" s="86"/>
      <c r="G18" s="86"/>
      <c r="H18" s="9"/>
    </row>
    <row r="19" spans="2:8" ht="15" hidden="1" customHeight="1" x14ac:dyDescent="0.25">
      <c r="B19" s="8"/>
      <c r="C19" s="86" t="s">
        <v>24</v>
      </c>
      <c r="D19" s="86"/>
      <c r="E19" s="86"/>
      <c r="F19" s="86"/>
      <c r="G19" s="86"/>
      <c r="H19" s="9"/>
    </row>
    <row r="20" spans="2:8" ht="15" hidden="1" customHeight="1" x14ac:dyDescent="0.25">
      <c r="B20" s="8"/>
      <c r="C20" s="91" t="s">
        <v>76</v>
      </c>
      <c r="D20" s="93" t="str">
        <f>IF(I.Product.P1Year1="","Baseline year 1",I.Product.P1Year1)</f>
        <v>Baseline year 1</v>
      </c>
      <c r="E20" s="93" t="str">
        <f>IF(I.Product.P1Year1="","Baseline year 2",I.Product.P1Year1+1)</f>
        <v>Baseline year 2</v>
      </c>
      <c r="F20" s="93" t="str">
        <f>IF(I.Product.P1Status&lt;&gt;"No","",IF(I.Product.P1Year1="","Baseline year 3",I.Product.P1Year1+2))</f>
        <v/>
      </c>
      <c r="G20" s="90" t="s">
        <v>17</v>
      </c>
      <c r="H20" s="9"/>
    </row>
    <row r="21" spans="2:8" ht="15" hidden="1" customHeight="1" x14ac:dyDescent="0.35">
      <c r="B21" s="8"/>
      <c r="C21" s="87" t="s">
        <v>36</v>
      </c>
      <c r="D21" s="94"/>
      <c r="E21" s="94"/>
      <c r="F21" s="94"/>
      <c r="G21" s="95" t="s">
        <v>209</v>
      </c>
      <c r="H21" s="9"/>
    </row>
    <row r="22" spans="2:8" ht="15" hidden="1" customHeight="1" x14ac:dyDescent="0.35">
      <c r="B22" s="8"/>
      <c r="C22" s="87" t="s">
        <v>37</v>
      </c>
      <c r="D22" s="94"/>
      <c r="E22" s="94"/>
      <c r="F22" s="94"/>
      <c r="G22" s="95" t="s">
        <v>210</v>
      </c>
      <c r="H22" s="9"/>
    </row>
    <row r="23" spans="2:8" ht="15" hidden="1" customHeight="1" x14ac:dyDescent="0.35">
      <c r="B23" s="8"/>
      <c r="C23" s="87" t="s">
        <v>38</v>
      </c>
      <c r="D23" s="94"/>
      <c r="E23" s="94"/>
      <c r="F23" s="94"/>
      <c r="G23" s="95" t="s">
        <v>211</v>
      </c>
      <c r="H23" s="9"/>
    </row>
    <row r="24" spans="2:8" ht="15" hidden="1" customHeight="1" x14ac:dyDescent="0.35">
      <c r="B24" s="8"/>
      <c r="C24" s="87" t="s">
        <v>39</v>
      </c>
      <c r="D24" s="94"/>
      <c r="E24" s="94"/>
      <c r="F24" s="94"/>
      <c r="G24" s="95" t="s">
        <v>212</v>
      </c>
      <c r="H24" s="9"/>
    </row>
    <row r="25" spans="2:8" ht="15" hidden="1" customHeight="1" x14ac:dyDescent="0.35">
      <c r="B25" s="8"/>
      <c r="C25" s="87" t="s">
        <v>40</v>
      </c>
      <c r="D25" s="94"/>
      <c r="E25" s="94"/>
      <c r="F25" s="94"/>
      <c r="G25" s="95" t="s">
        <v>213</v>
      </c>
      <c r="H25" s="9"/>
    </row>
    <row r="26" spans="2:8" ht="15" hidden="1" customHeight="1" x14ac:dyDescent="0.35">
      <c r="B26" s="8"/>
      <c r="C26" s="87" t="s">
        <v>41</v>
      </c>
      <c r="D26" s="94"/>
      <c r="E26" s="94"/>
      <c r="F26" s="94"/>
      <c r="G26" s="95" t="s">
        <v>214</v>
      </c>
      <c r="H26" s="9"/>
    </row>
    <row r="27" spans="2:8" ht="15" hidden="1" customHeight="1" x14ac:dyDescent="0.35">
      <c r="B27" s="8"/>
      <c r="C27" s="87" t="s">
        <v>42</v>
      </c>
      <c r="D27" s="94"/>
      <c r="E27" s="94"/>
      <c r="F27" s="94"/>
      <c r="G27" s="95" t="s">
        <v>215</v>
      </c>
      <c r="H27" s="9"/>
    </row>
    <row r="28" spans="2:8" ht="15" hidden="1" customHeight="1" x14ac:dyDescent="0.35">
      <c r="B28" s="8"/>
      <c r="C28" s="87" t="s">
        <v>43</v>
      </c>
      <c r="D28" s="94"/>
      <c r="E28" s="94"/>
      <c r="F28" s="94"/>
      <c r="G28" s="95" t="s">
        <v>216</v>
      </c>
      <c r="H28" s="9"/>
    </row>
    <row r="29" spans="2:8" ht="15" hidden="1" customHeight="1" x14ac:dyDescent="0.35">
      <c r="B29" s="8"/>
      <c r="C29" s="87" t="s">
        <v>44</v>
      </c>
      <c r="D29" s="94"/>
      <c r="E29" s="94"/>
      <c r="F29" s="94"/>
      <c r="G29" s="95" t="s">
        <v>217</v>
      </c>
      <c r="H29" s="9"/>
    </row>
    <row r="30" spans="2:8" ht="15" hidden="1" customHeight="1" x14ac:dyDescent="0.35">
      <c r="B30" s="8"/>
      <c r="C30" s="87" t="s">
        <v>45</v>
      </c>
      <c r="D30" s="94"/>
      <c r="E30" s="94"/>
      <c r="F30" s="94"/>
      <c r="G30" s="95" t="s">
        <v>218</v>
      </c>
      <c r="H30" s="9"/>
    </row>
    <row r="31" spans="2:8" ht="15" hidden="1" customHeight="1" x14ac:dyDescent="0.35">
      <c r="B31" s="8"/>
      <c r="C31" s="87" t="s">
        <v>46</v>
      </c>
      <c r="D31" s="94"/>
      <c r="E31" s="94"/>
      <c r="F31" s="94"/>
      <c r="G31" s="95" t="s">
        <v>219</v>
      </c>
      <c r="H31" s="9"/>
    </row>
    <row r="32" spans="2:8" ht="15" hidden="1" customHeight="1" x14ac:dyDescent="0.35">
      <c r="B32" s="8"/>
      <c r="C32" s="87" t="s">
        <v>47</v>
      </c>
      <c r="D32" s="94"/>
      <c r="E32" s="94"/>
      <c r="F32" s="94"/>
      <c r="G32" s="95" t="s">
        <v>220</v>
      </c>
      <c r="H32" s="9"/>
    </row>
    <row r="33" spans="2:8" ht="15" hidden="1" customHeight="1" x14ac:dyDescent="0.35">
      <c r="B33" s="8"/>
      <c r="C33" s="87" t="s">
        <v>48</v>
      </c>
      <c r="D33" s="94"/>
      <c r="E33" s="94"/>
      <c r="F33" s="94"/>
      <c r="G33" s="95" t="s">
        <v>221</v>
      </c>
      <c r="H33" s="9"/>
    </row>
    <row r="34" spans="2:8" ht="15" hidden="1" customHeight="1" x14ac:dyDescent="0.35">
      <c r="B34" s="8"/>
      <c r="C34" s="87" t="s">
        <v>49</v>
      </c>
      <c r="D34" s="94"/>
      <c r="E34" s="94"/>
      <c r="F34" s="94"/>
      <c r="G34" s="95" t="s">
        <v>222</v>
      </c>
      <c r="H34" s="9"/>
    </row>
    <row r="35" spans="2:8" ht="15" hidden="1" customHeight="1" x14ac:dyDescent="0.35">
      <c r="B35" s="8"/>
      <c r="C35" s="87" t="s">
        <v>50</v>
      </c>
      <c r="D35" s="94"/>
      <c r="E35" s="94"/>
      <c r="F35" s="94"/>
      <c r="G35" s="95" t="s">
        <v>223</v>
      </c>
      <c r="H35" s="9"/>
    </row>
    <row r="36" spans="2:8" ht="15" hidden="1" customHeight="1" x14ac:dyDescent="0.35">
      <c r="B36" s="8"/>
      <c r="C36" s="87" t="s">
        <v>51</v>
      </c>
      <c r="D36" s="94"/>
      <c r="E36" s="94"/>
      <c r="F36" s="94"/>
      <c r="G36" s="95" t="s">
        <v>224</v>
      </c>
      <c r="H36" s="9"/>
    </row>
    <row r="37" spans="2:8" ht="15" hidden="1" customHeight="1" x14ac:dyDescent="0.35">
      <c r="B37" s="8"/>
      <c r="C37" s="87" t="s">
        <v>52</v>
      </c>
      <c r="D37" s="94"/>
      <c r="E37" s="94"/>
      <c r="F37" s="94"/>
      <c r="G37" s="95" t="s">
        <v>225</v>
      </c>
      <c r="H37" s="9"/>
    </row>
    <row r="38" spans="2:8" ht="15" hidden="1" customHeight="1" x14ac:dyDescent="0.35">
      <c r="B38" s="8"/>
      <c r="C38" s="87" t="s">
        <v>53</v>
      </c>
      <c r="D38" s="94"/>
      <c r="E38" s="94"/>
      <c r="F38" s="94"/>
      <c r="G38" s="95" t="s">
        <v>226</v>
      </c>
      <c r="H38" s="9"/>
    </row>
    <row r="39" spans="2:8" ht="15" hidden="1" customHeight="1" x14ac:dyDescent="0.35">
      <c r="B39" s="8"/>
      <c r="C39" s="87" t="s">
        <v>54</v>
      </c>
      <c r="D39" s="94"/>
      <c r="E39" s="94"/>
      <c r="F39" s="94"/>
      <c r="G39" s="95" t="s">
        <v>227</v>
      </c>
      <c r="H39" s="9"/>
    </row>
    <row r="40" spans="2:8" ht="15" hidden="1" customHeight="1" x14ac:dyDescent="0.35">
      <c r="B40" s="8"/>
      <c r="C40" s="87" t="s">
        <v>55</v>
      </c>
      <c r="D40" s="94"/>
      <c r="E40" s="94"/>
      <c r="F40" s="94"/>
      <c r="G40" s="95" t="s">
        <v>228</v>
      </c>
      <c r="H40" s="9"/>
    </row>
    <row r="41" spans="2:8" ht="15" hidden="1" customHeight="1" x14ac:dyDescent="0.35">
      <c r="B41" s="8"/>
      <c r="C41" s="87" t="s">
        <v>56</v>
      </c>
      <c r="D41" s="94"/>
      <c r="E41" s="94"/>
      <c r="F41" s="94"/>
      <c r="G41" s="95" t="s">
        <v>229</v>
      </c>
      <c r="H41" s="9"/>
    </row>
    <row r="42" spans="2:8" ht="15" hidden="1" customHeight="1" x14ac:dyDescent="0.35">
      <c r="B42" s="8"/>
      <c r="C42" s="87" t="s">
        <v>57</v>
      </c>
      <c r="D42" s="94"/>
      <c r="E42" s="94"/>
      <c r="F42" s="94"/>
      <c r="G42" s="95" t="s">
        <v>230</v>
      </c>
      <c r="H42" s="9"/>
    </row>
    <row r="43" spans="2:8" ht="15" hidden="1" customHeight="1" x14ac:dyDescent="0.35">
      <c r="B43" s="8"/>
      <c r="C43" s="87" t="s">
        <v>58</v>
      </c>
      <c r="D43" s="94"/>
      <c r="E43" s="94"/>
      <c r="F43" s="94"/>
      <c r="G43" s="95" t="s">
        <v>231</v>
      </c>
      <c r="H43" s="9"/>
    </row>
    <row r="44" spans="2:8" ht="15" hidden="1" customHeight="1" x14ac:dyDescent="0.35">
      <c r="B44" s="8"/>
      <c r="C44" s="87" t="s">
        <v>59</v>
      </c>
      <c r="D44" s="94"/>
      <c r="E44" s="94"/>
      <c r="F44" s="94"/>
      <c r="G44" s="95" t="s">
        <v>232</v>
      </c>
      <c r="H44" s="9"/>
    </row>
    <row r="45" spans="2:8" ht="15" hidden="1" customHeight="1" x14ac:dyDescent="0.25">
      <c r="B45" s="8"/>
      <c r="C45" s="86"/>
      <c r="D45" s="86"/>
      <c r="E45" s="86"/>
      <c r="F45" s="86"/>
      <c r="G45" s="86"/>
      <c r="H45" s="9"/>
    </row>
    <row r="46" spans="2:8" ht="15" hidden="1" customHeight="1" x14ac:dyDescent="0.25">
      <c r="B46" s="8"/>
      <c r="C46" s="86" t="s">
        <v>64</v>
      </c>
      <c r="D46" s="86"/>
      <c r="E46" s="86"/>
      <c r="F46" s="86"/>
      <c r="G46" s="86"/>
      <c r="H46" s="9"/>
    </row>
    <row r="47" spans="2:8" ht="15" hidden="1" customHeight="1" x14ac:dyDescent="0.25">
      <c r="B47" s="8"/>
      <c r="C47" s="91" t="s">
        <v>76</v>
      </c>
      <c r="D47" s="93" t="str">
        <f>IF(I.Product.P1Year1="","Baseline year 1",I.Product.P1Year1)</f>
        <v>Baseline year 1</v>
      </c>
      <c r="E47" s="93" t="str">
        <f>IF(I.Product.P1Year1="","Baseline year 2",I.Product.P1Year1+1)</f>
        <v>Baseline year 2</v>
      </c>
      <c r="F47" s="93" t="str">
        <f>IF(I.Product.P1Status&lt;&gt;"No","",IF(I.Product.P1Year1="","Baseline year 3",I.Product.P1Year1+2))</f>
        <v/>
      </c>
      <c r="G47" s="90" t="s">
        <v>17</v>
      </c>
      <c r="H47" s="9"/>
    </row>
    <row r="48" spans="2:8" ht="15" hidden="1" customHeight="1" x14ac:dyDescent="0.35">
      <c r="B48" s="8"/>
      <c r="C48" s="87" t="s">
        <v>39</v>
      </c>
      <c r="D48" s="94"/>
      <c r="E48" s="94"/>
      <c r="F48" s="94"/>
      <c r="G48" s="95" t="s">
        <v>212</v>
      </c>
      <c r="H48" s="9"/>
    </row>
    <row r="49" spans="2:8" ht="15" hidden="1" customHeight="1" x14ac:dyDescent="0.35">
      <c r="B49" s="8"/>
      <c r="C49" s="87" t="s">
        <v>40</v>
      </c>
      <c r="D49" s="94"/>
      <c r="E49" s="94"/>
      <c r="F49" s="94"/>
      <c r="G49" s="95" t="s">
        <v>213</v>
      </c>
      <c r="H49" s="9"/>
    </row>
    <row r="50" spans="2:8" ht="15" hidden="1" customHeight="1" x14ac:dyDescent="0.35">
      <c r="B50" s="8"/>
      <c r="C50" s="87" t="s">
        <v>41</v>
      </c>
      <c r="D50" s="94"/>
      <c r="E50" s="94"/>
      <c r="F50" s="94"/>
      <c r="G50" s="95" t="s">
        <v>214</v>
      </c>
      <c r="H50" s="9"/>
    </row>
    <row r="51" spans="2:8" ht="15" hidden="1" customHeight="1" x14ac:dyDescent="0.35">
      <c r="B51" s="8"/>
      <c r="C51" s="87" t="s">
        <v>42</v>
      </c>
      <c r="D51" s="94"/>
      <c r="E51" s="94"/>
      <c r="F51" s="94"/>
      <c r="G51" s="95" t="s">
        <v>215</v>
      </c>
      <c r="H51" s="9"/>
    </row>
    <row r="52" spans="2:8" ht="15" hidden="1" customHeight="1" x14ac:dyDescent="0.35">
      <c r="B52" s="8"/>
      <c r="C52" s="87" t="s">
        <v>43</v>
      </c>
      <c r="D52" s="94"/>
      <c r="E52" s="94"/>
      <c r="F52" s="94"/>
      <c r="G52" s="95" t="s">
        <v>216</v>
      </c>
      <c r="H52" s="9"/>
    </row>
    <row r="53" spans="2:8" ht="15" hidden="1" customHeight="1" x14ac:dyDescent="0.35">
      <c r="B53" s="8"/>
      <c r="C53" s="87" t="s">
        <v>44</v>
      </c>
      <c r="D53" s="94"/>
      <c r="E53" s="94"/>
      <c r="F53" s="94"/>
      <c r="G53" s="95" t="s">
        <v>217</v>
      </c>
      <c r="H53" s="9"/>
    </row>
    <row r="54" spans="2:8" ht="15" hidden="1" customHeight="1" x14ac:dyDescent="0.35">
      <c r="B54" s="8"/>
      <c r="C54" s="87" t="s">
        <v>45</v>
      </c>
      <c r="D54" s="94"/>
      <c r="E54" s="94"/>
      <c r="F54" s="94"/>
      <c r="G54" s="95" t="s">
        <v>218</v>
      </c>
      <c r="H54" s="9"/>
    </row>
    <row r="55" spans="2:8" ht="15" hidden="1" customHeight="1" x14ac:dyDescent="0.35">
      <c r="B55" s="8"/>
      <c r="C55" s="87" t="s">
        <v>46</v>
      </c>
      <c r="D55" s="94"/>
      <c r="E55" s="94"/>
      <c r="F55" s="94"/>
      <c r="G55" s="95" t="s">
        <v>219</v>
      </c>
      <c r="H55" s="9"/>
    </row>
    <row r="56" spans="2:8" ht="15" hidden="1" customHeight="1" x14ac:dyDescent="0.35">
      <c r="B56" s="8"/>
      <c r="C56" s="87" t="s">
        <v>47</v>
      </c>
      <c r="D56" s="94"/>
      <c r="E56" s="94"/>
      <c r="F56" s="94"/>
      <c r="G56" s="95" t="s">
        <v>220</v>
      </c>
      <c r="H56" s="9"/>
    </row>
    <row r="57" spans="2:8" ht="15" hidden="1" customHeight="1" x14ac:dyDescent="0.35">
      <c r="B57" s="8"/>
      <c r="C57" s="87" t="s">
        <v>48</v>
      </c>
      <c r="D57" s="94"/>
      <c r="E57" s="94"/>
      <c r="F57" s="94"/>
      <c r="G57" s="95" t="s">
        <v>221</v>
      </c>
      <c r="H57" s="9"/>
    </row>
    <row r="58" spans="2:8" ht="15" hidden="1" customHeight="1" x14ac:dyDescent="0.35">
      <c r="B58" s="8"/>
      <c r="C58" s="87" t="s">
        <v>49</v>
      </c>
      <c r="D58" s="94"/>
      <c r="E58" s="94"/>
      <c r="F58" s="94"/>
      <c r="G58" s="95" t="s">
        <v>222</v>
      </c>
      <c r="H58" s="9"/>
    </row>
    <row r="59" spans="2:8" ht="15" hidden="1" customHeight="1" x14ac:dyDescent="0.35">
      <c r="B59" s="8"/>
      <c r="C59" s="87" t="s">
        <v>50</v>
      </c>
      <c r="D59" s="94"/>
      <c r="E59" s="94"/>
      <c r="F59" s="94"/>
      <c r="G59" s="95" t="s">
        <v>223</v>
      </c>
      <c r="H59" s="9"/>
    </row>
    <row r="60" spans="2:8" ht="15" hidden="1" customHeight="1" x14ac:dyDescent="0.35">
      <c r="B60" s="8"/>
      <c r="C60" s="87" t="s">
        <v>51</v>
      </c>
      <c r="D60" s="94"/>
      <c r="E60" s="94"/>
      <c r="F60" s="94"/>
      <c r="G60" s="95" t="s">
        <v>224</v>
      </c>
      <c r="H60" s="9"/>
    </row>
    <row r="61" spans="2:8" ht="15" hidden="1" customHeight="1" x14ac:dyDescent="0.35">
      <c r="B61" s="8"/>
      <c r="C61" s="87" t="s">
        <v>52</v>
      </c>
      <c r="D61" s="94"/>
      <c r="E61" s="94"/>
      <c r="F61" s="94"/>
      <c r="G61" s="95" t="s">
        <v>225</v>
      </c>
      <c r="H61" s="9"/>
    </row>
    <row r="62" spans="2:8" ht="15" hidden="1" customHeight="1" x14ac:dyDescent="0.35">
      <c r="B62" s="8"/>
      <c r="C62" s="87" t="s">
        <v>53</v>
      </c>
      <c r="D62" s="94"/>
      <c r="E62" s="94"/>
      <c r="F62" s="94"/>
      <c r="G62" s="95" t="s">
        <v>226</v>
      </c>
      <c r="H62" s="9"/>
    </row>
    <row r="63" spans="2:8" ht="15" hidden="1" customHeight="1" x14ac:dyDescent="0.35">
      <c r="B63" s="8"/>
      <c r="C63" s="87" t="s">
        <v>54</v>
      </c>
      <c r="D63" s="94"/>
      <c r="E63" s="94"/>
      <c r="F63" s="94"/>
      <c r="G63" s="95" t="s">
        <v>227</v>
      </c>
      <c r="H63" s="9"/>
    </row>
    <row r="64" spans="2:8" ht="15" hidden="1" customHeight="1" x14ac:dyDescent="0.35">
      <c r="B64" s="8"/>
      <c r="C64" s="87" t="s">
        <v>55</v>
      </c>
      <c r="D64" s="94"/>
      <c r="E64" s="94"/>
      <c r="F64" s="94"/>
      <c r="G64" s="95" t="s">
        <v>228</v>
      </c>
      <c r="H64" s="9"/>
    </row>
    <row r="65" spans="2:8" ht="15" hidden="1" customHeight="1" x14ac:dyDescent="0.35">
      <c r="B65" s="8"/>
      <c r="C65" s="87" t="s">
        <v>56</v>
      </c>
      <c r="D65" s="94"/>
      <c r="E65" s="94"/>
      <c r="F65" s="94"/>
      <c r="G65" s="95" t="s">
        <v>229</v>
      </c>
      <c r="H65" s="9"/>
    </row>
    <row r="66" spans="2:8" ht="15" hidden="1" customHeight="1" x14ac:dyDescent="0.35">
      <c r="B66" s="8"/>
      <c r="C66" s="87" t="s">
        <v>57</v>
      </c>
      <c r="D66" s="94"/>
      <c r="E66" s="94"/>
      <c r="F66" s="94"/>
      <c r="G66" s="95" t="s">
        <v>230</v>
      </c>
      <c r="H66" s="9"/>
    </row>
    <row r="67" spans="2:8" ht="15" hidden="1" customHeight="1" x14ac:dyDescent="0.35">
      <c r="B67" s="8"/>
      <c r="C67" s="87" t="s">
        <v>58</v>
      </c>
      <c r="D67" s="94"/>
      <c r="E67" s="94"/>
      <c r="F67" s="94"/>
      <c r="G67" s="95" t="s">
        <v>231</v>
      </c>
      <c r="H67" s="9"/>
    </row>
    <row r="68" spans="2:8" ht="15" hidden="1" customHeight="1" x14ac:dyDescent="0.35">
      <c r="B68" s="8"/>
      <c r="C68" s="87" t="s">
        <v>59</v>
      </c>
      <c r="D68" s="94"/>
      <c r="E68" s="94"/>
      <c r="F68" s="94"/>
      <c r="G68" s="95" t="s">
        <v>232</v>
      </c>
      <c r="H68" s="9"/>
    </row>
    <row r="69" spans="2:8" ht="15" hidden="1" customHeight="1" x14ac:dyDescent="0.25">
      <c r="B69" s="8"/>
      <c r="C69" s="86"/>
      <c r="D69" s="86"/>
      <c r="E69" s="86"/>
      <c r="F69" s="86"/>
      <c r="G69" s="86"/>
      <c r="H69" s="9"/>
    </row>
    <row r="70" spans="2:8" ht="15" hidden="1" customHeight="1" x14ac:dyDescent="0.25">
      <c r="B70" s="8"/>
      <c r="C70" s="86" t="s">
        <v>65</v>
      </c>
      <c r="D70" s="86"/>
      <c r="E70" s="86"/>
      <c r="F70" s="86"/>
      <c r="G70" s="86"/>
      <c r="H70" s="9"/>
    </row>
    <row r="71" spans="2:8" ht="15" hidden="1" customHeight="1" x14ac:dyDescent="0.25">
      <c r="B71" s="8"/>
      <c r="C71" s="91" t="s">
        <v>76</v>
      </c>
      <c r="D71" s="93" t="str">
        <f>IF(I.Product.P1Year1="","Baseline year 1",I.Product.P1Year1)</f>
        <v>Baseline year 1</v>
      </c>
      <c r="E71" s="93" t="str">
        <f>IF(I.Product.P1Year1="","Baseline year 2",I.Product.P1Year1+1)</f>
        <v>Baseline year 2</v>
      </c>
      <c r="F71" s="93" t="str">
        <f>IF(I.Product.P1Status&lt;&gt;"No","",IF(I.Product.P1Year1="","Baseline year 3",I.Product.P1Year1+2))</f>
        <v/>
      </c>
      <c r="G71" s="90" t="s">
        <v>17</v>
      </c>
      <c r="H71" s="9"/>
    </row>
    <row r="72" spans="2:8" ht="15" hidden="1" customHeight="1" x14ac:dyDescent="0.35">
      <c r="B72" s="8"/>
      <c r="C72" s="87" t="s">
        <v>36</v>
      </c>
      <c r="D72" s="94"/>
      <c r="E72" s="94"/>
      <c r="F72" s="94"/>
      <c r="G72" s="95" t="s">
        <v>209</v>
      </c>
      <c r="H72" s="9"/>
    </row>
    <row r="73" spans="2:8" ht="15" hidden="1" customHeight="1" x14ac:dyDescent="0.35">
      <c r="B73" s="8"/>
      <c r="C73" s="87" t="s">
        <v>37</v>
      </c>
      <c r="D73" s="94"/>
      <c r="E73" s="94"/>
      <c r="F73" s="94"/>
      <c r="G73" s="95" t="s">
        <v>210</v>
      </c>
      <c r="H73" s="9"/>
    </row>
    <row r="74" spans="2:8" ht="15" hidden="1" customHeight="1" x14ac:dyDescent="0.35">
      <c r="B74" s="8"/>
      <c r="C74" s="87" t="s">
        <v>38</v>
      </c>
      <c r="D74" s="94"/>
      <c r="E74" s="94"/>
      <c r="F74" s="94"/>
      <c r="G74" s="95" t="s">
        <v>211</v>
      </c>
      <c r="H74" s="9"/>
    </row>
    <row r="75" spans="2:8" ht="15" hidden="1" customHeight="1" x14ac:dyDescent="0.25">
      <c r="B75" s="8"/>
      <c r="C75" s="86"/>
      <c r="D75" s="86"/>
      <c r="E75" s="86"/>
      <c r="F75" s="86"/>
      <c r="G75" s="86"/>
      <c r="H75" s="9"/>
    </row>
    <row r="76" spans="2:8" ht="15" hidden="1" customHeight="1" x14ac:dyDescent="0.25">
      <c r="B76" s="8"/>
      <c r="C76" s="86" t="s">
        <v>66</v>
      </c>
      <c r="D76" s="86"/>
      <c r="E76" s="86"/>
      <c r="F76" s="86"/>
      <c r="G76" s="86"/>
      <c r="H76" s="9"/>
    </row>
    <row r="77" spans="2:8" ht="15" hidden="1" customHeight="1" x14ac:dyDescent="0.25">
      <c r="B77" s="8"/>
      <c r="C77" s="91" t="s">
        <v>76</v>
      </c>
      <c r="D77" s="93" t="str">
        <f>IF(I.Product.P1Year1="","Baseline year 1",I.Product.P1Year1)</f>
        <v>Baseline year 1</v>
      </c>
      <c r="E77" s="93" t="str">
        <f>IF(I.Product.P1Year1="","Baseline year 2",I.Product.P1Year1+1)</f>
        <v>Baseline year 2</v>
      </c>
      <c r="F77" s="93" t="str">
        <f>IF(I.Product.P1Status&lt;&gt;"No","",IF(I.Product.P1Year1="","Baseline year 3",I.Product.P1Year1+2))</f>
        <v/>
      </c>
      <c r="G77" s="90" t="s">
        <v>17</v>
      </c>
      <c r="H77" s="9"/>
    </row>
    <row r="78" spans="2:8" ht="15" hidden="1" customHeight="1" x14ac:dyDescent="0.35">
      <c r="B78" s="8"/>
      <c r="C78" s="87" t="s">
        <v>36</v>
      </c>
      <c r="D78" s="94"/>
      <c r="E78" s="94"/>
      <c r="F78" s="94"/>
      <c r="G78" s="95" t="s">
        <v>209</v>
      </c>
      <c r="H78" s="9"/>
    </row>
    <row r="79" spans="2:8" ht="15" hidden="1" customHeight="1" x14ac:dyDescent="0.35">
      <c r="B79" s="8"/>
      <c r="C79" s="87" t="s">
        <v>37</v>
      </c>
      <c r="D79" s="94"/>
      <c r="E79" s="94"/>
      <c r="F79" s="94"/>
      <c r="G79" s="95" t="s">
        <v>210</v>
      </c>
      <c r="H79" s="9"/>
    </row>
    <row r="80" spans="2:8" ht="15" hidden="1" customHeight="1" x14ac:dyDescent="0.35">
      <c r="B80" s="8"/>
      <c r="C80" s="87" t="s">
        <v>38</v>
      </c>
      <c r="D80" s="94"/>
      <c r="E80" s="94"/>
      <c r="F80" s="94"/>
      <c r="G80" s="95" t="s">
        <v>211</v>
      </c>
      <c r="H80" s="9"/>
    </row>
    <row r="81" spans="2:8" ht="15" hidden="1" customHeight="1" x14ac:dyDescent="0.25">
      <c r="B81" s="8"/>
      <c r="C81" s="86"/>
      <c r="D81" s="86"/>
      <c r="E81" s="86"/>
      <c r="F81" s="86"/>
      <c r="G81" s="86"/>
      <c r="H81" s="9"/>
    </row>
    <row r="82" spans="2:8" ht="15" hidden="1" customHeight="1" x14ac:dyDescent="0.25">
      <c r="B82" s="8"/>
      <c r="C82" s="86" t="s">
        <v>67</v>
      </c>
      <c r="D82" s="86"/>
      <c r="E82" s="86"/>
      <c r="F82" s="86"/>
      <c r="G82" s="86"/>
      <c r="H82" s="9"/>
    </row>
    <row r="83" spans="2:8" ht="15" hidden="1" customHeight="1" x14ac:dyDescent="0.25">
      <c r="B83" s="8"/>
      <c r="C83" s="91" t="s">
        <v>76</v>
      </c>
      <c r="D83" s="93" t="str">
        <f>IF(I.Product.P1Year1="","Baseline year 1",I.Product.P1Year1)</f>
        <v>Baseline year 1</v>
      </c>
      <c r="E83" s="93" t="str">
        <f>IF(I.Product.P1Year1="","Baseline year 2",I.Product.P1Year1+1)</f>
        <v>Baseline year 2</v>
      </c>
      <c r="F83" s="93" t="str">
        <f>IF(I.Product.P1Status&lt;&gt;"No","",IF(I.Product.P1Year1="","Baseline year 3",I.Product.P1Year1+2))</f>
        <v/>
      </c>
      <c r="G83" s="90" t="s">
        <v>17</v>
      </c>
      <c r="H83" s="9"/>
    </row>
    <row r="84" spans="2:8" ht="15" hidden="1" customHeight="1" x14ac:dyDescent="0.35">
      <c r="B84" s="8"/>
      <c r="C84" s="87" t="s">
        <v>36</v>
      </c>
      <c r="D84" s="94"/>
      <c r="E84" s="94"/>
      <c r="F84" s="94"/>
      <c r="G84" s="95" t="s">
        <v>209</v>
      </c>
      <c r="H84" s="9"/>
    </row>
    <row r="85" spans="2:8" ht="15" hidden="1" customHeight="1" x14ac:dyDescent="0.35">
      <c r="B85" s="8"/>
      <c r="C85" s="87" t="s">
        <v>37</v>
      </c>
      <c r="D85" s="94"/>
      <c r="E85" s="94"/>
      <c r="F85" s="94"/>
      <c r="G85" s="95" t="s">
        <v>210</v>
      </c>
      <c r="H85" s="9"/>
    </row>
    <row r="86" spans="2:8" ht="15" hidden="1" customHeight="1" x14ac:dyDescent="0.35">
      <c r="B86" s="8"/>
      <c r="C86" s="87" t="s">
        <v>38</v>
      </c>
      <c r="D86" s="94"/>
      <c r="E86" s="94"/>
      <c r="F86" s="94"/>
      <c r="G86" s="95" t="s">
        <v>211</v>
      </c>
      <c r="H86" s="9"/>
    </row>
    <row r="87" spans="2:8" ht="15" hidden="1" customHeight="1" x14ac:dyDescent="0.25">
      <c r="B87" s="8"/>
      <c r="C87" s="86"/>
      <c r="D87" s="86"/>
      <c r="E87" s="86"/>
      <c r="F87" s="86"/>
      <c r="G87" s="86"/>
      <c r="H87" s="9"/>
    </row>
    <row r="88" spans="2:8" ht="15" hidden="1" customHeight="1" x14ac:dyDescent="0.25">
      <c r="B88" s="8"/>
      <c r="C88" s="86" t="s">
        <v>68</v>
      </c>
      <c r="D88" s="86"/>
      <c r="E88" s="86"/>
      <c r="F88" s="86"/>
      <c r="G88" s="86"/>
      <c r="H88" s="9"/>
    </row>
    <row r="89" spans="2:8" ht="15" hidden="1" customHeight="1" x14ac:dyDescent="0.25">
      <c r="B89" s="8"/>
      <c r="C89" s="91" t="s">
        <v>76</v>
      </c>
      <c r="D89" s="93" t="str">
        <f>IF(I.Product.P1Year1="","Baseline year 1",I.Product.P1Year1)</f>
        <v>Baseline year 1</v>
      </c>
      <c r="E89" s="93" t="str">
        <f>IF(I.Product.P1Year1="","Baseline year 2",I.Product.P1Year1+1)</f>
        <v>Baseline year 2</v>
      </c>
      <c r="F89" s="93" t="str">
        <f>IF(I.Product.P1Status&lt;&gt;"No","",IF(I.Product.P1Year1="","Baseline year 3",I.Product.P1Year1+2))</f>
        <v/>
      </c>
      <c r="G89" s="90" t="s">
        <v>17</v>
      </c>
      <c r="H89" s="9"/>
    </row>
    <row r="90" spans="2:8" ht="15" hidden="1" customHeight="1" x14ac:dyDescent="0.35">
      <c r="B90" s="8"/>
      <c r="C90" s="87" t="s">
        <v>36</v>
      </c>
      <c r="D90" s="94"/>
      <c r="E90" s="94"/>
      <c r="F90" s="94"/>
      <c r="G90" s="95" t="s">
        <v>209</v>
      </c>
      <c r="H90" s="9"/>
    </row>
    <row r="91" spans="2:8" ht="15" hidden="1" customHeight="1" x14ac:dyDescent="0.35">
      <c r="B91" s="8"/>
      <c r="C91" s="87" t="s">
        <v>37</v>
      </c>
      <c r="D91" s="94"/>
      <c r="E91" s="94"/>
      <c r="F91" s="94"/>
      <c r="G91" s="95" t="s">
        <v>210</v>
      </c>
      <c r="H91" s="9"/>
    </row>
    <row r="92" spans="2:8" ht="15" hidden="1" customHeight="1" x14ac:dyDescent="0.35">
      <c r="B92" s="8"/>
      <c r="C92" s="87" t="s">
        <v>38</v>
      </c>
      <c r="D92" s="94"/>
      <c r="E92" s="94"/>
      <c r="F92" s="94"/>
      <c r="G92" s="95" t="s">
        <v>211</v>
      </c>
      <c r="H92" s="9"/>
    </row>
    <row r="93" spans="2:8" ht="15" hidden="1" customHeight="1" x14ac:dyDescent="0.25">
      <c r="B93" s="8"/>
      <c r="C93" s="86"/>
      <c r="D93" s="86"/>
      <c r="E93" s="86"/>
      <c r="F93" s="86"/>
      <c r="G93" s="86"/>
      <c r="H93" s="9"/>
    </row>
    <row r="94" spans="2:8" ht="15" hidden="1" customHeight="1" x14ac:dyDescent="0.25">
      <c r="B94" s="8"/>
      <c r="C94" s="86" t="s">
        <v>69</v>
      </c>
      <c r="D94" s="86"/>
      <c r="E94" s="86"/>
      <c r="F94" s="86"/>
      <c r="G94" s="86"/>
      <c r="H94" s="9"/>
    </row>
    <row r="95" spans="2:8" ht="15" hidden="1" customHeight="1" x14ac:dyDescent="0.25">
      <c r="B95" s="8"/>
      <c r="C95" s="91" t="s">
        <v>76</v>
      </c>
      <c r="D95" s="93" t="str">
        <f>IF(I.Product.P1Year1="","Baseline year 1",I.Product.P1Year1)</f>
        <v>Baseline year 1</v>
      </c>
      <c r="E95" s="93" t="str">
        <f>IF(I.Product.P1Year1="","Baseline year 2",I.Product.P1Year1+1)</f>
        <v>Baseline year 2</v>
      </c>
      <c r="F95" s="93" t="str">
        <f>IF(I.Product.P1Status&lt;&gt;"No","",IF(I.Product.P1Year1="","Baseline year 3",I.Product.P1Year1+2))</f>
        <v/>
      </c>
      <c r="G95" s="90" t="s">
        <v>17</v>
      </c>
      <c r="H95" s="9"/>
    </row>
    <row r="96" spans="2:8" ht="15" hidden="1" customHeight="1" x14ac:dyDescent="0.35">
      <c r="B96" s="8"/>
      <c r="C96" s="87" t="s">
        <v>36</v>
      </c>
      <c r="D96" s="94"/>
      <c r="E96" s="94"/>
      <c r="F96" s="94"/>
      <c r="G96" s="95" t="s">
        <v>209</v>
      </c>
      <c r="H96" s="9"/>
    </row>
    <row r="97" spans="2:8" ht="15" hidden="1" customHeight="1" x14ac:dyDescent="0.35">
      <c r="B97" s="8"/>
      <c r="C97" s="87" t="s">
        <v>37</v>
      </c>
      <c r="D97" s="94"/>
      <c r="E97" s="94"/>
      <c r="F97" s="94"/>
      <c r="G97" s="95" t="s">
        <v>210</v>
      </c>
      <c r="H97" s="9"/>
    </row>
    <row r="98" spans="2:8" ht="15" hidden="1" customHeight="1" x14ac:dyDescent="0.35">
      <c r="B98" s="8"/>
      <c r="C98" s="87" t="s">
        <v>38</v>
      </c>
      <c r="D98" s="94"/>
      <c r="E98" s="94"/>
      <c r="F98" s="94"/>
      <c r="G98" s="95" t="s">
        <v>211</v>
      </c>
      <c r="H98" s="9"/>
    </row>
    <row r="99" spans="2:8" ht="15" hidden="1" customHeight="1" x14ac:dyDescent="0.25">
      <c r="B99" s="8"/>
      <c r="C99" s="86"/>
      <c r="D99" s="86"/>
      <c r="E99" s="86"/>
      <c r="F99" s="86"/>
      <c r="G99" s="86"/>
      <c r="H99" s="9"/>
    </row>
    <row r="100" spans="2:8" ht="15" hidden="1" customHeight="1" x14ac:dyDescent="0.25">
      <c r="B100" s="8"/>
      <c r="C100" s="86" t="s">
        <v>70</v>
      </c>
      <c r="D100" s="86"/>
      <c r="E100" s="86"/>
      <c r="F100" s="86"/>
      <c r="G100" s="86"/>
      <c r="H100" s="9"/>
    </row>
    <row r="101" spans="2:8" ht="15" hidden="1" customHeight="1" x14ac:dyDescent="0.25">
      <c r="B101" s="8"/>
      <c r="C101" s="91" t="s">
        <v>76</v>
      </c>
      <c r="D101" s="93" t="str">
        <f>IF(I.Product.P1Year1="","Baseline year 1",I.Product.P1Year1)</f>
        <v>Baseline year 1</v>
      </c>
      <c r="E101" s="93" t="str">
        <f>IF(I.Product.P1Year1="","Baseline year 2",I.Product.P1Year1+1)</f>
        <v>Baseline year 2</v>
      </c>
      <c r="F101" s="93" t="str">
        <f>IF(I.Product.P1Status&lt;&gt;"No","",IF(I.Product.P1Year1="","Baseline year 3",I.Product.P1Year1+2))</f>
        <v/>
      </c>
      <c r="G101" s="90" t="s">
        <v>17</v>
      </c>
      <c r="H101" s="9"/>
    </row>
    <row r="102" spans="2:8" ht="15" hidden="1" customHeight="1" x14ac:dyDescent="0.35">
      <c r="B102" s="8"/>
      <c r="C102" s="87" t="s">
        <v>36</v>
      </c>
      <c r="D102" s="94"/>
      <c r="E102" s="94"/>
      <c r="F102" s="94"/>
      <c r="G102" s="95" t="s">
        <v>209</v>
      </c>
      <c r="H102" s="9"/>
    </row>
    <row r="103" spans="2:8" ht="15" hidden="1" customHeight="1" x14ac:dyDescent="0.35">
      <c r="B103" s="8"/>
      <c r="C103" s="87" t="s">
        <v>37</v>
      </c>
      <c r="D103" s="94"/>
      <c r="E103" s="94"/>
      <c r="F103" s="94"/>
      <c r="G103" s="95" t="s">
        <v>210</v>
      </c>
      <c r="H103" s="9"/>
    </row>
    <row r="104" spans="2:8" ht="15" hidden="1" customHeight="1" x14ac:dyDescent="0.35">
      <c r="B104" s="8"/>
      <c r="C104" s="87" t="s">
        <v>38</v>
      </c>
      <c r="D104" s="94"/>
      <c r="E104" s="94"/>
      <c r="F104" s="94"/>
      <c r="G104" s="95" t="s">
        <v>211</v>
      </c>
      <c r="H104" s="9"/>
    </row>
    <row r="105" spans="2:8" ht="15" hidden="1" customHeight="1" x14ac:dyDescent="0.25">
      <c r="B105" s="8"/>
      <c r="C105" s="86"/>
      <c r="D105" s="86"/>
      <c r="E105" s="86"/>
      <c r="F105" s="86"/>
      <c r="G105" s="86"/>
      <c r="H105" s="9"/>
    </row>
    <row r="106" spans="2:8" ht="20.100000000000001" hidden="1" customHeight="1" x14ac:dyDescent="0.25">
      <c r="B106" s="18"/>
      <c r="C106" s="104" t="s">
        <v>10</v>
      </c>
      <c r="D106" s="104"/>
      <c r="E106" s="104"/>
      <c r="F106" s="104"/>
      <c r="G106" s="104"/>
      <c r="H106" s="19"/>
    </row>
    <row r="107" spans="2:8" ht="15" hidden="1" customHeight="1" x14ac:dyDescent="0.25">
      <c r="B107" s="8"/>
      <c r="C107" s="86"/>
      <c r="D107" s="86"/>
      <c r="E107" s="86"/>
      <c r="F107" s="86"/>
      <c r="G107" s="86"/>
      <c r="H107" s="9"/>
    </row>
    <row r="108" spans="2:8" ht="15" hidden="1" customHeight="1" x14ac:dyDescent="0.25">
      <c r="B108" s="8"/>
      <c r="C108" s="86" t="s">
        <v>19</v>
      </c>
      <c r="D108" s="86"/>
      <c r="E108" s="86"/>
      <c r="F108" s="86"/>
      <c r="G108" s="86"/>
      <c r="H108" s="9"/>
    </row>
    <row r="109" spans="2:8" ht="15" hidden="1" customHeight="1" x14ac:dyDescent="0.25">
      <c r="B109" s="8"/>
      <c r="C109" s="118" t="str">
        <f>IF(I.Product.P2Name="","",I.Product.P2Name)</f>
        <v/>
      </c>
      <c r="D109" s="119"/>
      <c r="E109" s="86"/>
      <c r="F109" s="86"/>
      <c r="G109" s="86"/>
      <c r="H109" s="9"/>
    </row>
    <row r="110" spans="2:8" ht="15" hidden="1" customHeight="1" x14ac:dyDescent="0.25">
      <c r="B110" s="8"/>
      <c r="C110" s="86"/>
      <c r="D110" s="86"/>
      <c r="E110" s="86"/>
      <c r="F110" s="86"/>
      <c r="G110" s="86"/>
      <c r="H110" s="9"/>
    </row>
    <row r="111" spans="2:8" ht="15" hidden="1" customHeight="1" x14ac:dyDescent="0.25">
      <c r="B111" s="8"/>
      <c r="C111" s="86" t="s">
        <v>63</v>
      </c>
      <c r="D111" s="86"/>
      <c r="E111" s="86"/>
      <c r="F111" s="86"/>
      <c r="G111" s="86"/>
      <c r="H111" s="9"/>
    </row>
    <row r="112" spans="2:8" ht="15" hidden="1" customHeight="1" x14ac:dyDescent="0.25">
      <c r="B112" s="8"/>
      <c r="C112" s="91" t="s">
        <v>76</v>
      </c>
      <c r="D112" s="93" t="str">
        <f>IF(I.Product.P2Year1="","Baseline year 1",I.Product.P2Year1)</f>
        <v>Baseline year 1</v>
      </c>
      <c r="E112" s="93" t="str">
        <f>IF(I.Product.P2Year1="","Baseline year 2",I.Product.P2Year1+1)</f>
        <v>Baseline year 2</v>
      </c>
      <c r="F112" s="93" t="str">
        <f>IF(I.Product.P2Status&lt;&gt;"No","",IF(I.Product.P2Year1="","Baseline year 3",I.Product.P2Year1+2))</f>
        <v/>
      </c>
      <c r="G112" s="90" t="s">
        <v>17</v>
      </c>
      <c r="H112" s="9"/>
    </row>
    <row r="113" spans="2:8" ht="15" hidden="1" customHeight="1" x14ac:dyDescent="0.35">
      <c r="B113" s="8"/>
      <c r="C113" s="87" t="s">
        <v>36</v>
      </c>
      <c r="D113" s="94"/>
      <c r="E113" s="94"/>
      <c r="F113" s="94"/>
      <c r="G113" s="95" t="s">
        <v>209</v>
      </c>
      <c r="H113" s="9"/>
    </row>
    <row r="114" spans="2:8" ht="15" hidden="1" customHeight="1" x14ac:dyDescent="0.35">
      <c r="B114" s="8"/>
      <c r="C114" s="87" t="s">
        <v>37</v>
      </c>
      <c r="D114" s="94"/>
      <c r="E114" s="94"/>
      <c r="F114" s="94"/>
      <c r="G114" s="95" t="s">
        <v>210</v>
      </c>
      <c r="H114" s="9"/>
    </row>
    <row r="115" spans="2:8" ht="15" hidden="1" customHeight="1" x14ac:dyDescent="0.35">
      <c r="B115" s="8"/>
      <c r="C115" s="87" t="s">
        <v>38</v>
      </c>
      <c r="D115" s="94"/>
      <c r="E115" s="94"/>
      <c r="F115" s="94"/>
      <c r="G115" s="95" t="s">
        <v>211</v>
      </c>
      <c r="H115" s="9"/>
    </row>
    <row r="116" spans="2:8" ht="15" hidden="1" customHeight="1" x14ac:dyDescent="0.25">
      <c r="B116" s="8"/>
      <c r="C116" s="86"/>
      <c r="D116" s="86"/>
      <c r="E116" s="86"/>
      <c r="F116" s="86"/>
      <c r="G116" s="86"/>
      <c r="H116" s="9"/>
    </row>
    <row r="117" spans="2:8" ht="15" hidden="1" customHeight="1" x14ac:dyDescent="0.25">
      <c r="B117" s="8"/>
      <c r="C117" s="86" t="s">
        <v>24</v>
      </c>
      <c r="D117" s="86"/>
      <c r="E117" s="86"/>
      <c r="F117" s="86"/>
      <c r="G117" s="86"/>
      <c r="H117" s="9"/>
    </row>
    <row r="118" spans="2:8" ht="15" hidden="1" customHeight="1" x14ac:dyDescent="0.25">
      <c r="B118" s="8"/>
      <c r="C118" s="91" t="s">
        <v>76</v>
      </c>
      <c r="D118" s="93" t="str">
        <f>IF(I.Product.P2Year1="","Baseline year 1",I.Product.P2Year1)</f>
        <v>Baseline year 1</v>
      </c>
      <c r="E118" s="93" t="str">
        <f>IF(I.Product.P2Year1="","Baseline year 2",I.Product.P2Year1+1)</f>
        <v>Baseline year 2</v>
      </c>
      <c r="F118" s="93" t="str">
        <f>IF(I.Product.P2Status&lt;&gt;"No","",IF(I.Product.P2Year1="","Baseline year 3",I.Product.P2Year1+2))</f>
        <v/>
      </c>
      <c r="G118" s="90" t="s">
        <v>17</v>
      </c>
      <c r="H118" s="9"/>
    </row>
    <row r="119" spans="2:8" ht="15" hidden="1" customHeight="1" x14ac:dyDescent="0.35">
      <c r="B119" s="8"/>
      <c r="C119" s="87" t="s">
        <v>36</v>
      </c>
      <c r="D119" s="94"/>
      <c r="E119" s="94"/>
      <c r="F119" s="94"/>
      <c r="G119" s="95" t="s">
        <v>209</v>
      </c>
      <c r="H119" s="9"/>
    </row>
    <row r="120" spans="2:8" ht="15" hidden="1" customHeight="1" x14ac:dyDescent="0.35">
      <c r="B120" s="8"/>
      <c r="C120" s="87" t="s">
        <v>37</v>
      </c>
      <c r="D120" s="94"/>
      <c r="E120" s="94"/>
      <c r="F120" s="94"/>
      <c r="G120" s="95" t="s">
        <v>210</v>
      </c>
      <c r="H120" s="9"/>
    </row>
    <row r="121" spans="2:8" ht="15" hidden="1" customHeight="1" x14ac:dyDescent="0.35">
      <c r="B121" s="8"/>
      <c r="C121" s="87" t="s">
        <v>38</v>
      </c>
      <c r="D121" s="94"/>
      <c r="E121" s="94"/>
      <c r="F121" s="94"/>
      <c r="G121" s="95" t="s">
        <v>211</v>
      </c>
      <c r="H121" s="9"/>
    </row>
    <row r="122" spans="2:8" ht="15" hidden="1" customHeight="1" x14ac:dyDescent="0.35">
      <c r="B122" s="8"/>
      <c r="C122" s="87" t="s">
        <v>39</v>
      </c>
      <c r="D122" s="94"/>
      <c r="E122" s="94"/>
      <c r="F122" s="94"/>
      <c r="G122" s="95" t="s">
        <v>212</v>
      </c>
      <c r="H122" s="9"/>
    </row>
    <row r="123" spans="2:8" ht="15" hidden="1" customHeight="1" x14ac:dyDescent="0.35">
      <c r="B123" s="8"/>
      <c r="C123" s="87" t="s">
        <v>40</v>
      </c>
      <c r="D123" s="94"/>
      <c r="E123" s="94"/>
      <c r="F123" s="94"/>
      <c r="G123" s="95" t="s">
        <v>213</v>
      </c>
      <c r="H123" s="9"/>
    </row>
    <row r="124" spans="2:8" ht="15" hidden="1" customHeight="1" x14ac:dyDescent="0.35">
      <c r="B124" s="8"/>
      <c r="C124" s="87" t="s">
        <v>41</v>
      </c>
      <c r="D124" s="94"/>
      <c r="E124" s="94"/>
      <c r="F124" s="94"/>
      <c r="G124" s="95" t="s">
        <v>214</v>
      </c>
      <c r="H124" s="9"/>
    </row>
    <row r="125" spans="2:8" ht="15" hidden="1" customHeight="1" x14ac:dyDescent="0.35">
      <c r="B125" s="8"/>
      <c r="C125" s="87" t="s">
        <v>42</v>
      </c>
      <c r="D125" s="94"/>
      <c r="E125" s="94"/>
      <c r="F125" s="94"/>
      <c r="G125" s="95" t="s">
        <v>215</v>
      </c>
      <c r="H125" s="9"/>
    </row>
    <row r="126" spans="2:8" ht="15" hidden="1" customHeight="1" x14ac:dyDescent="0.35">
      <c r="B126" s="8"/>
      <c r="C126" s="87" t="s">
        <v>43</v>
      </c>
      <c r="D126" s="94"/>
      <c r="E126" s="94"/>
      <c r="F126" s="94"/>
      <c r="G126" s="95" t="s">
        <v>216</v>
      </c>
      <c r="H126" s="9"/>
    </row>
    <row r="127" spans="2:8" ht="15" hidden="1" customHeight="1" x14ac:dyDescent="0.35">
      <c r="B127" s="8"/>
      <c r="C127" s="87" t="s">
        <v>44</v>
      </c>
      <c r="D127" s="94"/>
      <c r="E127" s="94"/>
      <c r="F127" s="94"/>
      <c r="G127" s="95" t="s">
        <v>217</v>
      </c>
      <c r="H127" s="9"/>
    </row>
    <row r="128" spans="2:8" ht="15" hidden="1" customHeight="1" x14ac:dyDescent="0.35">
      <c r="B128" s="8"/>
      <c r="C128" s="87" t="s">
        <v>45</v>
      </c>
      <c r="D128" s="94"/>
      <c r="E128" s="94"/>
      <c r="F128" s="94"/>
      <c r="G128" s="95" t="s">
        <v>218</v>
      </c>
      <c r="H128" s="9"/>
    </row>
    <row r="129" spans="2:8" ht="15" hidden="1" customHeight="1" x14ac:dyDescent="0.35">
      <c r="B129" s="8"/>
      <c r="C129" s="87" t="s">
        <v>46</v>
      </c>
      <c r="D129" s="94"/>
      <c r="E129" s="94"/>
      <c r="F129" s="94"/>
      <c r="G129" s="95" t="s">
        <v>219</v>
      </c>
      <c r="H129" s="9"/>
    </row>
    <row r="130" spans="2:8" ht="15" hidden="1" customHeight="1" x14ac:dyDescent="0.35">
      <c r="B130" s="8"/>
      <c r="C130" s="87" t="s">
        <v>47</v>
      </c>
      <c r="D130" s="94"/>
      <c r="E130" s="94"/>
      <c r="F130" s="94"/>
      <c r="G130" s="95" t="s">
        <v>220</v>
      </c>
      <c r="H130" s="9"/>
    </row>
    <row r="131" spans="2:8" ht="15" hidden="1" customHeight="1" x14ac:dyDescent="0.35">
      <c r="B131" s="8"/>
      <c r="C131" s="87" t="s">
        <v>48</v>
      </c>
      <c r="D131" s="94"/>
      <c r="E131" s="94"/>
      <c r="F131" s="94"/>
      <c r="G131" s="95" t="s">
        <v>221</v>
      </c>
      <c r="H131" s="9"/>
    </row>
    <row r="132" spans="2:8" ht="15" hidden="1" customHeight="1" x14ac:dyDescent="0.35">
      <c r="B132" s="8"/>
      <c r="C132" s="87" t="s">
        <v>49</v>
      </c>
      <c r="D132" s="94"/>
      <c r="E132" s="94"/>
      <c r="F132" s="94"/>
      <c r="G132" s="95" t="s">
        <v>222</v>
      </c>
      <c r="H132" s="9"/>
    </row>
    <row r="133" spans="2:8" ht="15" hidden="1" customHeight="1" x14ac:dyDescent="0.35">
      <c r="B133" s="8"/>
      <c r="C133" s="87" t="s">
        <v>50</v>
      </c>
      <c r="D133" s="94"/>
      <c r="E133" s="94"/>
      <c r="F133" s="94"/>
      <c r="G133" s="95" t="s">
        <v>223</v>
      </c>
      <c r="H133" s="9"/>
    </row>
    <row r="134" spans="2:8" ht="15" hidden="1" customHeight="1" x14ac:dyDescent="0.35">
      <c r="B134" s="8"/>
      <c r="C134" s="87" t="s">
        <v>51</v>
      </c>
      <c r="D134" s="94"/>
      <c r="E134" s="94"/>
      <c r="F134" s="94"/>
      <c r="G134" s="95" t="s">
        <v>224</v>
      </c>
      <c r="H134" s="9"/>
    </row>
    <row r="135" spans="2:8" ht="15" hidden="1" customHeight="1" x14ac:dyDescent="0.35">
      <c r="B135" s="8"/>
      <c r="C135" s="87" t="s">
        <v>52</v>
      </c>
      <c r="D135" s="94"/>
      <c r="E135" s="94"/>
      <c r="F135" s="94"/>
      <c r="G135" s="95" t="s">
        <v>225</v>
      </c>
      <c r="H135" s="9"/>
    </row>
    <row r="136" spans="2:8" ht="15" hidden="1" customHeight="1" x14ac:dyDescent="0.35">
      <c r="B136" s="8"/>
      <c r="C136" s="87" t="s">
        <v>53</v>
      </c>
      <c r="D136" s="94"/>
      <c r="E136" s="94"/>
      <c r="F136" s="94"/>
      <c r="G136" s="95" t="s">
        <v>226</v>
      </c>
      <c r="H136" s="9"/>
    </row>
    <row r="137" spans="2:8" ht="15" hidden="1" customHeight="1" x14ac:dyDescent="0.35">
      <c r="B137" s="8"/>
      <c r="C137" s="87" t="s">
        <v>54</v>
      </c>
      <c r="D137" s="94"/>
      <c r="E137" s="94"/>
      <c r="F137" s="94"/>
      <c r="G137" s="95" t="s">
        <v>227</v>
      </c>
      <c r="H137" s="9"/>
    </row>
    <row r="138" spans="2:8" ht="15" hidden="1" customHeight="1" x14ac:dyDescent="0.35">
      <c r="B138" s="8"/>
      <c r="C138" s="87" t="s">
        <v>55</v>
      </c>
      <c r="D138" s="94"/>
      <c r="E138" s="94"/>
      <c r="F138" s="94"/>
      <c r="G138" s="95" t="s">
        <v>228</v>
      </c>
      <c r="H138" s="9"/>
    </row>
    <row r="139" spans="2:8" ht="15" hidden="1" customHeight="1" x14ac:dyDescent="0.35">
      <c r="B139" s="8"/>
      <c r="C139" s="87" t="s">
        <v>56</v>
      </c>
      <c r="D139" s="94"/>
      <c r="E139" s="94"/>
      <c r="F139" s="94"/>
      <c r="G139" s="95" t="s">
        <v>229</v>
      </c>
      <c r="H139" s="9"/>
    </row>
    <row r="140" spans="2:8" ht="15" hidden="1" customHeight="1" x14ac:dyDescent="0.35">
      <c r="B140" s="8"/>
      <c r="C140" s="87" t="s">
        <v>57</v>
      </c>
      <c r="D140" s="94"/>
      <c r="E140" s="94"/>
      <c r="F140" s="94"/>
      <c r="G140" s="95" t="s">
        <v>230</v>
      </c>
      <c r="H140" s="9"/>
    </row>
    <row r="141" spans="2:8" ht="15" hidden="1" customHeight="1" x14ac:dyDescent="0.35">
      <c r="B141" s="8"/>
      <c r="C141" s="87" t="s">
        <v>58</v>
      </c>
      <c r="D141" s="94"/>
      <c r="E141" s="94"/>
      <c r="F141" s="94"/>
      <c r="G141" s="95" t="s">
        <v>231</v>
      </c>
      <c r="H141" s="9"/>
    </row>
    <row r="142" spans="2:8" ht="15" hidden="1" customHeight="1" x14ac:dyDescent="0.35">
      <c r="B142" s="8"/>
      <c r="C142" s="87" t="s">
        <v>59</v>
      </c>
      <c r="D142" s="94"/>
      <c r="E142" s="94"/>
      <c r="F142" s="94"/>
      <c r="G142" s="95" t="s">
        <v>232</v>
      </c>
      <c r="H142" s="9"/>
    </row>
    <row r="143" spans="2:8" ht="15" hidden="1" customHeight="1" x14ac:dyDescent="0.25">
      <c r="B143" s="8"/>
      <c r="C143" s="86"/>
      <c r="D143" s="86"/>
      <c r="E143" s="86"/>
      <c r="F143" s="86"/>
      <c r="G143" s="86"/>
      <c r="H143" s="9"/>
    </row>
    <row r="144" spans="2:8" ht="15" hidden="1" customHeight="1" x14ac:dyDescent="0.25">
      <c r="B144" s="8"/>
      <c r="C144" s="86" t="s">
        <v>64</v>
      </c>
      <c r="D144" s="86"/>
      <c r="E144" s="86"/>
      <c r="F144" s="86"/>
      <c r="G144" s="86"/>
      <c r="H144" s="9"/>
    </row>
    <row r="145" spans="2:8" ht="15" hidden="1" customHeight="1" x14ac:dyDescent="0.25">
      <c r="B145" s="8"/>
      <c r="C145" s="91" t="s">
        <v>76</v>
      </c>
      <c r="D145" s="93" t="str">
        <f>IF(I.Product.P2Year1="","Baseline year 1",I.Product.P2Year1)</f>
        <v>Baseline year 1</v>
      </c>
      <c r="E145" s="93" t="str">
        <f>IF(I.Product.P2Year1="","Baseline year 2",I.Product.P2Year1+1)</f>
        <v>Baseline year 2</v>
      </c>
      <c r="F145" s="93" t="str">
        <f>IF(I.Product.P2Status&lt;&gt;"No","",IF(I.Product.P2Year1="","Baseline year 3",I.Product.P2Year1+2))</f>
        <v/>
      </c>
      <c r="G145" s="90" t="s">
        <v>17</v>
      </c>
      <c r="H145" s="9"/>
    </row>
    <row r="146" spans="2:8" ht="15" hidden="1" customHeight="1" x14ac:dyDescent="0.35">
      <c r="B146" s="8"/>
      <c r="C146" s="87" t="s">
        <v>39</v>
      </c>
      <c r="D146" s="94"/>
      <c r="E146" s="94"/>
      <c r="F146" s="94"/>
      <c r="G146" s="95" t="s">
        <v>212</v>
      </c>
      <c r="H146" s="9"/>
    </row>
    <row r="147" spans="2:8" ht="15" hidden="1" customHeight="1" x14ac:dyDescent="0.35">
      <c r="B147" s="8"/>
      <c r="C147" s="87" t="s">
        <v>40</v>
      </c>
      <c r="D147" s="94"/>
      <c r="E147" s="94"/>
      <c r="F147" s="94"/>
      <c r="G147" s="95" t="s">
        <v>213</v>
      </c>
      <c r="H147" s="9"/>
    </row>
    <row r="148" spans="2:8" ht="15" hidden="1" customHeight="1" x14ac:dyDescent="0.35">
      <c r="B148" s="8"/>
      <c r="C148" s="87" t="s">
        <v>41</v>
      </c>
      <c r="D148" s="94"/>
      <c r="E148" s="94"/>
      <c r="F148" s="94"/>
      <c r="G148" s="95" t="s">
        <v>214</v>
      </c>
      <c r="H148" s="9"/>
    </row>
    <row r="149" spans="2:8" ht="15" hidden="1" customHeight="1" x14ac:dyDescent="0.35">
      <c r="B149" s="8"/>
      <c r="C149" s="87" t="s">
        <v>42</v>
      </c>
      <c r="D149" s="94"/>
      <c r="E149" s="94"/>
      <c r="F149" s="94"/>
      <c r="G149" s="95" t="s">
        <v>215</v>
      </c>
      <c r="H149" s="9"/>
    </row>
    <row r="150" spans="2:8" ht="15" hidden="1" customHeight="1" x14ac:dyDescent="0.35">
      <c r="B150" s="8"/>
      <c r="C150" s="87" t="s">
        <v>43</v>
      </c>
      <c r="D150" s="94"/>
      <c r="E150" s="94"/>
      <c r="F150" s="94"/>
      <c r="G150" s="95" t="s">
        <v>216</v>
      </c>
      <c r="H150" s="9"/>
    </row>
    <row r="151" spans="2:8" ht="15" hidden="1" customHeight="1" x14ac:dyDescent="0.35">
      <c r="B151" s="8"/>
      <c r="C151" s="87" t="s">
        <v>44</v>
      </c>
      <c r="D151" s="94"/>
      <c r="E151" s="94"/>
      <c r="F151" s="94"/>
      <c r="G151" s="95" t="s">
        <v>217</v>
      </c>
      <c r="H151" s="9"/>
    </row>
    <row r="152" spans="2:8" ht="15" hidden="1" customHeight="1" x14ac:dyDescent="0.35">
      <c r="B152" s="8"/>
      <c r="C152" s="87" t="s">
        <v>45</v>
      </c>
      <c r="D152" s="94"/>
      <c r="E152" s="94"/>
      <c r="F152" s="94"/>
      <c r="G152" s="95" t="s">
        <v>218</v>
      </c>
      <c r="H152" s="9"/>
    </row>
    <row r="153" spans="2:8" ht="15" hidden="1" customHeight="1" x14ac:dyDescent="0.35">
      <c r="B153" s="8"/>
      <c r="C153" s="87" t="s">
        <v>46</v>
      </c>
      <c r="D153" s="94"/>
      <c r="E153" s="94"/>
      <c r="F153" s="94"/>
      <c r="G153" s="95" t="s">
        <v>219</v>
      </c>
      <c r="H153" s="9"/>
    </row>
    <row r="154" spans="2:8" ht="15" hidden="1" customHeight="1" x14ac:dyDescent="0.35">
      <c r="B154" s="8"/>
      <c r="C154" s="87" t="s">
        <v>47</v>
      </c>
      <c r="D154" s="94"/>
      <c r="E154" s="94"/>
      <c r="F154" s="94"/>
      <c r="G154" s="95" t="s">
        <v>220</v>
      </c>
      <c r="H154" s="9"/>
    </row>
    <row r="155" spans="2:8" ht="15" hidden="1" customHeight="1" x14ac:dyDescent="0.35">
      <c r="B155" s="8"/>
      <c r="C155" s="87" t="s">
        <v>48</v>
      </c>
      <c r="D155" s="94"/>
      <c r="E155" s="94"/>
      <c r="F155" s="94"/>
      <c r="G155" s="95" t="s">
        <v>221</v>
      </c>
      <c r="H155" s="9"/>
    </row>
    <row r="156" spans="2:8" ht="15" hidden="1" customHeight="1" x14ac:dyDescent="0.35">
      <c r="B156" s="8"/>
      <c r="C156" s="87" t="s">
        <v>49</v>
      </c>
      <c r="D156" s="94"/>
      <c r="E156" s="94"/>
      <c r="F156" s="94"/>
      <c r="G156" s="95" t="s">
        <v>222</v>
      </c>
      <c r="H156" s="9"/>
    </row>
    <row r="157" spans="2:8" ht="15" hidden="1" customHeight="1" x14ac:dyDescent="0.35">
      <c r="B157" s="8"/>
      <c r="C157" s="87" t="s">
        <v>50</v>
      </c>
      <c r="D157" s="94"/>
      <c r="E157" s="94"/>
      <c r="F157" s="94"/>
      <c r="G157" s="95" t="s">
        <v>223</v>
      </c>
      <c r="H157" s="9"/>
    </row>
    <row r="158" spans="2:8" ht="15" hidden="1" customHeight="1" x14ac:dyDescent="0.35">
      <c r="B158" s="8"/>
      <c r="C158" s="87" t="s">
        <v>51</v>
      </c>
      <c r="D158" s="94"/>
      <c r="E158" s="94"/>
      <c r="F158" s="94"/>
      <c r="G158" s="95" t="s">
        <v>224</v>
      </c>
      <c r="H158" s="9"/>
    </row>
    <row r="159" spans="2:8" ht="15" hidden="1" customHeight="1" x14ac:dyDescent="0.35">
      <c r="B159" s="8"/>
      <c r="C159" s="87" t="s">
        <v>52</v>
      </c>
      <c r="D159" s="94"/>
      <c r="E159" s="94"/>
      <c r="F159" s="94"/>
      <c r="G159" s="95" t="s">
        <v>225</v>
      </c>
      <c r="H159" s="9"/>
    </row>
    <row r="160" spans="2:8" ht="15" hidden="1" customHeight="1" x14ac:dyDescent="0.35">
      <c r="B160" s="8"/>
      <c r="C160" s="87" t="s">
        <v>53</v>
      </c>
      <c r="D160" s="94"/>
      <c r="E160" s="94"/>
      <c r="F160" s="94"/>
      <c r="G160" s="95" t="s">
        <v>226</v>
      </c>
      <c r="H160" s="9"/>
    </row>
    <row r="161" spans="2:8" ht="15" hidden="1" customHeight="1" x14ac:dyDescent="0.35">
      <c r="B161" s="8"/>
      <c r="C161" s="87" t="s">
        <v>54</v>
      </c>
      <c r="D161" s="94"/>
      <c r="E161" s="94"/>
      <c r="F161" s="94"/>
      <c r="G161" s="95" t="s">
        <v>227</v>
      </c>
      <c r="H161" s="9"/>
    </row>
    <row r="162" spans="2:8" ht="15" hidden="1" customHeight="1" x14ac:dyDescent="0.35">
      <c r="B162" s="8"/>
      <c r="C162" s="87" t="s">
        <v>55</v>
      </c>
      <c r="D162" s="94"/>
      <c r="E162" s="94"/>
      <c r="F162" s="94"/>
      <c r="G162" s="95" t="s">
        <v>228</v>
      </c>
      <c r="H162" s="9"/>
    </row>
    <row r="163" spans="2:8" ht="15" hidden="1" customHeight="1" x14ac:dyDescent="0.35">
      <c r="B163" s="8"/>
      <c r="C163" s="87" t="s">
        <v>56</v>
      </c>
      <c r="D163" s="94"/>
      <c r="E163" s="94"/>
      <c r="F163" s="94"/>
      <c r="G163" s="95" t="s">
        <v>229</v>
      </c>
      <c r="H163" s="9"/>
    </row>
    <row r="164" spans="2:8" ht="15" hidden="1" customHeight="1" x14ac:dyDescent="0.35">
      <c r="B164" s="8"/>
      <c r="C164" s="87" t="s">
        <v>57</v>
      </c>
      <c r="D164" s="94"/>
      <c r="E164" s="94"/>
      <c r="F164" s="94"/>
      <c r="G164" s="95" t="s">
        <v>230</v>
      </c>
      <c r="H164" s="9"/>
    </row>
    <row r="165" spans="2:8" ht="15" hidden="1" customHeight="1" x14ac:dyDescent="0.35">
      <c r="B165" s="8"/>
      <c r="C165" s="87" t="s">
        <v>58</v>
      </c>
      <c r="D165" s="94"/>
      <c r="E165" s="94"/>
      <c r="F165" s="94"/>
      <c r="G165" s="95" t="s">
        <v>231</v>
      </c>
      <c r="H165" s="9"/>
    </row>
    <row r="166" spans="2:8" ht="15" hidden="1" customHeight="1" x14ac:dyDescent="0.35">
      <c r="B166" s="8"/>
      <c r="C166" s="87" t="s">
        <v>59</v>
      </c>
      <c r="D166" s="94"/>
      <c r="E166" s="94"/>
      <c r="F166" s="94"/>
      <c r="G166" s="95" t="s">
        <v>232</v>
      </c>
      <c r="H166" s="9"/>
    </row>
    <row r="167" spans="2:8" ht="15" hidden="1" customHeight="1" x14ac:dyDescent="0.25">
      <c r="B167" s="8"/>
      <c r="C167" s="86"/>
      <c r="D167" s="86"/>
      <c r="E167" s="86"/>
      <c r="F167" s="86"/>
      <c r="G167" s="86"/>
      <c r="H167" s="9"/>
    </row>
    <row r="168" spans="2:8" ht="15" hidden="1" customHeight="1" x14ac:dyDescent="0.25">
      <c r="B168" s="8"/>
      <c r="C168" s="86" t="s">
        <v>65</v>
      </c>
      <c r="D168" s="86"/>
      <c r="E168" s="86"/>
      <c r="F168" s="86"/>
      <c r="G168" s="86"/>
      <c r="H168" s="9"/>
    </row>
    <row r="169" spans="2:8" ht="15" hidden="1" customHeight="1" x14ac:dyDescent="0.25">
      <c r="B169" s="8"/>
      <c r="C169" s="91" t="s">
        <v>76</v>
      </c>
      <c r="D169" s="93" t="str">
        <f>IF(I.Product.P2Year1="","Baseline year 1",I.Product.P2Year1)</f>
        <v>Baseline year 1</v>
      </c>
      <c r="E169" s="93" t="str">
        <f>IF(I.Product.P2Year1="","Baseline year 2",I.Product.P2Year1+1)</f>
        <v>Baseline year 2</v>
      </c>
      <c r="F169" s="93" t="str">
        <f>IF(I.Product.P2Status&lt;&gt;"No","",IF(I.Product.P2Year1="","Baseline year 3",I.Product.P2Year1+2))</f>
        <v/>
      </c>
      <c r="G169" s="90" t="s">
        <v>17</v>
      </c>
      <c r="H169" s="9"/>
    </row>
    <row r="170" spans="2:8" ht="15" hidden="1" customHeight="1" x14ac:dyDescent="0.35">
      <c r="B170" s="8"/>
      <c r="C170" s="87" t="s">
        <v>36</v>
      </c>
      <c r="D170" s="94"/>
      <c r="E170" s="94"/>
      <c r="F170" s="94"/>
      <c r="G170" s="95" t="s">
        <v>209</v>
      </c>
      <c r="H170" s="9"/>
    </row>
    <row r="171" spans="2:8" ht="15" hidden="1" customHeight="1" x14ac:dyDescent="0.35">
      <c r="B171" s="8"/>
      <c r="C171" s="87" t="s">
        <v>37</v>
      </c>
      <c r="D171" s="94"/>
      <c r="E171" s="94"/>
      <c r="F171" s="94"/>
      <c r="G171" s="95" t="s">
        <v>210</v>
      </c>
      <c r="H171" s="9"/>
    </row>
    <row r="172" spans="2:8" ht="15" hidden="1" customHeight="1" x14ac:dyDescent="0.35">
      <c r="B172" s="8"/>
      <c r="C172" s="87" t="s">
        <v>38</v>
      </c>
      <c r="D172" s="94"/>
      <c r="E172" s="94"/>
      <c r="F172" s="94"/>
      <c r="G172" s="95" t="s">
        <v>211</v>
      </c>
      <c r="H172" s="9"/>
    </row>
    <row r="173" spans="2:8" ht="15" hidden="1" customHeight="1" x14ac:dyDescent="0.25">
      <c r="B173" s="8"/>
      <c r="C173" s="86"/>
      <c r="D173" s="86"/>
      <c r="E173" s="86"/>
      <c r="F173" s="86"/>
      <c r="G173" s="86"/>
      <c r="H173" s="9"/>
    </row>
    <row r="174" spans="2:8" ht="15" hidden="1" customHeight="1" x14ac:dyDescent="0.25">
      <c r="B174" s="8"/>
      <c r="C174" s="86" t="s">
        <v>66</v>
      </c>
      <c r="D174" s="86"/>
      <c r="E174" s="86"/>
      <c r="F174" s="86"/>
      <c r="G174" s="86"/>
      <c r="H174" s="9"/>
    </row>
    <row r="175" spans="2:8" ht="15" hidden="1" customHeight="1" x14ac:dyDescent="0.25">
      <c r="B175" s="8"/>
      <c r="C175" s="91" t="s">
        <v>76</v>
      </c>
      <c r="D175" s="93" t="str">
        <f>IF(I.Product.P2Year1="","Baseline year 1",I.Product.P2Year1)</f>
        <v>Baseline year 1</v>
      </c>
      <c r="E175" s="93" t="str">
        <f>IF(I.Product.P2Year1="","Baseline year 2",I.Product.P2Year1+1)</f>
        <v>Baseline year 2</v>
      </c>
      <c r="F175" s="93" t="str">
        <f>IF(I.Product.P2Status&lt;&gt;"No","",IF(I.Product.P2Year1="","Baseline year 3",I.Product.P2Year1+2))</f>
        <v/>
      </c>
      <c r="G175" s="90" t="s">
        <v>17</v>
      </c>
      <c r="H175" s="9"/>
    </row>
    <row r="176" spans="2:8" ht="15" hidden="1" customHeight="1" x14ac:dyDescent="0.35">
      <c r="B176" s="8"/>
      <c r="C176" s="87" t="s">
        <v>36</v>
      </c>
      <c r="D176" s="94"/>
      <c r="E176" s="94"/>
      <c r="F176" s="94"/>
      <c r="G176" s="95" t="s">
        <v>209</v>
      </c>
      <c r="H176" s="9"/>
    </row>
    <row r="177" spans="2:8" ht="15" hidden="1" customHeight="1" x14ac:dyDescent="0.35">
      <c r="B177" s="8"/>
      <c r="C177" s="87" t="s">
        <v>37</v>
      </c>
      <c r="D177" s="94"/>
      <c r="E177" s="94"/>
      <c r="F177" s="94"/>
      <c r="G177" s="95" t="s">
        <v>210</v>
      </c>
      <c r="H177" s="9"/>
    </row>
    <row r="178" spans="2:8" ht="15" hidden="1" customHeight="1" x14ac:dyDescent="0.35">
      <c r="B178" s="8"/>
      <c r="C178" s="87" t="s">
        <v>38</v>
      </c>
      <c r="D178" s="94"/>
      <c r="E178" s="94"/>
      <c r="F178" s="94"/>
      <c r="G178" s="95" t="s">
        <v>211</v>
      </c>
      <c r="H178" s="9"/>
    </row>
    <row r="179" spans="2:8" ht="15" hidden="1" customHeight="1" x14ac:dyDescent="0.25">
      <c r="B179" s="8"/>
      <c r="C179" s="86"/>
      <c r="D179" s="86"/>
      <c r="E179" s="86"/>
      <c r="F179" s="86"/>
      <c r="G179" s="86"/>
      <c r="H179" s="9"/>
    </row>
    <row r="180" spans="2:8" ht="15" hidden="1" customHeight="1" x14ac:dyDescent="0.25">
      <c r="B180" s="8"/>
      <c r="C180" s="86" t="s">
        <v>67</v>
      </c>
      <c r="D180" s="86"/>
      <c r="E180" s="86"/>
      <c r="F180" s="86"/>
      <c r="G180" s="86"/>
      <c r="H180" s="9"/>
    </row>
    <row r="181" spans="2:8" ht="15" hidden="1" customHeight="1" x14ac:dyDescent="0.25">
      <c r="B181" s="8"/>
      <c r="C181" s="91" t="s">
        <v>76</v>
      </c>
      <c r="D181" s="93" t="str">
        <f>IF(I.Product.P2Year1="","Baseline year 1",I.Product.P2Year1)</f>
        <v>Baseline year 1</v>
      </c>
      <c r="E181" s="93" t="str">
        <f>IF(I.Product.P2Year1="","Baseline year 2",I.Product.P2Year1+1)</f>
        <v>Baseline year 2</v>
      </c>
      <c r="F181" s="93" t="str">
        <f>IF(I.Product.P2Status&lt;&gt;"No","",IF(I.Product.P2Year1="","Baseline year 3",I.Product.P2Year1+2))</f>
        <v/>
      </c>
      <c r="G181" s="90" t="s">
        <v>17</v>
      </c>
      <c r="H181" s="9"/>
    </row>
    <row r="182" spans="2:8" ht="15" hidden="1" customHeight="1" x14ac:dyDescent="0.35">
      <c r="B182" s="8"/>
      <c r="C182" s="87" t="s">
        <v>36</v>
      </c>
      <c r="D182" s="94"/>
      <c r="E182" s="94"/>
      <c r="F182" s="94"/>
      <c r="G182" s="95" t="s">
        <v>209</v>
      </c>
      <c r="H182" s="9"/>
    </row>
    <row r="183" spans="2:8" ht="15" hidden="1" customHeight="1" x14ac:dyDescent="0.35">
      <c r="B183" s="8"/>
      <c r="C183" s="87" t="s">
        <v>37</v>
      </c>
      <c r="D183" s="94"/>
      <c r="E183" s="94"/>
      <c r="F183" s="94"/>
      <c r="G183" s="95" t="s">
        <v>210</v>
      </c>
      <c r="H183" s="9"/>
    </row>
    <row r="184" spans="2:8" ht="15" hidden="1" customHeight="1" x14ac:dyDescent="0.35">
      <c r="B184" s="8"/>
      <c r="C184" s="87" t="s">
        <v>38</v>
      </c>
      <c r="D184" s="94"/>
      <c r="E184" s="94"/>
      <c r="F184" s="94"/>
      <c r="G184" s="95" t="s">
        <v>211</v>
      </c>
      <c r="H184" s="9"/>
    </row>
    <row r="185" spans="2:8" ht="15" hidden="1" customHeight="1" x14ac:dyDescent="0.25">
      <c r="B185" s="8"/>
      <c r="C185" s="86"/>
      <c r="D185" s="86"/>
      <c r="E185" s="86"/>
      <c r="F185" s="86"/>
      <c r="G185" s="86"/>
      <c r="H185" s="9"/>
    </row>
    <row r="186" spans="2:8" ht="15" hidden="1" customHeight="1" x14ac:dyDescent="0.25">
      <c r="B186" s="8"/>
      <c r="C186" s="86" t="s">
        <v>68</v>
      </c>
      <c r="D186" s="86"/>
      <c r="E186" s="86"/>
      <c r="F186" s="86"/>
      <c r="G186" s="86"/>
      <c r="H186" s="9"/>
    </row>
    <row r="187" spans="2:8" ht="15" hidden="1" customHeight="1" x14ac:dyDescent="0.25">
      <c r="B187" s="8"/>
      <c r="C187" s="91" t="s">
        <v>76</v>
      </c>
      <c r="D187" s="93" t="str">
        <f>IF(I.Product.P2Year1="","Baseline year 1",I.Product.P2Year1)</f>
        <v>Baseline year 1</v>
      </c>
      <c r="E187" s="93" t="str">
        <f>IF(I.Product.P2Year1="","Baseline year 2",I.Product.P2Year1+1)</f>
        <v>Baseline year 2</v>
      </c>
      <c r="F187" s="93" t="str">
        <f>IF(I.Product.P2Status&lt;&gt;"No","",IF(I.Product.P2Year1="","Baseline year 3",I.Product.P2Year1+2))</f>
        <v/>
      </c>
      <c r="G187" s="90" t="s">
        <v>17</v>
      </c>
      <c r="H187" s="9"/>
    </row>
    <row r="188" spans="2:8" ht="15" hidden="1" customHeight="1" x14ac:dyDescent="0.35">
      <c r="B188" s="8"/>
      <c r="C188" s="87" t="s">
        <v>36</v>
      </c>
      <c r="D188" s="94"/>
      <c r="E188" s="94"/>
      <c r="F188" s="94"/>
      <c r="G188" s="95" t="s">
        <v>209</v>
      </c>
      <c r="H188" s="9"/>
    </row>
    <row r="189" spans="2:8" ht="15" hidden="1" customHeight="1" x14ac:dyDescent="0.35">
      <c r="B189" s="8"/>
      <c r="C189" s="87" t="s">
        <v>37</v>
      </c>
      <c r="D189" s="94"/>
      <c r="E189" s="94"/>
      <c r="F189" s="94"/>
      <c r="G189" s="95" t="s">
        <v>210</v>
      </c>
      <c r="H189" s="9"/>
    </row>
    <row r="190" spans="2:8" ht="15" hidden="1" customHeight="1" x14ac:dyDescent="0.35">
      <c r="B190" s="8"/>
      <c r="C190" s="87" t="s">
        <v>38</v>
      </c>
      <c r="D190" s="94"/>
      <c r="E190" s="94"/>
      <c r="F190" s="94"/>
      <c r="G190" s="95" t="s">
        <v>211</v>
      </c>
      <c r="H190" s="9"/>
    </row>
    <row r="191" spans="2:8" ht="15" hidden="1" customHeight="1" x14ac:dyDescent="0.25">
      <c r="B191" s="8"/>
      <c r="C191" s="86"/>
      <c r="D191" s="86"/>
      <c r="E191" s="86"/>
      <c r="F191" s="86"/>
      <c r="G191" s="86"/>
      <c r="H191" s="9"/>
    </row>
    <row r="192" spans="2:8" ht="15" hidden="1" customHeight="1" x14ac:dyDescent="0.25">
      <c r="B192" s="8"/>
      <c r="C192" s="86" t="s">
        <v>69</v>
      </c>
      <c r="D192" s="86"/>
      <c r="E192" s="86"/>
      <c r="F192" s="86"/>
      <c r="G192" s="86"/>
      <c r="H192" s="9"/>
    </row>
    <row r="193" spans="2:8" ht="15" hidden="1" customHeight="1" x14ac:dyDescent="0.25">
      <c r="B193" s="8"/>
      <c r="C193" s="91" t="s">
        <v>76</v>
      </c>
      <c r="D193" s="93" t="str">
        <f>IF(I.Product.P2Year1="","Baseline year 1",I.Product.P2Year1)</f>
        <v>Baseline year 1</v>
      </c>
      <c r="E193" s="93" t="str">
        <f>IF(I.Product.P2Year1="","Baseline year 2",I.Product.P2Year1+1)</f>
        <v>Baseline year 2</v>
      </c>
      <c r="F193" s="93" t="str">
        <f>IF(I.Product.P2Status&lt;&gt;"No","",IF(I.Product.P2Year1="","Baseline year 3",I.Product.P2Year1+2))</f>
        <v/>
      </c>
      <c r="G193" s="90" t="s">
        <v>17</v>
      </c>
      <c r="H193" s="9"/>
    </row>
    <row r="194" spans="2:8" ht="15" hidden="1" customHeight="1" x14ac:dyDescent="0.35">
      <c r="B194" s="8"/>
      <c r="C194" s="87" t="s">
        <v>36</v>
      </c>
      <c r="D194" s="94"/>
      <c r="E194" s="94"/>
      <c r="F194" s="94"/>
      <c r="G194" s="95" t="s">
        <v>209</v>
      </c>
      <c r="H194" s="9"/>
    </row>
    <row r="195" spans="2:8" ht="15" hidden="1" customHeight="1" x14ac:dyDescent="0.35">
      <c r="B195" s="8"/>
      <c r="C195" s="87" t="s">
        <v>37</v>
      </c>
      <c r="D195" s="94"/>
      <c r="E195" s="94"/>
      <c r="F195" s="94"/>
      <c r="G195" s="95" t="s">
        <v>210</v>
      </c>
      <c r="H195" s="9"/>
    </row>
    <row r="196" spans="2:8" ht="15" hidden="1" customHeight="1" x14ac:dyDescent="0.35">
      <c r="B196" s="8"/>
      <c r="C196" s="87" t="s">
        <v>38</v>
      </c>
      <c r="D196" s="94"/>
      <c r="E196" s="94"/>
      <c r="F196" s="94"/>
      <c r="G196" s="95" t="s">
        <v>211</v>
      </c>
      <c r="H196" s="9"/>
    </row>
    <row r="197" spans="2:8" ht="15" hidden="1" customHeight="1" x14ac:dyDescent="0.25">
      <c r="B197" s="8"/>
      <c r="C197" s="86"/>
      <c r="D197" s="86"/>
      <c r="E197" s="86"/>
      <c r="F197" s="86"/>
      <c r="G197" s="86"/>
      <c r="H197" s="9"/>
    </row>
    <row r="198" spans="2:8" ht="15" hidden="1" customHeight="1" x14ac:dyDescent="0.25">
      <c r="B198" s="8"/>
      <c r="C198" s="86" t="s">
        <v>70</v>
      </c>
      <c r="D198" s="86"/>
      <c r="E198" s="86"/>
      <c r="F198" s="86"/>
      <c r="G198" s="86"/>
      <c r="H198" s="9"/>
    </row>
    <row r="199" spans="2:8" ht="15" hidden="1" customHeight="1" x14ac:dyDescent="0.25">
      <c r="B199" s="8"/>
      <c r="C199" s="91" t="s">
        <v>76</v>
      </c>
      <c r="D199" s="93" t="str">
        <f>IF(I.Product.P2Year1="","Baseline year 1",I.Product.P2Year1)</f>
        <v>Baseline year 1</v>
      </c>
      <c r="E199" s="93" t="str">
        <f>IF(I.Product.P2Year1="","Baseline year 2",I.Product.P2Year1+1)</f>
        <v>Baseline year 2</v>
      </c>
      <c r="F199" s="93" t="str">
        <f>IF(I.Product.P2Status&lt;&gt;"No","",IF(I.Product.P2Year1="","Baseline year 3",I.Product.P2Year1+2))</f>
        <v/>
      </c>
      <c r="G199" s="90" t="s">
        <v>17</v>
      </c>
      <c r="H199" s="9"/>
    </row>
    <row r="200" spans="2:8" ht="15" hidden="1" customHeight="1" x14ac:dyDescent="0.35">
      <c r="B200" s="8"/>
      <c r="C200" s="87" t="s">
        <v>36</v>
      </c>
      <c r="D200" s="94"/>
      <c r="E200" s="94"/>
      <c r="F200" s="94"/>
      <c r="G200" s="95" t="s">
        <v>209</v>
      </c>
      <c r="H200" s="9"/>
    </row>
    <row r="201" spans="2:8" ht="15" hidden="1" customHeight="1" x14ac:dyDescent="0.35">
      <c r="B201" s="8"/>
      <c r="C201" s="87" t="s">
        <v>37</v>
      </c>
      <c r="D201" s="94"/>
      <c r="E201" s="94"/>
      <c r="F201" s="94"/>
      <c r="G201" s="95" t="s">
        <v>210</v>
      </c>
      <c r="H201" s="9"/>
    </row>
    <row r="202" spans="2:8" ht="15" hidden="1" customHeight="1" x14ac:dyDescent="0.35">
      <c r="B202" s="8"/>
      <c r="C202" s="87" t="s">
        <v>38</v>
      </c>
      <c r="D202" s="94"/>
      <c r="E202" s="94"/>
      <c r="F202" s="94"/>
      <c r="G202" s="95" t="s">
        <v>211</v>
      </c>
      <c r="H202" s="9"/>
    </row>
    <row r="203" spans="2:8" ht="15" hidden="1" customHeight="1" x14ac:dyDescent="0.25">
      <c r="B203" s="8"/>
      <c r="C203" s="86"/>
      <c r="D203" s="86"/>
      <c r="E203" s="86"/>
      <c r="F203" s="86"/>
      <c r="G203" s="86"/>
      <c r="H203" s="9"/>
    </row>
    <row r="204" spans="2:8" ht="20.100000000000001" hidden="1" customHeight="1" x14ac:dyDescent="0.25">
      <c r="B204" s="18"/>
      <c r="C204" s="104" t="s">
        <v>11</v>
      </c>
      <c r="D204" s="104"/>
      <c r="E204" s="104"/>
      <c r="F204" s="104"/>
      <c r="G204" s="104"/>
      <c r="H204" s="19"/>
    </row>
    <row r="205" spans="2:8" ht="15" hidden="1" customHeight="1" x14ac:dyDescent="0.25">
      <c r="B205" s="8"/>
      <c r="C205" s="86"/>
      <c r="D205" s="86"/>
      <c r="E205" s="86"/>
      <c r="F205" s="86"/>
      <c r="G205" s="86"/>
      <c r="H205" s="9"/>
    </row>
    <row r="206" spans="2:8" ht="15" hidden="1" customHeight="1" x14ac:dyDescent="0.25">
      <c r="B206" s="8"/>
      <c r="C206" s="86" t="s">
        <v>19</v>
      </c>
      <c r="D206" s="86"/>
      <c r="E206" s="86"/>
      <c r="F206" s="86"/>
      <c r="G206" s="86"/>
      <c r="H206" s="9"/>
    </row>
    <row r="207" spans="2:8" ht="15" hidden="1" customHeight="1" x14ac:dyDescent="0.25">
      <c r="B207" s="8"/>
      <c r="C207" s="118" t="str">
        <f>IF(I.Product.P3Name="","",I.Product.P3Name)</f>
        <v/>
      </c>
      <c r="D207" s="119"/>
      <c r="E207" s="86"/>
      <c r="F207" s="86"/>
      <c r="G207" s="86"/>
      <c r="H207" s="9"/>
    </row>
    <row r="208" spans="2:8" ht="15" hidden="1" customHeight="1" x14ac:dyDescent="0.25">
      <c r="B208" s="8"/>
      <c r="C208" s="86"/>
      <c r="D208" s="86"/>
      <c r="E208" s="86"/>
      <c r="F208" s="86"/>
      <c r="G208" s="86"/>
      <c r="H208" s="9"/>
    </row>
    <row r="209" spans="2:8" ht="15" hidden="1" customHeight="1" x14ac:dyDescent="0.25">
      <c r="B209" s="8"/>
      <c r="C209" s="86" t="s">
        <v>63</v>
      </c>
      <c r="D209" s="86"/>
      <c r="E209" s="86"/>
      <c r="F209" s="86"/>
      <c r="G209" s="86"/>
      <c r="H209" s="9"/>
    </row>
    <row r="210" spans="2:8" ht="15" hidden="1" customHeight="1" x14ac:dyDescent="0.25">
      <c r="B210" s="8"/>
      <c r="C210" s="91" t="s">
        <v>76</v>
      </c>
      <c r="D210" s="93" t="str">
        <f>IF(I.Product.P3Year1="","Baseline year 1",I.Product.P3Year1)</f>
        <v>Baseline year 1</v>
      </c>
      <c r="E210" s="93" t="str">
        <f>IF(I.Product.P3Year1="","Baseline year 2",I.Product.P3Year1+1)</f>
        <v>Baseline year 2</v>
      </c>
      <c r="F210" s="93" t="str">
        <f>IF(I.Product.P3Status&lt;&gt;"No","",IF(I.Product.P3Year1="","Baseline year 3",I.Product.P3Year1+2))</f>
        <v/>
      </c>
      <c r="G210" s="90" t="s">
        <v>17</v>
      </c>
      <c r="H210" s="9"/>
    </row>
    <row r="211" spans="2:8" ht="15" hidden="1" customHeight="1" x14ac:dyDescent="0.35">
      <c r="B211" s="8"/>
      <c r="C211" s="87" t="s">
        <v>36</v>
      </c>
      <c r="D211" s="94"/>
      <c r="E211" s="94"/>
      <c r="F211" s="94"/>
      <c r="G211" s="95" t="s">
        <v>209</v>
      </c>
      <c r="H211" s="9"/>
    </row>
    <row r="212" spans="2:8" ht="15" hidden="1" customHeight="1" x14ac:dyDescent="0.35">
      <c r="B212" s="8"/>
      <c r="C212" s="87" t="s">
        <v>37</v>
      </c>
      <c r="D212" s="94"/>
      <c r="E212" s="94"/>
      <c r="F212" s="94"/>
      <c r="G212" s="95" t="s">
        <v>210</v>
      </c>
      <c r="H212" s="9"/>
    </row>
    <row r="213" spans="2:8" ht="15" hidden="1" customHeight="1" x14ac:dyDescent="0.35">
      <c r="B213" s="8"/>
      <c r="C213" s="87" t="s">
        <v>38</v>
      </c>
      <c r="D213" s="94"/>
      <c r="E213" s="94"/>
      <c r="F213" s="94"/>
      <c r="G213" s="95" t="s">
        <v>211</v>
      </c>
      <c r="H213" s="9"/>
    </row>
    <row r="214" spans="2:8" ht="15" hidden="1" customHeight="1" x14ac:dyDescent="0.25">
      <c r="B214" s="8"/>
      <c r="C214" s="86"/>
      <c r="D214" s="86"/>
      <c r="E214" s="86"/>
      <c r="F214" s="86"/>
      <c r="G214" s="86"/>
      <c r="H214" s="9"/>
    </row>
    <row r="215" spans="2:8" ht="15" hidden="1" customHeight="1" x14ac:dyDescent="0.25">
      <c r="B215" s="8"/>
      <c r="C215" s="86" t="s">
        <v>24</v>
      </c>
      <c r="D215" s="86"/>
      <c r="E215" s="86"/>
      <c r="F215" s="86"/>
      <c r="G215" s="86"/>
      <c r="H215" s="9"/>
    </row>
    <row r="216" spans="2:8" ht="15" hidden="1" customHeight="1" x14ac:dyDescent="0.25">
      <c r="B216" s="8"/>
      <c r="C216" s="91" t="s">
        <v>76</v>
      </c>
      <c r="D216" s="93" t="str">
        <f>IF(I.Product.P3Year1="","Baseline year 1",I.Product.P3Year1)</f>
        <v>Baseline year 1</v>
      </c>
      <c r="E216" s="93" t="str">
        <f>IF(I.Product.P3Year1="","Baseline year 2",I.Product.P3Year1+1)</f>
        <v>Baseline year 2</v>
      </c>
      <c r="F216" s="93" t="str">
        <f>IF(I.Product.P3Status&lt;&gt;"No","",IF(I.Product.P3Year1="","Baseline year 3",I.Product.P3Year1+2))</f>
        <v/>
      </c>
      <c r="G216" s="90" t="s">
        <v>17</v>
      </c>
      <c r="H216" s="9"/>
    </row>
    <row r="217" spans="2:8" ht="15" hidden="1" customHeight="1" x14ac:dyDescent="0.35">
      <c r="B217" s="8"/>
      <c r="C217" s="87" t="s">
        <v>36</v>
      </c>
      <c r="D217" s="94"/>
      <c r="E217" s="94"/>
      <c r="F217" s="94"/>
      <c r="G217" s="95" t="s">
        <v>209</v>
      </c>
      <c r="H217" s="9"/>
    </row>
    <row r="218" spans="2:8" ht="15" hidden="1" customHeight="1" x14ac:dyDescent="0.35">
      <c r="B218" s="8"/>
      <c r="C218" s="87" t="s">
        <v>37</v>
      </c>
      <c r="D218" s="94"/>
      <c r="E218" s="94"/>
      <c r="F218" s="94"/>
      <c r="G218" s="95" t="s">
        <v>210</v>
      </c>
      <c r="H218" s="9"/>
    </row>
    <row r="219" spans="2:8" ht="15" hidden="1" customHeight="1" x14ac:dyDescent="0.35">
      <c r="B219" s="8"/>
      <c r="C219" s="87" t="s">
        <v>38</v>
      </c>
      <c r="D219" s="94"/>
      <c r="E219" s="94"/>
      <c r="F219" s="94"/>
      <c r="G219" s="95" t="s">
        <v>211</v>
      </c>
      <c r="H219" s="9"/>
    </row>
    <row r="220" spans="2:8" ht="15" hidden="1" customHeight="1" x14ac:dyDescent="0.35">
      <c r="B220" s="8"/>
      <c r="C220" s="87" t="s">
        <v>39</v>
      </c>
      <c r="D220" s="94"/>
      <c r="E220" s="94"/>
      <c r="F220" s="94"/>
      <c r="G220" s="95" t="s">
        <v>212</v>
      </c>
      <c r="H220" s="9"/>
    </row>
    <row r="221" spans="2:8" ht="15" hidden="1" customHeight="1" x14ac:dyDescent="0.35">
      <c r="B221" s="8"/>
      <c r="C221" s="87" t="s">
        <v>40</v>
      </c>
      <c r="D221" s="94"/>
      <c r="E221" s="94"/>
      <c r="F221" s="94"/>
      <c r="G221" s="95" t="s">
        <v>213</v>
      </c>
      <c r="H221" s="9"/>
    </row>
    <row r="222" spans="2:8" ht="15" hidden="1" customHeight="1" x14ac:dyDescent="0.35">
      <c r="B222" s="8"/>
      <c r="C222" s="87" t="s">
        <v>41</v>
      </c>
      <c r="D222" s="94"/>
      <c r="E222" s="94"/>
      <c r="F222" s="94"/>
      <c r="G222" s="95" t="s">
        <v>214</v>
      </c>
      <c r="H222" s="9"/>
    </row>
    <row r="223" spans="2:8" ht="15" hidden="1" customHeight="1" x14ac:dyDescent="0.35">
      <c r="B223" s="8"/>
      <c r="C223" s="87" t="s">
        <v>42</v>
      </c>
      <c r="D223" s="94"/>
      <c r="E223" s="94"/>
      <c r="F223" s="94"/>
      <c r="G223" s="95" t="s">
        <v>215</v>
      </c>
      <c r="H223" s="9"/>
    </row>
    <row r="224" spans="2:8" ht="15" hidden="1" customHeight="1" x14ac:dyDescent="0.35">
      <c r="B224" s="8"/>
      <c r="C224" s="87" t="s">
        <v>43</v>
      </c>
      <c r="D224" s="94"/>
      <c r="E224" s="94"/>
      <c r="F224" s="94"/>
      <c r="G224" s="95" t="s">
        <v>216</v>
      </c>
      <c r="H224" s="9"/>
    </row>
    <row r="225" spans="2:8" ht="15" hidden="1" customHeight="1" x14ac:dyDescent="0.35">
      <c r="B225" s="8"/>
      <c r="C225" s="87" t="s">
        <v>44</v>
      </c>
      <c r="D225" s="94"/>
      <c r="E225" s="94"/>
      <c r="F225" s="94"/>
      <c r="G225" s="95" t="s">
        <v>217</v>
      </c>
      <c r="H225" s="9"/>
    </row>
    <row r="226" spans="2:8" ht="15" hidden="1" customHeight="1" x14ac:dyDescent="0.35">
      <c r="B226" s="8"/>
      <c r="C226" s="87" t="s">
        <v>45</v>
      </c>
      <c r="D226" s="94"/>
      <c r="E226" s="94"/>
      <c r="F226" s="94"/>
      <c r="G226" s="95" t="s">
        <v>218</v>
      </c>
      <c r="H226" s="9"/>
    </row>
    <row r="227" spans="2:8" ht="15" hidden="1" customHeight="1" x14ac:dyDescent="0.35">
      <c r="B227" s="8"/>
      <c r="C227" s="87" t="s">
        <v>46</v>
      </c>
      <c r="D227" s="94"/>
      <c r="E227" s="94"/>
      <c r="F227" s="94"/>
      <c r="G227" s="95" t="s">
        <v>219</v>
      </c>
      <c r="H227" s="9"/>
    </row>
    <row r="228" spans="2:8" ht="15" hidden="1" customHeight="1" x14ac:dyDescent="0.35">
      <c r="B228" s="8"/>
      <c r="C228" s="87" t="s">
        <v>47</v>
      </c>
      <c r="D228" s="94"/>
      <c r="E228" s="94"/>
      <c r="F228" s="94"/>
      <c r="G228" s="95" t="s">
        <v>220</v>
      </c>
      <c r="H228" s="9"/>
    </row>
    <row r="229" spans="2:8" ht="15" hidden="1" customHeight="1" x14ac:dyDescent="0.35">
      <c r="B229" s="8"/>
      <c r="C229" s="87" t="s">
        <v>48</v>
      </c>
      <c r="D229" s="94"/>
      <c r="E229" s="94"/>
      <c r="F229" s="94"/>
      <c r="G229" s="95" t="s">
        <v>221</v>
      </c>
      <c r="H229" s="9"/>
    </row>
    <row r="230" spans="2:8" ht="15" hidden="1" customHeight="1" x14ac:dyDescent="0.35">
      <c r="B230" s="8"/>
      <c r="C230" s="87" t="s">
        <v>49</v>
      </c>
      <c r="D230" s="94"/>
      <c r="E230" s="94"/>
      <c r="F230" s="94"/>
      <c r="G230" s="95" t="s">
        <v>222</v>
      </c>
      <c r="H230" s="9"/>
    </row>
    <row r="231" spans="2:8" ht="15" hidden="1" customHeight="1" x14ac:dyDescent="0.35">
      <c r="B231" s="8"/>
      <c r="C231" s="87" t="s">
        <v>50</v>
      </c>
      <c r="D231" s="94"/>
      <c r="E231" s="94"/>
      <c r="F231" s="94"/>
      <c r="G231" s="95" t="s">
        <v>223</v>
      </c>
      <c r="H231" s="9"/>
    </row>
    <row r="232" spans="2:8" ht="15" hidden="1" customHeight="1" x14ac:dyDescent="0.35">
      <c r="B232" s="8"/>
      <c r="C232" s="87" t="s">
        <v>51</v>
      </c>
      <c r="D232" s="94"/>
      <c r="E232" s="94"/>
      <c r="F232" s="94"/>
      <c r="G232" s="95" t="s">
        <v>224</v>
      </c>
      <c r="H232" s="9"/>
    </row>
    <row r="233" spans="2:8" ht="15" hidden="1" customHeight="1" x14ac:dyDescent="0.35">
      <c r="B233" s="8"/>
      <c r="C233" s="87" t="s">
        <v>52</v>
      </c>
      <c r="D233" s="94"/>
      <c r="E233" s="94"/>
      <c r="F233" s="94"/>
      <c r="G233" s="95" t="s">
        <v>225</v>
      </c>
      <c r="H233" s="9"/>
    </row>
    <row r="234" spans="2:8" ht="15" hidden="1" customHeight="1" x14ac:dyDescent="0.35">
      <c r="B234" s="8"/>
      <c r="C234" s="87" t="s">
        <v>53</v>
      </c>
      <c r="D234" s="94"/>
      <c r="E234" s="94"/>
      <c r="F234" s="94"/>
      <c r="G234" s="95" t="s">
        <v>226</v>
      </c>
      <c r="H234" s="9"/>
    </row>
    <row r="235" spans="2:8" ht="15" hidden="1" customHeight="1" x14ac:dyDescent="0.35">
      <c r="B235" s="8"/>
      <c r="C235" s="87" t="s">
        <v>54</v>
      </c>
      <c r="D235" s="94"/>
      <c r="E235" s="94"/>
      <c r="F235" s="94"/>
      <c r="G235" s="95" t="s">
        <v>227</v>
      </c>
      <c r="H235" s="9"/>
    </row>
    <row r="236" spans="2:8" ht="15" hidden="1" customHeight="1" x14ac:dyDescent="0.35">
      <c r="B236" s="8"/>
      <c r="C236" s="87" t="s">
        <v>55</v>
      </c>
      <c r="D236" s="94"/>
      <c r="E236" s="94"/>
      <c r="F236" s="94"/>
      <c r="G236" s="95" t="s">
        <v>228</v>
      </c>
      <c r="H236" s="9"/>
    </row>
    <row r="237" spans="2:8" ht="15" hidden="1" customHeight="1" x14ac:dyDescent="0.35">
      <c r="B237" s="8"/>
      <c r="C237" s="87" t="s">
        <v>56</v>
      </c>
      <c r="D237" s="94"/>
      <c r="E237" s="94"/>
      <c r="F237" s="94"/>
      <c r="G237" s="95" t="s">
        <v>229</v>
      </c>
      <c r="H237" s="9"/>
    </row>
    <row r="238" spans="2:8" ht="15" hidden="1" customHeight="1" x14ac:dyDescent="0.35">
      <c r="B238" s="8"/>
      <c r="C238" s="87" t="s">
        <v>57</v>
      </c>
      <c r="D238" s="94"/>
      <c r="E238" s="94"/>
      <c r="F238" s="94"/>
      <c r="G238" s="95" t="s">
        <v>230</v>
      </c>
      <c r="H238" s="9"/>
    </row>
    <row r="239" spans="2:8" ht="15" hidden="1" customHeight="1" x14ac:dyDescent="0.35">
      <c r="B239" s="8"/>
      <c r="C239" s="87" t="s">
        <v>58</v>
      </c>
      <c r="D239" s="94"/>
      <c r="E239" s="94"/>
      <c r="F239" s="94"/>
      <c r="G239" s="95" t="s">
        <v>231</v>
      </c>
      <c r="H239" s="9"/>
    </row>
    <row r="240" spans="2:8" ht="15" hidden="1" customHeight="1" x14ac:dyDescent="0.35">
      <c r="B240" s="8"/>
      <c r="C240" s="87" t="s">
        <v>59</v>
      </c>
      <c r="D240" s="94"/>
      <c r="E240" s="94"/>
      <c r="F240" s="94"/>
      <c r="G240" s="95" t="s">
        <v>232</v>
      </c>
      <c r="H240" s="9"/>
    </row>
    <row r="241" spans="2:8" ht="15" hidden="1" customHeight="1" x14ac:dyDescent="0.25">
      <c r="B241" s="8"/>
      <c r="C241" s="86"/>
      <c r="D241" s="86"/>
      <c r="E241" s="86"/>
      <c r="F241" s="86"/>
      <c r="G241" s="86"/>
      <c r="H241" s="9"/>
    </row>
    <row r="242" spans="2:8" ht="15" hidden="1" customHeight="1" x14ac:dyDescent="0.25">
      <c r="B242" s="8"/>
      <c r="C242" s="86" t="s">
        <v>64</v>
      </c>
      <c r="D242" s="86"/>
      <c r="E242" s="86"/>
      <c r="F242" s="86"/>
      <c r="G242" s="86"/>
      <c r="H242" s="9"/>
    </row>
    <row r="243" spans="2:8" ht="15" hidden="1" customHeight="1" x14ac:dyDescent="0.25">
      <c r="B243" s="8"/>
      <c r="C243" s="91" t="s">
        <v>76</v>
      </c>
      <c r="D243" s="93" t="str">
        <f>IF(I.Product.P3Year1="","Baseline year 1",I.Product.P3Year1)</f>
        <v>Baseline year 1</v>
      </c>
      <c r="E243" s="93" t="str">
        <f>IF(I.Product.P3Year1="","Baseline year 2",I.Product.P3Year1+1)</f>
        <v>Baseline year 2</v>
      </c>
      <c r="F243" s="93" t="str">
        <f>IF(I.Product.P3Status&lt;&gt;"No","",IF(I.Product.P3Year1="","Baseline year 3",I.Product.P3Year1+2))</f>
        <v/>
      </c>
      <c r="G243" s="90" t="s">
        <v>17</v>
      </c>
      <c r="H243" s="9"/>
    </row>
    <row r="244" spans="2:8" ht="15" hidden="1" customHeight="1" x14ac:dyDescent="0.35">
      <c r="B244" s="8"/>
      <c r="C244" s="87" t="s">
        <v>39</v>
      </c>
      <c r="D244" s="94"/>
      <c r="E244" s="94"/>
      <c r="F244" s="94"/>
      <c r="G244" s="95" t="s">
        <v>212</v>
      </c>
      <c r="H244" s="9"/>
    </row>
    <row r="245" spans="2:8" ht="15" hidden="1" customHeight="1" x14ac:dyDescent="0.35">
      <c r="B245" s="8"/>
      <c r="C245" s="87" t="s">
        <v>40</v>
      </c>
      <c r="D245" s="94"/>
      <c r="E245" s="94"/>
      <c r="F245" s="94"/>
      <c r="G245" s="95" t="s">
        <v>213</v>
      </c>
      <c r="H245" s="9"/>
    </row>
    <row r="246" spans="2:8" ht="15" hidden="1" customHeight="1" x14ac:dyDescent="0.35">
      <c r="B246" s="8"/>
      <c r="C246" s="87" t="s">
        <v>41</v>
      </c>
      <c r="D246" s="94"/>
      <c r="E246" s="94"/>
      <c r="F246" s="94"/>
      <c r="G246" s="95" t="s">
        <v>214</v>
      </c>
      <c r="H246" s="9"/>
    </row>
    <row r="247" spans="2:8" ht="15" hidden="1" customHeight="1" x14ac:dyDescent="0.35">
      <c r="B247" s="8"/>
      <c r="C247" s="87" t="s">
        <v>42</v>
      </c>
      <c r="D247" s="94"/>
      <c r="E247" s="94"/>
      <c r="F247" s="94"/>
      <c r="G247" s="95" t="s">
        <v>215</v>
      </c>
      <c r="H247" s="9"/>
    </row>
    <row r="248" spans="2:8" ht="15" hidden="1" customHeight="1" x14ac:dyDescent="0.35">
      <c r="B248" s="8"/>
      <c r="C248" s="87" t="s">
        <v>43</v>
      </c>
      <c r="D248" s="94"/>
      <c r="E248" s="94"/>
      <c r="F248" s="94"/>
      <c r="G248" s="95" t="s">
        <v>216</v>
      </c>
      <c r="H248" s="9"/>
    </row>
    <row r="249" spans="2:8" ht="15" hidden="1" customHeight="1" x14ac:dyDescent="0.35">
      <c r="B249" s="8"/>
      <c r="C249" s="87" t="s">
        <v>44</v>
      </c>
      <c r="D249" s="94"/>
      <c r="E249" s="94"/>
      <c r="F249" s="94"/>
      <c r="G249" s="95" t="s">
        <v>217</v>
      </c>
      <c r="H249" s="9"/>
    </row>
    <row r="250" spans="2:8" ht="15" hidden="1" customHeight="1" x14ac:dyDescent="0.35">
      <c r="B250" s="8"/>
      <c r="C250" s="87" t="s">
        <v>45</v>
      </c>
      <c r="D250" s="94"/>
      <c r="E250" s="94"/>
      <c r="F250" s="94"/>
      <c r="G250" s="95" t="s">
        <v>218</v>
      </c>
      <c r="H250" s="9"/>
    </row>
    <row r="251" spans="2:8" ht="15" hidden="1" customHeight="1" x14ac:dyDescent="0.35">
      <c r="B251" s="8"/>
      <c r="C251" s="87" t="s">
        <v>46</v>
      </c>
      <c r="D251" s="94"/>
      <c r="E251" s="94"/>
      <c r="F251" s="94"/>
      <c r="G251" s="95" t="s">
        <v>219</v>
      </c>
      <c r="H251" s="9"/>
    </row>
    <row r="252" spans="2:8" ht="15" hidden="1" customHeight="1" x14ac:dyDescent="0.35">
      <c r="B252" s="8"/>
      <c r="C252" s="87" t="s">
        <v>47</v>
      </c>
      <c r="D252" s="94"/>
      <c r="E252" s="94"/>
      <c r="F252" s="94"/>
      <c r="G252" s="95" t="s">
        <v>220</v>
      </c>
      <c r="H252" s="9"/>
    </row>
    <row r="253" spans="2:8" ht="15" hidden="1" customHeight="1" x14ac:dyDescent="0.35">
      <c r="B253" s="8"/>
      <c r="C253" s="87" t="s">
        <v>48</v>
      </c>
      <c r="D253" s="94"/>
      <c r="E253" s="94"/>
      <c r="F253" s="94"/>
      <c r="G253" s="95" t="s">
        <v>221</v>
      </c>
      <c r="H253" s="9"/>
    </row>
    <row r="254" spans="2:8" ht="15" hidden="1" customHeight="1" x14ac:dyDescent="0.35">
      <c r="B254" s="8"/>
      <c r="C254" s="87" t="s">
        <v>49</v>
      </c>
      <c r="D254" s="94"/>
      <c r="E254" s="94"/>
      <c r="F254" s="94"/>
      <c r="G254" s="95" t="s">
        <v>222</v>
      </c>
      <c r="H254" s="9"/>
    </row>
    <row r="255" spans="2:8" ht="15" hidden="1" customHeight="1" x14ac:dyDescent="0.35">
      <c r="B255" s="8"/>
      <c r="C255" s="87" t="s">
        <v>50</v>
      </c>
      <c r="D255" s="94"/>
      <c r="E255" s="94"/>
      <c r="F255" s="94"/>
      <c r="G255" s="95" t="s">
        <v>223</v>
      </c>
      <c r="H255" s="9"/>
    </row>
    <row r="256" spans="2:8" ht="15" hidden="1" customHeight="1" x14ac:dyDescent="0.35">
      <c r="B256" s="8"/>
      <c r="C256" s="87" t="s">
        <v>51</v>
      </c>
      <c r="D256" s="94"/>
      <c r="E256" s="94"/>
      <c r="F256" s="94"/>
      <c r="G256" s="95" t="s">
        <v>224</v>
      </c>
      <c r="H256" s="9"/>
    </row>
    <row r="257" spans="2:8" ht="15" hidden="1" customHeight="1" x14ac:dyDescent="0.35">
      <c r="B257" s="8"/>
      <c r="C257" s="87" t="s">
        <v>52</v>
      </c>
      <c r="D257" s="94"/>
      <c r="E257" s="94"/>
      <c r="F257" s="94"/>
      <c r="G257" s="95" t="s">
        <v>225</v>
      </c>
      <c r="H257" s="9"/>
    </row>
    <row r="258" spans="2:8" ht="15" hidden="1" customHeight="1" x14ac:dyDescent="0.35">
      <c r="B258" s="8"/>
      <c r="C258" s="87" t="s">
        <v>53</v>
      </c>
      <c r="D258" s="94"/>
      <c r="E258" s="94"/>
      <c r="F258" s="94"/>
      <c r="G258" s="95" t="s">
        <v>226</v>
      </c>
      <c r="H258" s="9"/>
    </row>
    <row r="259" spans="2:8" ht="15" hidden="1" customHeight="1" x14ac:dyDescent="0.35">
      <c r="B259" s="8"/>
      <c r="C259" s="87" t="s">
        <v>54</v>
      </c>
      <c r="D259" s="94"/>
      <c r="E259" s="94"/>
      <c r="F259" s="94"/>
      <c r="G259" s="95" t="s">
        <v>227</v>
      </c>
      <c r="H259" s="9"/>
    </row>
    <row r="260" spans="2:8" ht="15" hidden="1" customHeight="1" x14ac:dyDescent="0.35">
      <c r="B260" s="8"/>
      <c r="C260" s="87" t="s">
        <v>55</v>
      </c>
      <c r="D260" s="94"/>
      <c r="E260" s="94"/>
      <c r="F260" s="94"/>
      <c r="G260" s="95" t="s">
        <v>228</v>
      </c>
      <c r="H260" s="9"/>
    </row>
    <row r="261" spans="2:8" ht="15" hidden="1" customHeight="1" x14ac:dyDescent="0.35">
      <c r="B261" s="8"/>
      <c r="C261" s="87" t="s">
        <v>56</v>
      </c>
      <c r="D261" s="94"/>
      <c r="E261" s="94"/>
      <c r="F261" s="94"/>
      <c r="G261" s="95" t="s">
        <v>229</v>
      </c>
      <c r="H261" s="9"/>
    </row>
    <row r="262" spans="2:8" ht="15" hidden="1" customHeight="1" x14ac:dyDescent="0.35">
      <c r="B262" s="8"/>
      <c r="C262" s="87" t="s">
        <v>57</v>
      </c>
      <c r="D262" s="94"/>
      <c r="E262" s="94"/>
      <c r="F262" s="94"/>
      <c r="G262" s="95" t="s">
        <v>230</v>
      </c>
      <c r="H262" s="9"/>
    </row>
    <row r="263" spans="2:8" ht="15" hidden="1" customHeight="1" x14ac:dyDescent="0.35">
      <c r="B263" s="8"/>
      <c r="C263" s="87" t="s">
        <v>58</v>
      </c>
      <c r="D263" s="94"/>
      <c r="E263" s="94"/>
      <c r="F263" s="94"/>
      <c r="G263" s="95" t="s">
        <v>231</v>
      </c>
      <c r="H263" s="9"/>
    </row>
    <row r="264" spans="2:8" ht="15" hidden="1" customHeight="1" x14ac:dyDescent="0.35">
      <c r="B264" s="8"/>
      <c r="C264" s="87" t="s">
        <v>59</v>
      </c>
      <c r="D264" s="94"/>
      <c r="E264" s="94"/>
      <c r="F264" s="94"/>
      <c r="G264" s="95" t="s">
        <v>232</v>
      </c>
      <c r="H264" s="9"/>
    </row>
    <row r="265" spans="2:8" ht="15" hidden="1" customHeight="1" x14ac:dyDescent="0.25">
      <c r="B265" s="8"/>
      <c r="C265" s="86"/>
      <c r="D265" s="86"/>
      <c r="E265" s="86"/>
      <c r="F265" s="86"/>
      <c r="G265" s="86"/>
      <c r="H265" s="9"/>
    </row>
    <row r="266" spans="2:8" ht="15" hidden="1" customHeight="1" x14ac:dyDescent="0.25">
      <c r="B266" s="8"/>
      <c r="C266" s="86" t="s">
        <v>65</v>
      </c>
      <c r="D266" s="86"/>
      <c r="E266" s="86"/>
      <c r="F266" s="86"/>
      <c r="G266" s="86"/>
      <c r="H266" s="9"/>
    </row>
    <row r="267" spans="2:8" ht="15" hidden="1" customHeight="1" x14ac:dyDescent="0.25">
      <c r="B267" s="8"/>
      <c r="C267" s="91" t="s">
        <v>76</v>
      </c>
      <c r="D267" s="93" t="str">
        <f>IF(I.Product.P3Year1="","Baseline year 1",I.Product.P3Year1)</f>
        <v>Baseline year 1</v>
      </c>
      <c r="E267" s="93" t="str">
        <f>IF(I.Product.P3Year1="","Baseline year 2",I.Product.P3Year1+1)</f>
        <v>Baseline year 2</v>
      </c>
      <c r="F267" s="93" t="str">
        <f>IF(I.Product.P3Status&lt;&gt;"No","",IF(I.Product.P3Year1="","Baseline year 3",I.Product.P3Year1+2))</f>
        <v/>
      </c>
      <c r="G267" s="90" t="s">
        <v>17</v>
      </c>
      <c r="H267" s="9"/>
    </row>
    <row r="268" spans="2:8" ht="15" hidden="1" customHeight="1" x14ac:dyDescent="0.35">
      <c r="B268" s="8"/>
      <c r="C268" s="87" t="s">
        <v>36</v>
      </c>
      <c r="D268" s="94"/>
      <c r="E268" s="94"/>
      <c r="F268" s="94"/>
      <c r="G268" s="95" t="s">
        <v>209</v>
      </c>
      <c r="H268" s="9"/>
    </row>
    <row r="269" spans="2:8" ht="15" hidden="1" customHeight="1" x14ac:dyDescent="0.35">
      <c r="B269" s="8"/>
      <c r="C269" s="87" t="s">
        <v>37</v>
      </c>
      <c r="D269" s="94"/>
      <c r="E269" s="94"/>
      <c r="F269" s="94"/>
      <c r="G269" s="95" t="s">
        <v>210</v>
      </c>
      <c r="H269" s="9"/>
    </row>
    <row r="270" spans="2:8" ht="15" hidden="1" customHeight="1" x14ac:dyDescent="0.35">
      <c r="B270" s="8"/>
      <c r="C270" s="87" t="s">
        <v>38</v>
      </c>
      <c r="D270" s="94"/>
      <c r="E270" s="94"/>
      <c r="F270" s="94"/>
      <c r="G270" s="95" t="s">
        <v>211</v>
      </c>
      <c r="H270" s="9"/>
    </row>
    <row r="271" spans="2:8" ht="15" hidden="1" customHeight="1" x14ac:dyDescent="0.25">
      <c r="B271" s="8"/>
      <c r="C271" s="86"/>
      <c r="D271" s="86"/>
      <c r="E271" s="86"/>
      <c r="F271" s="86"/>
      <c r="G271" s="86"/>
      <c r="H271" s="9"/>
    </row>
    <row r="272" spans="2:8" ht="15" hidden="1" customHeight="1" x14ac:dyDescent="0.25">
      <c r="B272" s="8"/>
      <c r="C272" s="86" t="s">
        <v>66</v>
      </c>
      <c r="D272" s="86"/>
      <c r="E272" s="86"/>
      <c r="F272" s="86"/>
      <c r="G272" s="86"/>
      <c r="H272" s="9"/>
    </row>
    <row r="273" spans="2:8" ht="15" hidden="1" customHeight="1" x14ac:dyDescent="0.25">
      <c r="B273" s="8"/>
      <c r="C273" s="91" t="s">
        <v>76</v>
      </c>
      <c r="D273" s="93" t="str">
        <f>IF(I.Product.P3Year1="","Baseline year 1",I.Product.P3Year1)</f>
        <v>Baseline year 1</v>
      </c>
      <c r="E273" s="93" t="str">
        <f>IF(I.Product.P3Year1="","Baseline year 2",I.Product.P3Year1+1)</f>
        <v>Baseline year 2</v>
      </c>
      <c r="F273" s="93" t="str">
        <f>IF(I.Product.P3Status&lt;&gt;"No","",IF(I.Product.P3Year1="","Baseline year 3",I.Product.P3Year1+2))</f>
        <v/>
      </c>
      <c r="G273" s="90" t="s">
        <v>17</v>
      </c>
      <c r="H273" s="9"/>
    </row>
    <row r="274" spans="2:8" ht="15" hidden="1" customHeight="1" x14ac:dyDescent="0.35">
      <c r="B274" s="8"/>
      <c r="C274" s="87" t="s">
        <v>36</v>
      </c>
      <c r="D274" s="94"/>
      <c r="E274" s="94"/>
      <c r="F274" s="94"/>
      <c r="G274" s="95" t="s">
        <v>209</v>
      </c>
      <c r="H274" s="9"/>
    </row>
    <row r="275" spans="2:8" ht="15" hidden="1" customHeight="1" x14ac:dyDescent="0.35">
      <c r="B275" s="8"/>
      <c r="C275" s="87" t="s">
        <v>37</v>
      </c>
      <c r="D275" s="94"/>
      <c r="E275" s="94"/>
      <c r="F275" s="94"/>
      <c r="G275" s="95" t="s">
        <v>210</v>
      </c>
      <c r="H275" s="9"/>
    </row>
    <row r="276" spans="2:8" ht="15" hidden="1" customHeight="1" x14ac:dyDescent="0.35">
      <c r="B276" s="8"/>
      <c r="C276" s="87" t="s">
        <v>38</v>
      </c>
      <c r="D276" s="94"/>
      <c r="E276" s="94"/>
      <c r="F276" s="94"/>
      <c r="G276" s="95" t="s">
        <v>211</v>
      </c>
      <c r="H276" s="9"/>
    </row>
    <row r="277" spans="2:8" ht="15" hidden="1" customHeight="1" x14ac:dyDescent="0.25">
      <c r="B277" s="8"/>
      <c r="C277" s="86"/>
      <c r="D277" s="86"/>
      <c r="E277" s="86"/>
      <c r="F277" s="86"/>
      <c r="G277" s="86"/>
      <c r="H277" s="9"/>
    </row>
    <row r="278" spans="2:8" ht="15" hidden="1" customHeight="1" x14ac:dyDescent="0.25">
      <c r="B278" s="8"/>
      <c r="C278" s="86" t="s">
        <v>67</v>
      </c>
      <c r="D278" s="86"/>
      <c r="E278" s="86"/>
      <c r="F278" s="86"/>
      <c r="G278" s="86"/>
      <c r="H278" s="9"/>
    </row>
    <row r="279" spans="2:8" ht="15" hidden="1" customHeight="1" x14ac:dyDescent="0.25">
      <c r="B279" s="8"/>
      <c r="C279" s="91" t="s">
        <v>76</v>
      </c>
      <c r="D279" s="93" t="str">
        <f>IF(I.Product.P3Year1="","Baseline year 1",I.Product.P3Year1)</f>
        <v>Baseline year 1</v>
      </c>
      <c r="E279" s="93" t="str">
        <f>IF(I.Product.P3Year1="","Baseline year 2",I.Product.P3Year1+1)</f>
        <v>Baseline year 2</v>
      </c>
      <c r="F279" s="93" t="str">
        <f>IF(I.Product.P3Status&lt;&gt;"No","",IF(I.Product.P3Year1="","Baseline year 3",I.Product.P3Year1+2))</f>
        <v/>
      </c>
      <c r="G279" s="90" t="s">
        <v>17</v>
      </c>
      <c r="H279" s="9"/>
    </row>
    <row r="280" spans="2:8" ht="15" hidden="1" customHeight="1" x14ac:dyDescent="0.35">
      <c r="B280" s="8"/>
      <c r="C280" s="87" t="s">
        <v>36</v>
      </c>
      <c r="D280" s="94"/>
      <c r="E280" s="94"/>
      <c r="F280" s="94"/>
      <c r="G280" s="95" t="s">
        <v>209</v>
      </c>
      <c r="H280" s="9"/>
    </row>
    <row r="281" spans="2:8" ht="15" hidden="1" customHeight="1" x14ac:dyDescent="0.35">
      <c r="B281" s="8"/>
      <c r="C281" s="87" t="s">
        <v>37</v>
      </c>
      <c r="D281" s="94"/>
      <c r="E281" s="94"/>
      <c r="F281" s="94"/>
      <c r="G281" s="95" t="s">
        <v>210</v>
      </c>
      <c r="H281" s="9"/>
    </row>
    <row r="282" spans="2:8" ht="15" hidden="1" customHeight="1" x14ac:dyDescent="0.35">
      <c r="B282" s="8"/>
      <c r="C282" s="87" t="s">
        <v>38</v>
      </c>
      <c r="D282" s="94"/>
      <c r="E282" s="94"/>
      <c r="F282" s="94"/>
      <c r="G282" s="95" t="s">
        <v>211</v>
      </c>
      <c r="H282" s="9"/>
    </row>
    <row r="283" spans="2:8" ht="15" hidden="1" customHeight="1" x14ac:dyDescent="0.25">
      <c r="B283" s="8"/>
      <c r="C283" s="86"/>
      <c r="D283" s="86"/>
      <c r="E283" s="86"/>
      <c r="F283" s="86"/>
      <c r="G283" s="86"/>
      <c r="H283" s="9"/>
    </row>
    <row r="284" spans="2:8" ht="15" hidden="1" customHeight="1" x14ac:dyDescent="0.25">
      <c r="B284" s="8"/>
      <c r="C284" s="86" t="s">
        <v>68</v>
      </c>
      <c r="D284" s="86"/>
      <c r="E284" s="86"/>
      <c r="F284" s="86"/>
      <c r="G284" s="86"/>
      <c r="H284" s="9"/>
    </row>
    <row r="285" spans="2:8" ht="15" hidden="1" customHeight="1" x14ac:dyDescent="0.25">
      <c r="B285" s="8"/>
      <c r="C285" s="91" t="s">
        <v>76</v>
      </c>
      <c r="D285" s="93" t="str">
        <f>IF(I.Product.P3Year1="","Baseline year 1",I.Product.P3Year1)</f>
        <v>Baseline year 1</v>
      </c>
      <c r="E285" s="93" t="str">
        <f>IF(I.Product.P3Year1="","Baseline year 2",I.Product.P3Year1+1)</f>
        <v>Baseline year 2</v>
      </c>
      <c r="F285" s="93" t="str">
        <f>IF(I.Product.P3Status&lt;&gt;"No","",IF(I.Product.P3Year1="","Baseline year 3",I.Product.P3Year1+2))</f>
        <v/>
      </c>
      <c r="G285" s="90" t="s">
        <v>17</v>
      </c>
      <c r="H285" s="9"/>
    </row>
    <row r="286" spans="2:8" ht="15" hidden="1" customHeight="1" x14ac:dyDescent="0.35">
      <c r="B286" s="8"/>
      <c r="C286" s="87" t="s">
        <v>36</v>
      </c>
      <c r="D286" s="94"/>
      <c r="E286" s="94"/>
      <c r="F286" s="94"/>
      <c r="G286" s="95" t="s">
        <v>209</v>
      </c>
      <c r="H286" s="9"/>
    </row>
    <row r="287" spans="2:8" ht="15" hidden="1" customHeight="1" x14ac:dyDescent="0.35">
      <c r="B287" s="8"/>
      <c r="C287" s="87" t="s">
        <v>37</v>
      </c>
      <c r="D287" s="94"/>
      <c r="E287" s="94"/>
      <c r="F287" s="94"/>
      <c r="G287" s="95" t="s">
        <v>210</v>
      </c>
      <c r="H287" s="9"/>
    </row>
    <row r="288" spans="2:8" ht="15" hidden="1" customHeight="1" x14ac:dyDescent="0.35">
      <c r="B288" s="8"/>
      <c r="C288" s="87" t="s">
        <v>38</v>
      </c>
      <c r="D288" s="94"/>
      <c r="E288" s="94"/>
      <c r="F288" s="94"/>
      <c r="G288" s="95" t="s">
        <v>211</v>
      </c>
      <c r="H288" s="9"/>
    </row>
    <row r="289" spans="2:8" ht="15" hidden="1" customHeight="1" x14ac:dyDescent="0.25">
      <c r="B289" s="8"/>
      <c r="C289" s="86"/>
      <c r="D289" s="86"/>
      <c r="E289" s="86"/>
      <c r="F289" s="86"/>
      <c r="G289" s="86"/>
      <c r="H289" s="9"/>
    </row>
    <row r="290" spans="2:8" ht="15" hidden="1" customHeight="1" x14ac:dyDescent="0.25">
      <c r="B290" s="8"/>
      <c r="C290" s="86" t="s">
        <v>69</v>
      </c>
      <c r="D290" s="86"/>
      <c r="E290" s="86"/>
      <c r="F290" s="86"/>
      <c r="G290" s="86"/>
      <c r="H290" s="9"/>
    </row>
    <row r="291" spans="2:8" ht="15" hidden="1" customHeight="1" x14ac:dyDescent="0.25">
      <c r="B291" s="8"/>
      <c r="C291" s="91" t="s">
        <v>76</v>
      </c>
      <c r="D291" s="93" t="str">
        <f>IF(I.Product.P3Year1="","Baseline year 1",I.Product.P3Year1)</f>
        <v>Baseline year 1</v>
      </c>
      <c r="E291" s="93" t="str">
        <f>IF(I.Product.P3Year1="","Baseline year 2",I.Product.P3Year1+1)</f>
        <v>Baseline year 2</v>
      </c>
      <c r="F291" s="93" t="str">
        <f>IF(I.Product.P3Status&lt;&gt;"No","",IF(I.Product.P3Year1="","Baseline year 3",I.Product.P3Year1+2))</f>
        <v/>
      </c>
      <c r="G291" s="90" t="s">
        <v>17</v>
      </c>
      <c r="H291" s="9"/>
    </row>
    <row r="292" spans="2:8" ht="15" hidden="1" customHeight="1" x14ac:dyDescent="0.35">
      <c r="B292" s="8"/>
      <c r="C292" s="87" t="s">
        <v>36</v>
      </c>
      <c r="D292" s="94"/>
      <c r="E292" s="94"/>
      <c r="F292" s="94"/>
      <c r="G292" s="95" t="s">
        <v>209</v>
      </c>
      <c r="H292" s="9"/>
    </row>
    <row r="293" spans="2:8" ht="15" hidden="1" customHeight="1" x14ac:dyDescent="0.35">
      <c r="B293" s="8"/>
      <c r="C293" s="87" t="s">
        <v>37</v>
      </c>
      <c r="D293" s="94"/>
      <c r="E293" s="94"/>
      <c r="F293" s="94"/>
      <c r="G293" s="95" t="s">
        <v>210</v>
      </c>
      <c r="H293" s="9"/>
    </row>
    <row r="294" spans="2:8" ht="15" hidden="1" customHeight="1" x14ac:dyDescent="0.35">
      <c r="B294" s="8"/>
      <c r="C294" s="87" t="s">
        <v>38</v>
      </c>
      <c r="D294" s="94"/>
      <c r="E294" s="94"/>
      <c r="F294" s="94"/>
      <c r="G294" s="95" t="s">
        <v>211</v>
      </c>
      <c r="H294" s="9"/>
    </row>
    <row r="295" spans="2:8" ht="15" hidden="1" customHeight="1" x14ac:dyDescent="0.25">
      <c r="B295" s="8"/>
      <c r="C295" s="86"/>
      <c r="D295" s="86"/>
      <c r="E295" s="86"/>
      <c r="F295" s="86"/>
      <c r="G295" s="86"/>
      <c r="H295" s="9"/>
    </row>
    <row r="296" spans="2:8" ht="15" hidden="1" customHeight="1" x14ac:dyDescent="0.25">
      <c r="B296" s="8"/>
      <c r="C296" s="86" t="s">
        <v>70</v>
      </c>
      <c r="D296" s="86"/>
      <c r="E296" s="86"/>
      <c r="F296" s="86"/>
      <c r="G296" s="86"/>
      <c r="H296" s="9"/>
    </row>
    <row r="297" spans="2:8" ht="15" hidden="1" customHeight="1" x14ac:dyDescent="0.25">
      <c r="B297" s="8"/>
      <c r="C297" s="91" t="s">
        <v>76</v>
      </c>
      <c r="D297" s="93" t="str">
        <f>IF(I.Product.P3Year1="","Baseline year 1",I.Product.P3Year1)</f>
        <v>Baseline year 1</v>
      </c>
      <c r="E297" s="93" t="str">
        <f>IF(I.Product.P3Year1="","Baseline year 2",I.Product.P3Year1+1)</f>
        <v>Baseline year 2</v>
      </c>
      <c r="F297" s="93" t="str">
        <f>IF(I.Product.P3Status&lt;&gt;"No","",IF(I.Product.P3Year1="","Baseline year 3",I.Product.P3Year1+2))</f>
        <v/>
      </c>
      <c r="G297" s="90" t="s">
        <v>17</v>
      </c>
      <c r="H297" s="9"/>
    </row>
    <row r="298" spans="2:8" ht="15" hidden="1" customHeight="1" x14ac:dyDescent="0.35">
      <c r="B298" s="8"/>
      <c r="C298" s="87" t="s">
        <v>36</v>
      </c>
      <c r="D298" s="94"/>
      <c r="E298" s="94"/>
      <c r="F298" s="94"/>
      <c r="G298" s="95" t="s">
        <v>209</v>
      </c>
      <c r="H298" s="9"/>
    </row>
    <row r="299" spans="2:8" ht="15" hidden="1" customHeight="1" x14ac:dyDescent="0.35">
      <c r="B299" s="8"/>
      <c r="C299" s="87" t="s">
        <v>37</v>
      </c>
      <c r="D299" s="94"/>
      <c r="E299" s="94"/>
      <c r="F299" s="94"/>
      <c r="G299" s="95" t="s">
        <v>210</v>
      </c>
      <c r="H299" s="9"/>
    </row>
    <row r="300" spans="2:8" ht="15" hidden="1" customHeight="1" x14ac:dyDescent="0.35">
      <c r="B300" s="8"/>
      <c r="C300" s="87" t="s">
        <v>38</v>
      </c>
      <c r="D300" s="94"/>
      <c r="E300" s="94"/>
      <c r="F300" s="94"/>
      <c r="G300" s="95" t="s">
        <v>211</v>
      </c>
      <c r="H300" s="9"/>
    </row>
    <row r="301" spans="2:8" ht="15" hidden="1" customHeight="1" x14ac:dyDescent="0.25">
      <c r="B301" s="8"/>
      <c r="C301" s="86"/>
      <c r="D301" s="86"/>
      <c r="E301" s="86"/>
      <c r="F301" s="86"/>
      <c r="G301" s="86"/>
      <c r="H301" s="9"/>
    </row>
    <row r="302" spans="2:8" ht="20.100000000000001" hidden="1" customHeight="1" x14ac:dyDescent="0.25">
      <c r="B302" s="18"/>
      <c r="C302" s="104" t="s">
        <v>12</v>
      </c>
      <c r="D302" s="104"/>
      <c r="E302" s="104"/>
      <c r="F302" s="104"/>
      <c r="G302" s="104"/>
      <c r="H302" s="19"/>
    </row>
    <row r="303" spans="2:8" ht="15" hidden="1" customHeight="1" x14ac:dyDescent="0.25">
      <c r="B303" s="8"/>
      <c r="C303" s="86"/>
      <c r="D303" s="86"/>
      <c r="E303" s="86"/>
      <c r="F303" s="86"/>
      <c r="G303" s="86"/>
      <c r="H303" s="9"/>
    </row>
    <row r="304" spans="2:8" ht="15" hidden="1" customHeight="1" x14ac:dyDescent="0.25">
      <c r="B304" s="8"/>
      <c r="C304" s="86" t="s">
        <v>19</v>
      </c>
      <c r="D304" s="86"/>
      <c r="E304" s="86"/>
      <c r="F304" s="86"/>
      <c r="G304" s="86"/>
      <c r="H304" s="9"/>
    </row>
    <row r="305" spans="2:8" ht="15" hidden="1" customHeight="1" x14ac:dyDescent="0.25">
      <c r="B305" s="8"/>
      <c r="C305" s="118" t="str">
        <f>IF(I.Product.P4Name="","",I.Product.P4Name)</f>
        <v/>
      </c>
      <c r="D305" s="119"/>
      <c r="E305" s="86"/>
      <c r="F305" s="86"/>
      <c r="G305" s="86"/>
      <c r="H305" s="9"/>
    </row>
    <row r="306" spans="2:8" ht="15" hidden="1" customHeight="1" x14ac:dyDescent="0.25">
      <c r="B306" s="8"/>
      <c r="C306" s="86"/>
      <c r="D306" s="86"/>
      <c r="E306" s="86"/>
      <c r="F306" s="86"/>
      <c r="G306" s="86"/>
      <c r="H306" s="9"/>
    </row>
    <row r="307" spans="2:8" ht="15" hidden="1" customHeight="1" x14ac:dyDescent="0.25">
      <c r="B307" s="8"/>
      <c r="C307" s="86" t="s">
        <v>63</v>
      </c>
      <c r="D307" s="86"/>
      <c r="E307" s="86"/>
      <c r="F307" s="86"/>
      <c r="G307" s="86"/>
      <c r="H307" s="9"/>
    </row>
    <row r="308" spans="2:8" ht="15" hidden="1" customHeight="1" x14ac:dyDescent="0.25">
      <c r="B308" s="8"/>
      <c r="C308" s="91" t="s">
        <v>76</v>
      </c>
      <c r="D308" s="93" t="str">
        <f>IF(I.Product.P4Year1="","Baseline year 1",I.Product.P4Year1)</f>
        <v>Baseline year 1</v>
      </c>
      <c r="E308" s="93" t="str">
        <f>IF(I.Product.P4Year1="","Baseline year 2",I.Product.P4Year1+1)</f>
        <v>Baseline year 2</v>
      </c>
      <c r="F308" s="93" t="str">
        <f>IF(I.Product.P4Status&lt;&gt;"No","",IF(I.Product.P4Year1="","Baseline year 3",I.Product.P4Year1+2))</f>
        <v/>
      </c>
      <c r="G308" s="90" t="s">
        <v>17</v>
      </c>
      <c r="H308" s="9"/>
    </row>
    <row r="309" spans="2:8" ht="15" hidden="1" customHeight="1" x14ac:dyDescent="0.35">
      <c r="B309" s="8"/>
      <c r="C309" s="87" t="s">
        <v>36</v>
      </c>
      <c r="D309" s="94"/>
      <c r="E309" s="94"/>
      <c r="F309" s="94"/>
      <c r="G309" s="95" t="s">
        <v>209</v>
      </c>
      <c r="H309" s="9"/>
    </row>
    <row r="310" spans="2:8" ht="15" hidden="1" customHeight="1" x14ac:dyDescent="0.35">
      <c r="B310" s="8"/>
      <c r="C310" s="87" t="s">
        <v>37</v>
      </c>
      <c r="D310" s="94"/>
      <c r="E310" s="94"/>
      <c r="F310" s="94"/>
      <c r="G310" s="95" t="s">
        <v>210</v>
      </c>
      <c r="H310" s="9"/>
    </row>
    <row r="311" spans="2:8" ht="15" hidden="1" customHeight="1" x14ac:dyDescent="0.35">
      <c r="B311" s="8"/>
      <c r="C311" s="87" t="s">
        <v>38</v>
      </c>
      <c r="D311" s="94"/>
      <c r="E311" s="94"/>
      <c r="F311" s="94"/>
      <c r="G311" s="95" t="s">
        <v>211</v>
      </c>
      <c r="H311" s="9"/>
    </row>
    <row r="312" spans="2:8" ht="15" hidden="1" customHeight="1" x14ac:dyDescent="0.25">
      <c r="B312" s="8"/>
      <c r="C312" s="86"/>
      <c r="D312" s="86"/>
      <c r="E312" s="86"/>
      <c r="F312" s="86"/>
      <c r="G312" s="86"/>
      <c r="H312" s="9"/>
    </row>
    <row r="313" spans="2:8" ht="15" hidden="1" customHeight="1" x14ac:dyDescent="0.25">
      <c r="B313" s="8"/>
      <c r="C313" s="86" t="s">
        <v>24</v>
      </c>
      <c r="D313" s="86"/>
      <c r="E313" s="86"/>
      <c r="F313" s="86"/>
      <c r="G313" s="86"/>
      <c r="H313" s="9"/>
    </row>
    <row r="314" spans="2:8" ht="15" hidden="1" customHeight="1" x14ac:dyDescent="0.25">
      <c r="B314" s="8"/>
      <c r="C314" s="91" t="s">
        <v>76</v>
      </c>
      <c r="D314" s="93" t="str">
        <f>IF(I.Product.P4Year1="","Baseline year 1",I.Product.P4Year1)</f>
        <v>Baseline year 1</v>
      </c>
      <c r="E314" s="93" t="str">
        <f>IF(I.Product.P4Year1="","Baseline year 2",I.Product.P4Year1+1)</f>
        <v>Baseline year 2</v>
      </c>
      <c r="F314" s="93" t="str">
        <f>IF(I.Product.P4Status&lt;&gt;"No","",IF(I.Product.P4Year1="","Baseline year 3",I.Product.P4Year1+2))</f>
        <v/>
      </c>
      <c r="G314" s="90" t="s">
        <v>17</v>
      </c>
      <c r="H314" s="9"/>
    </row>
    <row r="315" spans="2:8" ht="15" hidden="1" customHeight="1" x14ac:dyDescent="0.35">
      <c r="B315" s="8"/>
      <c r="C315" s="87" t="s">
        <v>36</v>
      </c>
      <c r="D315" s="94"/>
      <c r="E315" s="94"/>
      <c r="F315" s="94"/>
      <c r="G315" s="95" t="s">
        <v>209</v>
      </c>
      <c r="H315" s="9"/>
    </row>
    <row r="316" spans="2:8" ht="15" hidden="1" customHeight="1" x14ac:dyDescent="0.35">
      <c r="B316" s="8"/>
      <c r="C316" s="87" t="s">
        <v>37</v>
      </c>
      <c r="D316" s="94"/>
      <c r="E316" s="94"/>
      <c r="F316" s="94"/>
      <c r="G316" s="95" t="s">
        <v>210</v>
      </c>
      <c r="H316" s="9"/>
    </row>
    <row r="317" spans="2:8" ht="15" hidden="1" customHeight="1" x14ac:dyDescent="0.35">
      <c r="B317" s="8"/>
      <c r="C317" s="87" t="s">
        <v>38</v>
      </c>
      <c r="D317" s="94"/>
      <c r="E317" s="94"/>
      <c r="F317" s="94"/>
      <c r="G317" s="95" t="s">
        <v>211</v>
      </c>
      <c r="H317" s="9"/>
    </row>
    <row r="318" spans="2:8" ht="15" hidden="1" customHeight="1" x14ac:dyDescent="0.35">
      <c r="B318" s="8"/>
      <c r="C318" s="87" t="s">
        <v>39</v>
      </c>
      <c r="D318" s="94"/>
      <c r="E318" s="94"/>
      <c r="F318" s="94"/>
      <c r="G318" s="95" t="s">
        <v>212</v>
      </c>
      <c r="H318" s="9"/>
    </row>
    <row r="319" spans="2:8" ht="15" hidden="1" customHeight="1" x14ac:dyDescent="0.35">
      <c r="B319" s="8"/>
      <c r="C319" s="87" t="s">
        <v>40</v>
      </c>
      <c r="D319" s="94"/>
      <c r="E319" s="94"/>
      <c r="F319" s="94"/>
      <c r="G319" s="95" t="s">
        <v>213</v>
      </c>
      <c r="H319" s="9"/>
    </row>
    <row r="320" spans="2:8" ht="15" hidden="1" customHeight="1" x14ac:dyDescent="0.35">
      <c r="B320" s="8"/>
      <c r="C320" s="87" t="s">
        <v>41</v>
      </c>
      <c r="D320" s="94"/>
      <c r="E320" s="94"/>
      <c r="F320" s="94"/>
      <c r="G320" s="95" t="s">
        <v>214</v>
      </c>
      <c r="H320" s="9"/>
    </row>
    <row r="321" spans="2:8" ht="15" hidden="1" customHeight="1" x14ac:dyDescent="0.35">
      <c r="B321" s="8"/>
      <c r="C321" s="87" t="s">
        <v>42</v>
      </c>
      <c r="D321" s="94"/>
      <c r="E321" s="94"/>
      <c r="F321" s="94"/>
      <c r="G321" s="95" t="s">
        <v>215</v>
      </c>
      <c r="H321" s="9"/>
    </row>
    <row r="322" spans="2:8" ht="15" hidden="1" customHeight="1" x14ac:dyDescent="0.35">
      <c r="B322" s="8"/>
      <c r="C322" s="87" t="s">
        <v>43</v>
      </c>
      <c r="D322" s="94"/>
      <c r="E322" s="94"/>
      <c r="F322" s="94"/>
      <c r="G322" s="95" t="s">
        <v>216</v>
      </c>
      <c r="H322" s="9"/>
    </row>
    <row r="323" spans="2:8" ht="15" hidden="1" customHeight="1" x14ac:dyDescent="0.35">
      <c r="B323" s="8"/>
      <c r="C323" s="87" t="s">
        <v>44</v>
      </c>
      <c r="D323" s="94"/>
      <c r="E323" s="94"/>
      <c r="F323" s="94"/>
      <c r="G323" s="95" t="s">
        <v>217</v>
      </c>
      <c r="H323" s="9"/>
    </row>
    <row r="324" spans="2:8" ht="15" hidden="1" customHeight="1" x14ac:dyDescent="0.35">
      <c r="B324" s="8"/>
      <c r="C324" s="87" t="s">
        <v>45</v>
      </c>
      <c r="D324" s="94"/>
      <c r="E324" s="94"/>
      <c r="F324" s="94"/>
      <c r="G324" s="95" t="s">
        <v>218</v>
      </c>
      <c r="H324" s="9"/>
    </row>
    <row r="325" spans="2:8" ht="15" hidden="1" customHeight="1" x14ac:dyDescent="0.35">
      <c r="B325" s="8"/>
      <c r="C325" s="87" t="s">
        <v>46</v>
      </c>
      <c r="D325" s="94"/>
      <c r="E325" s="94"/>
      <c r="F325" s="94"/>
      <c r="G325" s="95" t="s">
        <v>219</v>
      </c>
      <c r="H325" s="9"/>
    </row>
    <row r="326" spans="2:8" ht="15" hidden="1" customHeight="1" x14ac:dyDescent="0.35">
      <c r="B326" s="8"/>
      <c r="C326" s="87" t="s">
        <v>47</v>
      </c>
      <c r="D326" s="94"/>
      <c r="E326" s="94"/>
      <c r="F326" s="94"/>
      <c r="G326" s="95" t="s">
        <v>220</v>
      </c>
      <c r="H326" s="9"/>
    </row>
    <row r="327" spans="2:8" ht="15" hidden="1" customHeight="1" x14ac:dyDescent="0.35">
      <c r="B327" s="8"/>
      <c r="C327" s="87" t="s">
        <v>48</v>
      </c>
      <c r="D327" s="94"/>
      <c r="E327" s="94"/>
      <c r="F327" s="94"/>
      <c r="G327" s="95" t="s">
        <v>221</v>
      </c>
      <c r="H327" s="9"/>
    </row>
    <row r="328" spans="2:8" ht="15" hidden="1" customHeight="1" x14ac:dyDescent="0.35">
      <c r="B328" s="8"/>
      <c r="C328" s="87" t="s">
        <v>49</v>
      </c>
      <c r="D328" s="94"/>
      <c r="E328" s="94"/>
      <c r="F328" s="94"/>
      <c r="G328" s="95" t="s">
        <v>222</v>
      </c>
      <c r="H328" s="9"/>
    </row>
    <row r="329" spans="2:8" ht="15" hidden="1" customHeight="1" x14ac:dyDescent="0.35">
      <c r="B329" s="8"/>
      <c r="C329" s="87" t="s">
        <v>50</v>
      </c>
      <c r="D329" s="94"/>
      <c r="E329" s="94"/>
      <c r="F329" s="94"/>
      <c r="G329" s="95" t="s">
        <v>223</v>
      </c>
      <c r="H329" s="9"/>
    </row>
    <row r="330" spans="2:8" ht="15" hidden="1" customHeight="1" x14ac:dyDescent="0.35">
      <c r="B330" s="8"/>
      <c r="C330" s="87" t="s">
        <v>51</v>
      </c>
      <c r="D330" s="94"/>
      <c r="E330" s="94"/>
      <c r="F330" s="94"/>
      <c r="G330" s="95" t="s">
        <v>224</v>
      </c>
      <c r="H330" s="9"/>
    </row>
    <row r="331" spans="2:8" ht="15" hidden="1" customHeight="1" x14ac:dyDescent="0.35">
      <c r="B331" s="8"/>
      <c r="C331" s="87" t="s">
        <v>52</v>
      </c>
      <c r="D331" s="94"/>
      <c r="E331" s="94"/>
      <c r="F331" s="94"/>
      <c r="G331" s="95" t="s">
        <v>225</v>
      </c>
      <c r="H331" s="9"/>
    </row>
    <row r="332" spans="2:8" ht="15" hidden="1" customHeight="1" x14ac:dyDescent="0.35">
      <c r="B332" s="8"/>
      <c r="C332" s="87" t="s">
        <v>53</v>
      </c>
      <c r="D332" s="94"/>
      <c r="E332" s="94"/>
      <c r="F332" s="94"/>
      <c r="G332" s="95" t="s">
        <v>226</v>
      </c>
      <c r="H332" s="9"/>
    </row>
    <row r="333" spans="2:8" ht="15" hidden="1" customHeight="1" x14ac:dyDescent="0.35">
      <c r="B333" s="8"/>
      <c r="C333" s="87" t="s">
        <v>54</v>
      </c>
      <c r="D333" s="94"/>
      <c r="E333" s="94"/>
      <c r="F333" s="94"/>
      <c r="G333" s="95" t="s">
        <v>227</v>
      </c>
      <c r="H333" s="9"/>
    </row>
    <row r="334" spans="2:8" ht="15" hidden="1" customHeight="1" x14ac:dyDescent="0.35">
      <c r="B334" s="8"/>
      <c r="C334" s="87" t="s">
        <v>55</v>
      </c>
      <c r="D334" s="94"/>
      <c r="E334" s="94"/>
      <c r="F334" s="94"/>
      <c r="G334" s="95" t="s">
        <v>228</v>
      </c>
      <c r="H334" s="9"/>
    </row>
    <row r="335" spans="2:8" ht="15" hidden="1" customHeight="1" x14ac:dyDescent="0.35">
      <c r="B335" s="8"/>
      <c r="C335" s="87" t="s">
        <v>56</v>
      </c>
      <c r="D335" s="94"/>
      <c r="E335" s="94"/>
      <c r="F335" s="94"/>
      <c r="G335" s="95" t="s">
        <v>229</v>
      </c>
      <c r="H335" s="9"/>
    </row>
    <row r="336" spans="2:8" ht="15" hidden="1" customHeight="1" x14ac:dyDescent="0.35">
      <c r="B336" s="8"/>
      <c r="C336" s="87" t="s">
        <v>57</v>
      </c>
      <c r="D336" s="94"/>
      <c r="E336" s="94"/>
      <c r="F336" s="94"/>
      <c r="G336" s="95" t="s">
        <v>230</v>
      </c>
      <c r="H336" s="9"/>
    </row>
    <row r="337" spans="2:8" ht="15" hidden="1" customHeight="1" x14ac:dyDescent="0.35">
      <c r="B337" s="8"/>
      <c r="C337" s="87" t="s">
        <v>58</v>
      </c>
      <c r="D337" s="94"/>
      <c r="E337" s="94"/>
      <c r="F337" s="94"/>
      <c r="G337" s="95" t="s">
        <v>231</v>
      </c>
      <c r="H337" s="9"/>
    </row>
    <row r="338" spans="2:8" ht="15" hidden="1" customHeight="1" x14ac:dyDescent="0.35">
      <c r="B338" s="8"/>
      <c r="C338" s="87" t="s">
        <v>59</v>
      </c>
      <c r="D338" s="94"/>
      <c r="E338" s="94"/>
      <c r="F338" s="94"/>
      <c r="G338" s="95" t="s">
        <v>232</v>
      </c>
      <c r="H338" s="9"/>
    </row>
    <row r="339" spans="2:8" ht="15" hidden="1" customHeight="1" x14ac:dyDescent="0.25">
      <c r="B339" s="8"/>
      <c r="C339" s="86"/>
      <c r="D339" s="86"/>
      <c r="E339" s="86"/>
      <c r="F339" s="86"/>
      <c r="G339" s="86"/>
      <c r="H339" s="9"/>
    </row>
    <row r="340" spans="2:8" ht="15" hidden="1" customHeight="1" x14ac:dyDescent="0.25">
      <c r="B340" s="8"/>
      <c r="C340" s="86" t="s">
        <v>64</v>
      </c>
      <c r="D340" s="86"/>
      <c r="E340" s="86"/>
      <c r="F340" s="86"/>
      <c r="G340" s="86"/>
      <c r="H340" s="9"/>
    </row>
    <row r="341" spans="2:8" ht="15" hidden="1" customHeight="1" x14ac:dyDescent="0.25">
      <c r="B341" s="8"/>
      <c r="C341" s="91" t="s">
        <v>76</v>
      </c>
      <c r="D341" s="93" t="str">
        <f>IF(I.Product.P4Year1="","Baseline year 1",I.Product.P4Year1)</f>
        <v>Baseline year 1</v>
      </c>
      <c r="E341" s="93" t="str">
        <f>IF(I.Product.P4Year1="","Baseline year 2",I.Product.P4Year1+1)</f>
        <v>Baseline year 2</v>
      </c>
      <c r="F341" s="93" t="str">
        <f>IF(I.Product.P4Status&lt;&gt;"No","",IF(I.Product.P4Year1="","Baseline year 3",I.Product.P4Year1+2))</f>
        <v/>
      </c>
      <c r="G341" s="90" t="s">
        <v>17</v>
      </c>
      <c r="H341" s="9"/>
    </row>
    <row r="342" spans="2:8" ht="15" hidden="1" customHeight="1" x14ac:dyDescent="0.35">
      <c r="B342" s="8"/>
      <c r="C342" s="87" t="s">
        <v>39</v>
      </c>
      <c r="D342" s="94"/>
      <c r="E342" s="94"/>
      <c r="F342" s="94"/>
      <c r="G342" s="95" t="s">
        <v>212</v>
      </c>
      <c r="H342" s="9"/>
    </row>
    <row r="343" spans="2:8" ht="15" hidden="1" customHeight="1" x14ac:dyDescent="0.35">
      <c r="B343" s="8"/>
      <c r="C343" s="87" t="s">
        <v>40</v>
      </c>
      <c r="D343" s="94"/>
      <c r="E343" s="94"/>
      <c r="F343" s="94"/>
      <c r="G343" s="95" t="s">
        <v>213</v>
      </c>
      <c r="H343" s="9"/>
    </row>
    <row r="344" spans="2:8" ht="15" hidden="1" customHeight="1" x14ac:dyDescent="0.35">
      <c r="B344" s="8"/>
      <c r="C344" s="87" t="s">
        <v>41</v>
      </c>
      <c r="D344" s="94"/>
      <c r="E344" s="94"/>
      <c r="F344" s="94"/>
      <c r="G344" s="95" t="s">
        <v>214</v>
      </c>
      <c r="H344" s="9"/>
    </row>
    <row r="345" spans="2:8" ht="15" hidden="1" customHeight="1" x14ac:dyDescent="0.35">
      <c r="B345" s="8"/>
      <c r="C345" s="87" t="s">
        <v>42</v>
      </c>
      <c r="D345" s="94"/>
      <c r="E345" s="94"/>
      <c r="F345" s="94"/>
      <c r="G345" s="95" t="s">
        <v>215</v>
      </c>
      <c r="H345" s="9"/>
    </row>
    <row r="346" spans="2:8" ht="15" hidden="1" customHeight="1" x14ac:dyDescent="0.35">
      <c r="B346" s="8"/>
      <c r="C346" s="87" t="s">
        <v>43</v>
      </c>
      <c r="D346" s="94"/>
      <c r="E346" s="94"/>
      <c r="F346" s="94"/>
      <c r="G346" s="95" t="s">
        <v>216</v>
      </c>
      <c r="H346" s="9"/>
    </row>
    <row r="347" spans="2:8" ht="15" hidden="1" customHeight="1" x14ac:dyDescent="0.35">
      <c r="B347" s="8"/>
      <c r="C347" s="87" t="s">
        <v>44</v>
      </c>
      <c r="D347" s="94"/>
      <c r="E347" s="94"/>
      <c r="F347" s="94"/>
      <c r="G347" s="95" t="s">
        <v>217</v>
      </c>
      <c r="H347" s="9"/>
    </row>
    <row r="348" spans="2:8" ht="15" hidden="1" customHeight="1" x14ac:dyDescent="0.35">
      <c r="B348" s="8"/>
      <c r="C348" s="87" t="s">
        <v>45</v>
      </c>
      <c r="D348" s="94"/>
      <c r="E348" s="94"/>
      <c r="F348" s="94"/>
      <c r="G348" s="95" t="s">
        <v>218</v>
      </c>
      <c r="H348" s="9"/>
    </row>
    <row r="349" spans="2:8" ht="15" hidden="1" customHeight="1" x14ac:dyDescent="0.35">
      <c r="B349" s="8"/>
      <c r="C349" s="87" t="s">
        <v>46</v>
      </c>
      <c r="D349" s="94"/>
      <c r="E349" s="94"/>
      <c r="F349" s="94"/>
      <c r="G349" s="95" t="s">
        <v>219</v>
      </c>
      <c r="H349" s="9"/>
    </row>
    <row r="350" spans="2:8" ht="15" hidden="1" customHeight="1" x14ac:dyDescent="0.35">
      <c r="B350" s="8"/>
      <c r="C350" s="87" t="s">
        <v>47</v>
      </c>
      <c r="D350" s="94"/>
      <c r="E350" s="94"/>
      <c r="F350" s="94"/>
      <c r="G350" s="95" t="s">
        <v>220</v>
      </c>
      <c r="H350" s="9"/>
    </row>
    <row r="351" spans="2:8" ht="15" hidden="1" customHeight="1" x14ac:dyDescent="0.35">
      <c r="B351" s="8"/>
      <c r="C351" s="87" t="s">
        <v>48</v>
      </c>
      <c r="D351" s="94"/>
      <c r="E351" s="94"/>
      <c r="F351" s="94"/>
      <c r="G351" s="95" t="s">
        <v>221</v>
      </c>
      <c r="H351" s="9"/>
    </row>
    <row r="352" spans="2:8" ht="15" hidden="1" customHeight="1" x14ac:dyDescent="0.35">
      <c r="B352" s="8"/>
      <c r="C352" s="87" t="s">
        <v>49</v>
      </c>
      <c r="D352" s="94"/>
      <c r="E352" s="94"/>
      <c r="F352" s="94"/>
      <c r="G352" s="95" t="s">
        <v>222</v>
      </c>
      <c r="H352" s="9"/>
    </row>
    <row r="353" spans="2:8" ht="15" hidden="1" customHeight="1" x14ac:dyDescent="0.35">
      <c r="B353" s="8"/>
      <c r="C353" s="87" t="s">
        <v>50</v>
      </c>
      <c r="D353" s="94"/>
      <c r="E353" s="94"/>
      <c r="F353" s="94"/>
      <c r="G353" s="95" t="s">
        <v>223</v>
      </c>
      <c r="H353" s="9"/>
    </row>
    <row r="354" spans="2:8" ht="15" hidden="1" customHeight="1" x14ac:dyDescent="0.35">
      <c r="B354" s="8"/>
      <c r="C354" s="87" t="s">
        <v>51</v>
      </c>
      <c r="D354" s="94"/>
      <c r="E354" s="94"/>
      <c r="F354" s="94"/>
      <c r="G354" s="95" t="s">
        <v>224</v>
      </c>
      <c r="H354" s="9"/>
    </row>
    <row r="355" spans="2:8" ht="15" hidden="1" customHeight="1" x14ac:dyDescent="0.35">
      <c r="B355" s="8"/>
      <c r="C355" s="87" t="s">
        <v>52</v>
      </c>
      <c r="D355" s="94"/>
      <c r="E355" s="94"/>
      <c r="F355" s="94"/>
      <c r="G355" s="95" t="s">
        <v>225</v>
      </c>
      <c r="H355" s="9"/>
    </row>
    <row r="356" spans="2:8" ht="15" hidden="1" customHeight="1" x14ac:dyDescent="0.35">
      <c r="B356" s="8"/>
      <c r="C356" s="87" t="s">
        <v>53</v>
      </c>
      <c r="D356" s="94"/>
      <c r="E356" s="94"/>
      <c r="F356" s="94"/>
      <c r="G356" s="95" t="s">
        <v>226</v>
      </c>
      <c r="H356" s="9"/>
    </row>
    <row r="357" spans="2:8" ht="15" hidden="1" customHeight="1" x14ac:dyDescent="0.35">
      <c r="B357" s="8"/>
      <c r="C357" s="87" t="s">
        <v>54</v>
      </c>
      <c r="D357" s="94"/>
      <c r="E357" s="94"/>
      <c r="F357" s="94"/>
      <c r="G357" s="95" t="s">
        <v>227</v>
      </c>
      <c r="H357" s="9"/>
    </row>
    <row r="358" spans="2:8" ht="15" hidden="1" customHeight="1" x14ac:dyDescent="0.35">
      <c r="B358" s="8"/>
      <c r="C358" s="87" t="s">
        <v>55</v>
      </c>
      <c r="D358" s="94"/>
      <c r="E358" s="94"/>
      <c r="F358" s="94"/>
      <c r="G358" s="95" t="s">
        <v>228</v>
      </c>
      <c r="H358" s="9"/>
    </row>
    <row r="359" spans="2:8" ht="15" hidden="1" customHeight="1" x14ac:dyDescent="0.35">
      <c r="B359" s="8"/>
      <c r="C359" s="87" t="s">
        <v>56</v>
      </c>
      <c r="D359" s="94"/>
      <c r="E359" s="94"/>
      <c r="F359" s="94"/>
      <c r="G359" s="95" t="s">
        <v>229</v>
      </c>
      <c r="H359" s="9"/>
    </row>
    <row r="360" spans="2:8" ht="15" hidden="1" customHeight="1" x14ac:dyDescent="0.35">
      <c r="B360" s="8"/>
      <c r="C360" s="87" t="s">
        <v>57</v>
      </c>
      <c r="D360" s="94"/>
      <c r="E360" s="94"/>
      <c r="F360" s="94"/>
      <c r="G360" s="95" t="s">
        <v>230</v>
      </c>
      <c r="H360" s="9"/>
    </row>
    <row r="361" spans="2:8" ht="15" hidden="1" customHeight="1" x14ac:dyDescent="0.35">
      <c r="B361" s="8"/>
      <c r="C361" s="87" t="s">
        <v>58</v>
      </c>
      <c r="D361" s="94"/>
      <c r="E361" s="94"/>
      <c r="F361" s="94"/>
      <c r="G361" s="95" t="s">
        <v>231</v>
      </c>
      <c r="H361" s="9"/>
    </row>
    <row r="362" spans="2:8" ht="15" hidden="1" customHeight="1" x14ac:dyDescent="0.35">
      <c r="B362" s="8"/>
      <c r="C362" s="87" t="s">
        <v>59</v>
      </c>
      <c r="D362" s="94"/>
      <c r="E362" s="94"/>
      <c r="F362" s="94"/>
      <c r="G362" s="95" t="s">
        <v>232</v>
      </c>
      <c r="H362" s="9"/>
    </row>
    <row r="363" spans="2:8" ht="15" hidden="1" customHeight="1" x14ac:dyDescent="0.25">
      <c r="B363" s="8"/>
      <c r="C363" s="86"/>
      <c r="D363" s="86"/>
      <c r="E363" s="86"/>
      <c r="F363" s="86"/>
      <c r="G363" s="86"/>
      <c r="H363" s="9"/>
    </row>
    <row r="364" spans="2:8" ht="15" hidden="1" customHeight="1" x14ac:dyDescent="0.25">
      <c r="B364" s="8"/>
      <c r="C364" s="86" t="s">
        <v>65</v>
      </c>
      <c r="D364" s="86"/>
      <c r="E364" s="86"/>
      <c r="F364" s="86"/>
      <c r="G364" s="86"/>
      <c r="H364" s="9"/>
    </row>
    <row r="365" spans="2:8" ht="15" hidden="1" customHeight="1" x14ac:dyDescent="0.25">
      <c r="B365" s="8"/>
      <c r="C365" s="91" t="s">
        <v>76</v>
      </c>
      <c r="D365" s="93" t="str">
        <f>IF(I.Product.P4Year1="","Baseline year 1",I.Product.P4Year1)</f>
        <v>Baseline year 1</v>
      </c>
      <c r="E365" s="93" t="str">
        <f>IF(I.Product.P4Year1="","Baseline year 2",I.Product.P4Year1+1)</f>
        <v>Baseline year 2</v>
      </c>
      <c r="F365" s="93" t="str">
        <f>IF(I.Product.P4Status&lt;&gt;"No","",IF(I.Product.P4Year1="","Baseline year 3",I.Product.P4Year1+2))</f>
        <v/>
      </c>
      <c r="G365" s="90" t="s">
        <v>17</v>
      </c>
      <c r="H365" s="9"/>
    </row>
    <row r="366" spans="2:8" ht="15" hidden="1" customHeight="1" x14ac:dyDescent="0.35">
      <c r="B366" s="8"/>
      <c r="C366" s="87" t="s">
        <v>36</v>
      </c>
      <c r="D366" s="94"/>
      <c r="E366" s="94"/>
      <c r="F366" s="94"/>
      <c r="G366" s="95" t="s">
        <v>209</v>
      </c>
      <c r="H366" s="9"/>
    </row>
    <row r="367" spans="2:8" ht="15" hidden="1" customHeight="1" x14ac:dyDescent="0.35">
      <c r="B367" s="8"/>
      <c r="C367" s="87" t="s">
        <v>37</v>
      </c>
      <c r="D367" s="94"/>
      <c r="E367" s="94"/>
      <c r="F367" s="94"/>
      <c r="G367" s="95" t="s">
        <v>210</v>
      </c>
      <c r="H367" s="9"/>
    </row>
    <row r="368" spans="2:8" ht="15" hidden="1" customHeight="1" x14ac:dyDescent="0.35">
      <c r="B368" s="8"/>
      <c r="C368" s="87" t="s">
        <v>38</v>
      </c>
      <c r="D368" s="94"/>
      <c r="E368" s="94"/>
      <c r="F368" s="94"/>
      <c r="G368" s="95" t="s">
        <v>211</v>
      </c>
      <c r="H368" s="9"/>
    </row>
    <row r="369" spans="2:8" ht="15" hidden="1" customHeight="1" x14ac:dyDescent="0.25">
      <c r="B369" s="8"/>
      <c r="C369" s="86"/>
      <c r="D369" s="86"/>
      <c r="E369" s="86"/>
      <c r="F369" s="86"/>
      <c r="G369" s="86"/>
      <c r="H369" s="9"/>
    </row>
    <row r="370" spans="2:8" ht="15" hidden="1" customHeight="1" x14ac:dyDescent="0.25">
      <c r="B370" s="8"/>
      <c r="C370" s="86" t="s">
        <v>66</v>
      </c>
      <c r="D370" s="86"/>
      <c r="E370" s="86"/>
      <c r="F370" s="86"/>
      <c r="G370" s="86"/>
      <c r="H370" s="9"/>
    </row>
    <row r="371" spans="2:8" ht="15" hidden="1" customHeight="1" x14ac:dyDescent="0.25">
      <c r="B371" s="8"/>
      <c r="C371" s="91" t="s">
        <v>76</v>
      </c>
      <c r="D371" s="93" t="str">
        <f>IF(I.Product.P4Year1="","Baseline year 1",I.Product.P4Year1)</f>
        <v>Baseline year 1</v>
      </c>
      <c r="E371" s="93" t="str">
        <f>IF(I.Product.P4Year1="","Baseline year 2",I.Product.P4Year1+1)</f>
        <v>Baseline year 2</v>
      </c>
      <c r="F371" s="93" t="str">
        <f>IF(I.Product.P4Status&lt;&gt;"No","",IF(I.Product.P4Year1="","Baseline year 3",I.Product.P4Year1+2))</f>
        <v/>
      </c>
      <c r="G371" s="90" t="s">
        <v>17</v>
      </c>
      <c r="H371" s="9"/>
    </row>
    <row r="372" spans="2:8" ht="15" hidden="1" customHeight="1" x14ac:dyDescent="0.35">
      <c r="B372" s="8"/>
      <c r="C372" s="87" t="s">
        <v>36</v>
      </c>
      <c r="D372" s="94"/>
      <c r="E372" s="94"/>
      <c r="F372" s="94"/>
      <c r="G372" s="95" t="s">
        <v>209</v>
      </c>
      <c r="H372" s="9"/>
    </row>
    <row r="373" spans="2:8" ht="15" hidden="1" customHeight="1" x14ac:dyDescent="0.35">
      <c r="B373" s="8"/>
      <c r="C373" s="87" t="s">
        <v>37</v>
      </c>
      <c r="D373" s="94"/>
      <c r="E373" s="94"/>
      <c r="F373" s="94"/>
      <c r="G373" s="95" t="s">
        <v>210</v>
      </c>
      <c r="H373" s="9"/>
    </row>
    <row r="374" spans="2:8" ht="15" hidden="1" customHeight="1" x14ac:dyDescent="0.35">
      <c r="B374" s="8"/>
      <c r="C374" s="87" t="s">
        <v>38</v>
      </c>
      <c r="D374" s="94"/>
      <c r="E374" s="94"/>
      <c r="F374" s="94"/>
      <c r="G374" s="95" t="s">
        <v>211</v>
      </c>
      <c r="H374" s="9"/>
    </row>
    <row r="375" spans="2:8" ht="15" hidden="1" customHeight="1" x14ac:dyDescent="0.25">
      <c r="B375" s="8"/>
      <c r="C375" s="86"/>
      <c r="D375" s="86"/>
      <c r="E375" s="86"/>
      <c r="F375" s="86"/>
      <c r="G375" s="86"/>
      <c r="H375" s="9"/>
    </row>
    <row r="376" spans="2:8" ht="15" hidden="1" customHeight="1" x14ac:dyDescent="0.25">
      <c r="B376" s="8"/>
      <c r="C376" s="86" t="s">
        <v>67</v>
      </c>
      <c r="D376" s="86"/>
      <c r="E376" s="86"/>
      <c r="F376" s="86"/>
      <c r="G376" s="86"/>
      <c r="H376" s="9"/>
    </row>
    <row r="377" spans="2:8" ht="15" hidden="1" customHeight="1" x14ac:dyDescent="0.25">
      <c r="B377" s="8"/>
      <c r="C377" s="91" t="s">
        <v>76</v>
      </c>
      <c r="D377" s="93" t="str">
        <f>IF(I.Product.P4Year1="","Baseline year 1",I.Product.P4Year1)</f>
        <v>Baseline year 1</v>
      </c>
      <c r="E377" s="93" t="str">
        <f>IF(I.Product.P4Year1="","Baseline year 2",I.Product.P4Year1+1)</f>
        <v>Baseline year 2</v>
      </c>
      <c r="F377" s="93" t="str">
        <f>IF(I.Product.P4Status&lt;&gt;"No","",IF(I.Product.P4Year1="","Baseline year 3",I.Product.P4Year1+2))</f>
        <v/>
      </c>
      <c r="G377" s="90" t="s">
        <v>17</v>
      </c>
      <c r="H377" s="9"/>
    </row>
    <row r="378" spans="2:8" ht="15" hidden="1" customHeight="1" x14ac:dyDescent="0.35">
      <c r="B378" s="8"/>
      <c r="C378" s="87" t="s">
        <v>36</v>
      </c>
      <c r="D378" s="94"/>
      <c r="E378" s="94"/>
      <c r="F378" s="94"/>
      <c r="G378" s="95" t="s">
        <v>209</v>
      </c>
      <c r="H378" s="9"/>
    </row>
    <row r="379" spans="2:8" ht="15" hidden="1" customHeight="1" x14ac:dyDescent="0.35">
      <c r="B379" s="8"/>
      <c r="C379" s="87" t="s">
        <v>37</v>
      </c>
      <c r="D379" s="94"/>
      <c r="E379" s="94"/>
      <c r="F379" s="94"/>
      <c r="G379" s="95" t="s">
        <v>210</v>
      </c>
      <c r="H379" s="9"/>
    </row>
    <row r="380" spans="2:8" ht="15" hidden="1" customHeight="1" x14ac:dyDescent="0.35">
      <c r="B380" s="8"/>
      <c r="C380" s="87" t="s">
        <v>38</v>
      </c>
      <c r="D380" s="94"/>
      <c r="E380" s="94"/>
      <c r="F380" s="94"/>
      <c r="G380" s="95" t="s">
        <v>211</v>
      </c>
      <c r="H380" s="9"/>
    </row>
    <row r="381" spans="2:8" ht="15" hidden="1" customHeight="1" x14ac:dyDescent="0.25">
      <c r="B381" s="8"/>
      <c r="C381" s="86"/>
      <c r="D381" s="86"/>
      <c r="E381" s="86"/>
      <c r="F381" s="86"/>
      <c r="G381" s="86"/>
      <c r="H381" s="9"/>
    </row>
    <row r="382" spans="2:8" ht="15" hidden="1" customHeight="1" x14ac:dyDescent="0.25">
      <c r="B382" s="8"/>
      <c r="C382" s="86" t="s">
        <v>68</v>
      </c>
      <c r="D382" s="86"/>
      <c r="E382" s="86"/>
      <c r="F382" s="86"/>
      <c r="G382" s="86"/>
      <c r="H382" s="9"/>
    </row>
    <row r="383" spans="2:8" ht="15" hidden="1" customHeight="1" x14ac:dyDescent="0.25">
      <c r="B383" s="8"/>
      <c r="C383" s="91" t="s">
        <v>76</v>
      </c>
      <c r="D383" s="93" t="str">
        <f>IF(I.Product.P4Year1="","Baseline year 1",I.Product.P4Year1)</f>
        <v>Baseline year 1</v>
      </c>
      <c r="E383" s="93" t="str">
        <f>IF(I.Product.P4Year1="","Baseline year 2",I.Product.P4Year1+1)</f>
        <v>Baseline year 2</v>
      </c>
      <c r="F383" s="93" t="str">
        <f>IF(I.Product.P4Status&lt;&gt;"No","",IF(I.Product.P4Year1="","Baseline year 3",I.Product.P4Year1+2))</f>
        <v/>
      </c>
      <c r="G383" s="90" t="s">
        <v>17</v>
      </c>
      <c r="H383" s="9"/>
    </row>
    <row r="384" spans="2:8" ht="15" hidden="1" customHeight="1" x14ac:dyDescent="0.35">
      <c r="B384" s="8"/>
      <c r="C384" s="87" t="s">
        <v>36</v>
      </c>
      <c r="D384" s="94"/>
      <c r="E384" s="94"/>
      <c r="F384" s="94"/>
      <c r="G384" s="95" t="s">
        <v>209</v>
      </c>
      <c r="H384" s="9"/>
    </row>
    <row r="385" spans="2:8" ht="15" hidden="1" customHeight="1" x14ac:dyDescent="0.35">
      <c r="B385" s="8"/>
      <c r="C385" s="87" t="s">
        <v>37</v>
      </c>
      <c r="D385" s="94"/>
      <c r="E385" s="94"/>
      <c r="F385" s="94"/>
      <c r="G385" s="95" t="s">
        <v>210</v>
      </c>
      <c r="H385" s="9"/>
    </row>
    <row r="386" spans="2:8" ht="15" hidden="1" customHeight="1" x14ac:dyDescent="0.35">
      <c r="B386" s="8"/>
      <c r="C386" s="87" t="s">
        <v>38</v>
      </c>
      <c r="D386" s="94"/>
      <c r="E386" s="94"/>
      <c r="F386" s="94"/>
      <c r="G386" s="95" t="s">
        <v>211</v>
      </c>
      <c r="H386" s="9"/>
    </row>
    <row r="387" spans="2:8" ht="15" hidden="1" customHeight="1" x14ac:dyDescent="0.25">
      <c r="B387" s="8"/>
      <c r="C387" s="86"/>
      <c r="D387" s="86"/>
      <c r="E387" s="86"/>
      <c r="F387" s="86"/>
      <c r="G387" s="86"/>
      <c r="H387" s="9"/>
    </row>
    <row r="388" spans="2:8" ht="15" hidden="1" customHeight="1" x14ac:dyDescent="0.25">
      <c r="B388" s="8"/>
      <c r="C388" s="86" t="s">
        <v>69</v>
      </c>
      <c r="D388" s="86"/>
      <c r="E388" s="86"/>
      <c r="F388" s="86"/>
      <c r="G388" s="86"/>
      <c r="H388" s="9"/>
    </row>
    <row r="389" spans="2:8" ht="15" hidden="1" customHeight="1" x14ac:dyDescent="0.25">
      <c r="B389" s="8"/>
      <c r="C389" s="91" t="s">
        <v>76</v>
      </c>
      <c r="D389" s="93" t="str">
        <f>IF(I.Product.P4Year1="","Baseline year 1",I.Product.P4Year1)</f>
        <v>Baseline year 1</v>
      </c>
      <c r="E389" s="93" t="str">
        <f>IF(I.Product.P4Year1="","Baseline year 2",I.Product.P4Year1+1)</f>
        <v>Baseline year 2</v>
      </c>
      <c r="F389" s="93" t="str">
        <f>IF(I.Product.P4Status&lt;&gt;"No","",IF(I.Product.P4Year1="","Baseline year 3",I.Product.P4Year1+2))</f>
        <v/>
      </c>
      <c r="G389" s="90" t="s">
        <v>17</v>
      </c>
      <c r="H389" s="9"/>
    </row>
    <row r="390" spans="2:8" ht="15" hidden="1" customHeight="1" x14ac:dyDescent="0.35">
      <c r="B390" s="8"/>
      <c r="C390" s="87" t="s">
        <v>36</v>
      </c>
      <c r="D390" s="94"/>
      <c r="E390" s="94"/>
      <c r="F390" s="94"/>
      <c r="G390" s="95" t="s">
        <v>209</v>
      </c>
      <c r="H390" s="9"/>
    </row>
    <row r="391" spans="2:8" ht="15" hidden="1" customHeight="1" x14ac:dyDescent="0.35">
      <c r="B391" s="8"/>
      <c r="C391" s="87" t="s">
        <v>37</v>
      </c>
      <c r="D391" s="94"/>
      <c r="E391" s="94"/>
      <c r="F391" s="94"/>
      <c r="G391" s="95" t="s">
        <v>210</v>
      </c>
      <c r="H391" s="9"/>
    </row>
    <row r="392" spans="2:8" ht="15" hidden="1" customHeight="1" x14ac:dyDescent="0.35">
      <c r="B392" s="8"/>
      <c r="C392" s="87" t="s">
        <v>38</v>
      </c>
      <c r="D392" s="94"/>
      <c r="E392" s="94"/>
      <c r="F392" s="94"/>
      <c r="G392" s="95" t="s">
        <v>211</v>
      </c>
      <c r="H392" s="9"/>
    </row>
    <row r="393" spans="2:8" ht="15" hidden="1" customHeight="1" x14ac:dyDescent="0.25">
      <c r="B393" s="8"/>
      <c r="C393" s="86"/>
      <c r="D393" s="86"/>
      <c r="E393" s="86"/>
      <c r="F393" s="86"/>
      <c r="G393" s="86"/>
      <c r="H393" s="9"/>
    </row>
    <row r="394" spans="2:8" ht="15" hidden="1" customHeight="1" x14ac:dyDescent="0.25">
      <c r="B394" s="8"/>
      <c r="C394" s="86" t="s">
        <v>70</v>
      </c>
      <c r="D394" s="86"/>
      <c r="E394" s="86"/>
      <c r="F394" s="86"/>
      <c r="G394" s="86"/>
      <c r="H394" s="9"/>
    </row>
    <row r="395" spans="2:8" ht="15" hidden="1" customHeight="1" x14ac:dyDescent="0.25">
      <c r="B395" s="8"/>
      <c r="C395" s="91" t="s">
        <v>76</v>
      </c>
      <c r="D395" s="93" t="str">
        <f>IF(I.Product.P4Year1="","Baseline year 1",I.Product.P4Year1)</f>
        <v>Baseline year 1</v>
      </c>
      <c r="E395" s="93" t="str">
        <f>IF(I.Product.P4Year1="","Baseline year 2",I.Product.P4Year1+1)</f>
        <v>Baseline year 2</v>
      </c>
      <c r="F395" s="93" t="str">
        <f>IF(I.Product.P4Status&lt;&gt;"No","",IF(I.Product.P4Year1="","Baseline year 3",I.Product.P4Year1+2))</f>
        <v/>
      </c>
      <c r="G395" s="90" t="s">
        <v>17</v>
      </c>
      <c r="H395" s="9"/>
    </row>
    <row r="396" spans="2:8" ht="15" hidden="1" customHeight="1" x14ac:dyDescent="0.35">
      <c r="B396" s="8"/>
      <c r="C396" s="87" t="s">
        <v>36</v>
      </c>
      <c r="D396" s="94"/>
      <c r="E396" s="94"/>
      <c r="F396" s="94"/>
      <c r="G396" s="95" t="s">
        <v>209</v>
      </c>
      <c r="H396" s="9"/>
    </row>
    <row r="397" spans="2:8" ht="15" hidden="1" customHeight="1" x14ac:dyDescent="0.35">
      <c r="B397" s="8"/>
      <c r="C397" s="87" t="s">
        <v>37</v>
      </c>
      <c r="D397" s="94"/>
      <c r="E397" s="94"/>
      <c r="F397" s="94"/>
      <c r="G397" s="95" t="s">
        <v>210</v>
      </c>
      <c r="H397" s="9"/>
    </row>
    <row r="398" spans="2:8" ht="15" hidden="1" customHeight="1" x14ac:dyDescent="0.35">
      <c r="B398" s="8"/>
      <c r="C398" s="87" t="s">
        <v>38</v>
      </c>
      <c r="D398" s="94"/>
      <c r="E398" s="94"/>
      <c r="F398" s="94"/>
      <c r="G398" s="95" t="s">
        <v>211</v>
      </c>
      <c r="H398" s="9"/>
    </row>
    <row r="399" spans="2:8" ht="15" hidden="1" customHeight="1" x14ac:dyDescent="0.25">
      <c r="B399" s="8"/>
      <c r="C399" s="86"/>
      <c r="D399" s="86"/>
      <c r="E399" s="86"/>
      <c r="F399" s="86"/>
      <c r="G399" s="86"/>
      <c r="H399" s="9"/>
    </row>
    <row r="400" spans="2:8" ht="20.100000000000001" hidden="1" customHeight="1" x14ac:dyDescent="0.25">
      <c r="B400" s="18"/>
      <c r="C400" s="104" t="s">
        <v>13</v>
      </c>
      <c r="D400" s="104"/>
      <c r="E400" s="104"/>
      <c r="F400" s="104"/>
      <c r="G400" s="104"/>
      <c r="H400" s="19"/>
    </row>
    <row r="401" spans="2:8" ht="15" hidden="1" customHeight="1" x14ac:dyDescent="0.25">
      <c r="B401" s="8"/>
      <c r="C401" s="86"/>
      <c r="D401" s="86"/>
      <c r="E401" s="86"/>
      <c r="F401" s="86"/>
      <c r="G401" s="86"/>
      <c r="H401" s="9"/>
    </row>
    <row r="402" spans="2:8" ht="15" hidden="1" customHeight="1" x14ac:dyDescent="0.25">
      <c r="B402" s="8"/>
      <c r="C402" s="86" t="s">
        <v>19</v>
      </c>
      <c r="D402" s="86"/>
      <c r="E402" s="86"/>
      <c r="F402" s="86"/>
      <c r="G402" s="86"/>
      <c r="H402" s="9"/>
    </row>
    <row r="403" spans="2:8" ht="15" hidden="1" customHeight="1" x14ac:dyDescent="0.25">
      <c r="B403" s="8"/>
      <c r="C403" s="118" t="str">
        <f>IF(I.Product.P5Name="","",I.Product.P5Name)</f>
        <v/>
      </c>
      <c r="D403" s="119"/>
      <c r="E403" s="86"/>
      <c r="F403" s="86"/>
      <c r="G403" s="86"/>
      <c r="H403" s="9"/>
    </row>
    <row r="404" spans="2:8" ht="15" hidden="1" customHeight="1" x14ac:dyDescent="0.25">
      <c r="B404" s="8"/>
      <c r="C404" s="86"/>
      <c r="D404" s="86"/>
      <c r="E404" s="86"/>
      <c r="F404" s="86"/>
      <c r="G404" s="86"/>
      <c r="H404" s="9"/>
    </row>
    <row r="405" spans="2:8" ht="15" hidden="1" customHeight="1" x14ac:dyDescent="0.25">
      <c r="B405" s="8"/>
      <c r="C405" s="86" t="s">
        <v>63</v>
      </c>
      <c r="D405" s="86"/>
      <c r="E405" s="86"/>
      <c r="F405" s="86"/>
      <c r="G405" s="86"/>
      <c r="H405" s="9"/>
    </row>
    <row r="406" spans="2:8" ht="15" hidden="1" customHeight="1" x14ac:dyDescent="0.25">
      <c r="B406" s="8"/>
      <c r="C406" s="91" t="s">
        <v>76</v>
      </c>
      <c r="D406" s="93" t="str">
        <f>IF(I.Product.P5Year1="","Baseline year 1",I.Product.P5Year1)</f>
        <v>Baseline year 1</v>
      </c>
      <c r="E406" s="93" t="str">
        <f>IF(I.Product.P5Year1="","Baseline year 2",I.Product.P5Year1+1)</f>
        <v>Baseline year 2</v>
      </c>
      <c r="F406" s="93" t="str">
        <f>IF(I.Product.P5Status&lt;&gt;"No","",IF(I.Product.P5Year1="","Baseline year 3",I.Product.P5Year1+2))</f>
        <v/>
      </c>
      <c r="G406" s="90" t="s">
        <v>17</v>
      </c>
      <c r="H406" s="9"/>
    </row>
    <row r="407" spans="2:8" ht="15" hidden="1" customHeight="1" x14ac:dyDescent="0.35">
      <c r="B407" s="8"/>
      <c r="C407" s="87" t="s">
        <v>36</v>
      </c>
      <c r="D407" s="94"/>
      <c r="E407" s="94"/>
      <c r="F407" s="94"/>
      <c r="G407" s="95" t="s">
        <v>209</v>
      </c>
      <c r="H407" s="9"/>
    </row>
    <row r="408" spans="2:8" ht="15" hidden="1" customHeight="1" x14ac:dyDescent="0.35">
      <c r="B408" s="8"/>
      <c r="C408" s="87" t="s">
        <v>37</v>
      </c>
      <c r="D408" s="94"/>
      <c r="E408" s="94"/>
      <c r="F408" s="94"/>
      <c r="G408" s="95" t="s">
        <v>210</v>
      </c>
      <c r="H408" s="9"/>
    </row>
    <row r="409" spans="2:8" ht="15" hidden="1" customHeight="1" x14ac:dyDescent="0.35">
      <c r="B409" s="8"/>
      <c r="C409" s="87" t="s">
        <v>38</v>
      </c>
      <c r="D409" s="94"/>
      <c r="E409" s="94"/>
      <c r="F409" s="94"/>
      <c r="G409" s="95" t="s">
        <v>211</v>
      </c>
      <c r="H409" s="9"/>
    </row>
    <row r="410" spans="2:8" ht="15" hidden="1" customHeight="1" x14ac:dyDescent="0.25">
      <c r="B410" s="8"/>
      <c r="C410" s="86"/>
      <c r="D410" s="86"/>
      <c r="E410" s="86"/>
      <c r="F410" s="86"/>
      <c r="G410" s="86"/>
      <c r="H410" s="9"/>
    </row>
    <row r="411" spans="2:8" ht="15" hidden="1" customHeight="1" x14ac:dyDescent="0.25">
      <c r="B411" s="8"/>
      <c r="C411" s="86" t="s">
        <v>24</v>
      </c>
      <c r="D411" s="86"/>
      <c r="E411" s="86"/>
      <c r="F411" s="86"/>
      <c r="G411" s="86"/>
      <c r="H411" s="9"/>
    </row>
    <row r="412" spans="2:8" ht="15" hidden="1" customHeight="1" x14ac:dyDescent="0.25">
      <c r="B412" s="8"/>
      <c r="C412" s="91" t="s">
        <v>76</v>
      </c>
      <c r="D412" s="93" t="str">
        <f>IF(I.Product.P5Year1="","Baseline year 1",I.Product.P5Year1)</f>
        <v>Baseline year 1</v>
      </c>
      <c r="E412" s="93" t="str">
        <f>IF(I.Product.P5Year1="","Baseline year 2",I.Product.P5Year1+1)</f>
        <v>Baseline year 2</v>
      </c>
      <c r="F412" s="93" t="str">
        <f>IF(I.Product.P5Status&lt;&gt;"No","",IF(I.Product.P5Year1="","Baseline year 3",I.Product.P5Year1+2))</f>
        <v/>
      </c>
      <c r="G412" s="90" t="s">
        <v>17</v>
      </c>
      <c r="H412" s="9"/>
    </row>
    <row r="413" spans="2:8" ht="15" hidden="1" customHeight="1" x14ac:dyDescent="0.35">
      <c r="B413" s="8"/>
      <c r="C413" s="87" t="s">
        <v>36</v>
      </c>
      <c r="D413" s="94"/>
      <c r="E413" s="94"/>
      <c r="F413" s="94"/>
      <c r="G413" s="95" t="s">
        <v>209</v>
      </c>
      <c r="H413" s="9"/>
    </row>
    <row r="414" spans="2:8" ht="15" hidden="1" customHeight="1" x14ac:dyDescent="0.35">
      <c r="B414" s="8"/>
      <c r="C414" s="87" t="s">
        <v>37</v>
      </c>
      <c r="D414" s="94"/>
      <c r="E414" s="94"/>
      <c r="F414" s="94"/>
      <c r="G414" s="95" t="s">
        <v>210</v>
      </c>
      <c r="H414" s="9"/>
    </row>
    <row r="415" spans="2:8" ht="15" hidden="1" customHeight="1" x14ac:dyDescent="0.35">
      <c r="B415" s="8"/>
      <c r="C415" s="87" t="s">
        <v>38</v>
      </c>
      <c r="D415" s="94"/>
      <c r="E415" s="94"/>
      <c r="F415" s="94"/>
      <c r="G415" s="95" t="s">
        <v>211</v>
      </c>
      <c r="H415" s="9"/>
    </row>
    <row r="416" spans="2:8" ht="15" hidden="1" customHeight="1" x14ac:dyDescent="0.35">
      <c r="B416" s="8"/>
      <c r="C416" s="87" t="s">
        <v>39</v>
      </c>
      <c r="D416" s="94"/>
      <c r="E416" s="94"/>
      <c r="F416" s="94"/>
      <c r="G416" s="95" t="s">
        <v>212</v>
      </c>
      <c r="H416" s="9"/>
    </row>
    <row r="417" spans="2:8" ht="15" hidden="1" customHeight="1" x14ac:dyDescent="0.35">
      <c r="B417" s="8"/>
      <c r="C417" s="87" t="s">
        <v>40</v>
      </c>
      <c r="D417" s="94"/>
      <c r="E417" s="94"/>
      <c r="F417" s="94"/>
      <c r="G417" s="95" t="s">
        <v>213</v>
      </c>
      <c r="H417" s="9"/>
    </row>
    <row r="418" spans="2:8" ht="15" hidden="1" customHeight="1" x14ac:dyDescent="0.35">
      <c r="B418" s="8"/>
      <c r="C418" s="87" t="s">
        <v>41</v>
      </c>
      <c r="D418" s="94"/>
      <c r="E418" s="94"/>
      <c r="F418" s="94"/>
      <c r="G418" s="95" t="s">
        <v>214</v>
      </c>
      <c r="H418" s="9"/>
    </row>
    <row r="419" spans="2:8" ht="15" hidden="1" customHeight="1" x14ac:dyDescent="0.35">
      <c r="B419" s="8"/>
      <c r="C419" s="87" t="s">
        <v>42</v>
      </c>
      <c r="D419" s="94"/>
      <c r="E419" s="94"/>
      <c r="F419" s="94"/>
      <c r="G419" s="95" t="s">
        <v>215</v>
      </c>
      <c r="H419" s="9"/>
    </row>
    <row r="420" spans="2:8" ht="15" hidden="1" customHeight="1" x14ac:dyDescent="0.35">
      <c r="B420" s="8"/>
      <c r="C420" s="87" t="s">
        <v>43</v>
      </c>
      <c r="D420" s="94"/>
      <c r="E420" s="94"/>
      <c r="F420" s="94"/>
      <c r="G420" s="95" t="s">
        <v>216</v>
      </c>
      <c r="H420" s="9"/>
    </row>
    <row r="421" spans="2:8" ht="15" hidden="1" customHeight="1" x14ac:dyDescent="0.35">
      <c r="B421" s="8"/>
      <c r="C421" s="87" t="s">
        <v>44</v>
      </c>
      <c r="D421" s="94"/>
      <c r="E421" s="94"/>
      <c r="F421" s="94"/>
      <c r="G421" s="95" t="s">
        <v>217</v>
      </c>
      <c r="H421" s="9"/>
    </row>
    <row r="422" spans="2:8" ht="15" hidden="1" customHeight="1" x14ac:dyDescent="0.35">
      <c r="B422" s="8"/>
      <c r="C422" s="87" t="s">
        <v>45</v>
      </c>
      <c r="D422" s="94"/>
      <c r="E422" s="94"/>
      <c r="F422" s="94"/>
      <c r="G422" s="95" t="s">
        <v>218</v>
      </c>
      <c r="H422" s="9"/>
    </row>
    <row r="423" spans="2:8" ht="15" hidden="1" customHeight="1" x14ac:dyDescent="0.35">
      <c r="B423" s="8"/>
      <c r="C423" s="87" t="s">
        <v>46</v>
      </c>
      <c r="D423" s="94"/>
      <c r="E423" s="94"/>
      <c r="F423" s="94"/>
      <c r="G423" s="95" t="s">
        <v>219</v>
      </c>
      <c r="H423" s="9"/>
    </row>
    <row r="424" spans="2:8" ht="15" hidden="1" customHeight="1" x14ac:dyDescent="0.35">
      <c r="B424" s="8"/>
      <c r="C424" s="87" t="s">
        <v>47</v>
      </c>
      <c r="D424" s="94"/>
      <c r="E424" s="94"/>
      <c r="F424" s="94"/>
      <c r="G424" s="95" t="s">
        <v>220</v>
      </c>
      <c r="H424" s="9"/>
    </row>
    <row r="425" spans="2:8" ht="15" hidden="1" customHeight="1" x14ac:dyDescent="0.35">
      <c r="B425" s="8"/>
      <c r="C425" s="87" t="s">
        <v>48</v>
      </c>
      <c r="D425" s="94"/>
      <c r="E425" s="94"/>
      <c r="F425" s="94"/>
      <c r="G425" s="95" t="s">
        <v>221</v>
      </c>
      <c r="H425" s="9"/>
    </row>
    <row r="426" spans="2:8" ht="15" hidden="1" customHeight="1" x14ac:dyDescent="0.35">
      <c r="B426" s="8"/>
      <c r="C426" s="87" t="s">
        <v>49</v>
      </c>
      <c r="D426" s="94"/>
      <c r="E426" s="94"/>
      <c r="F426" s="94"/>
      <c r="G426" s="95" t="s">
        <v>222</v>
      </c>
      <c r="H426" s="9"/>
    </row>
    <row r="427" spans="2:8" ht="15" hidden="1" customHeight="1" x14ac:dyDescent="0.35">
      <c r="B427" s="8"/>
      <c r="C427" s="87" t="s">
        <v>50</v>
      </c>
      <c r="D427" s="94"/>
      <c r="E427" s="94"/>
      <c r="F427" s="94"/>
      <c r="G427" s="95" t="s">
        <v>223</v>
      </c>
      <c r="H427" s="9"/>
    </row>
    <row r="428" spans="2:8" ht="15" hidden="1" customHeight="1" x14ac:dyDescent="0.35">
      <c r="B428" s="8"/>
      <c r="C428" s="87" t="s">
        <v>51</v>
      </c>
      <c r="D428" s="94"/>
      <c r="E428" s="94"/>
      <c r="F428" s="94"/>
      <c r="G428" s="95" t="s">
        <v>224</v>
      </c>
      <c r="H428" s="9"/>
    </row>
    <row r="429" spans="2:8" ht="15" hidden="1" customHeight="1" x14ac:dyDescent="0.35">
      <c r="B429" s="8"/>
      <c r="C429" s="87" t="s">
        <v>52</v>
      </c>
      <c r="D429" s="94"/>
      <c r="E429" s="94"/>
      <c r="F429" s="94"/>
      <c r="G429" s="95" t="s">
        <v>225</v>
      </c>
      <c r="H429" s="9"/>
    </row>
    <row r="430" spans="2:8" ht="15" hidden="1" customHeight="1" x14ac:dyDescent="0.35">
      <c r="B430" s="8"/>
      <c r="C430" s="87" t="s">
        <v>53</v>
      </c>
      <c r="D430" s="94"/>
      <c r="E430" s="94"/>
      <c r="F430" s="94"/>
      <c r="G430" s="95" t="s">
        <v>226</v>
      </c>
      <c r="H430" s="9"/>
    </row>
    <row r="431" spans="2:8" ht="15" hidden="1" customHeight="1" x14ac:dyDescent="0.35">
      <c r="B431" s="8"/>
      <c r="C431" s="87" t="s">
        <v>54</v>
      </c>
      <c r="D431" s="94"/>
      <c r="E431" s="94"/>
      <c r="F431" s="94"/>
      <c r="G431" s="95" t="s">
        <v>227</v>
      </c>
      <c r="H431" s="9"/>
    </row>
    <row r="432" spans="2:8" ht="15" hidden="1" customHeight="1" x14ac:dyDescent="0.35">
      <c r="B432" s="8"/>
      <c r="C432" s="87" t="s">
        <v>55</v>
      </c>
      <c r="D432" s="94"/>
      <c r="E432" s="94"/>
      <c r="F432" s="94"/>
      <c r="G432" s="95" t="s">
        <v>228</v>
      </c>
      <c r="H432" s="9"/>
    </row>
    <row r="433" spans="2:8" ht="15" hidden="1" customHeight="1" x14ac:dyDescent="0.35">
      <c r="B433" s="8"/>
      <c r="C433" s="87" t="s">
        <v>56</v>
      </c>
      <c r="D433" s="94"/>
      <c r="E433" s="94"/>
      <c r="F433" s="94"/>
      <c r="G433" s="95" t="s">
        <v>229</v>
      </c>
      <c r="H433" s="9"/>
    </row>
    <row r="434" spans="2:8" ht="15" hidden="1" customHeight="1" x14ac:dyDescent="0.35">
      <c r="B434" s="8"/>
      <c r="C434" s="87" t="s">
        <v>57</v>
      </c>
      <c r="D434" s="94"/>
      <c r="E434" s="94"/>
      <c r="F434" s="94"/>
      <c r="G434" s="95" t="s">
        <v>230</v>
      </c>
      <c r="H434" s="9"/>
    </row>
    <row r="435" spans="2:8" ht="15" hidden="1" customHeight="1" x14ac:dyDescent="0.35">
      <c r="B435" s="8"/>
      <c r="C435" s="87" t="s">
        <v>58</v>
      </c>
      <c r="D435" s="94"/>
      <c r="E435" s="94"/>
      <c r="F435" s="94"/>
      <c r="G435" s="95" t="s">
        <v>231</v>
      </c>
      <c r="H435" s="9"/>
    </row>
    <row r="436" spans="2:8" ht="15" hidden="1" customHeight="1" x14ac:dyDescent="0.35">
      <c r="B436" s="8"/>
      <c r="C436" s="87" t="s">
        <v>59</v>
      </c>
      <c r="D436" s="94"/>
      <c r="E436" s="94"/>
      <c r="F436" s="94"/>
      <c r="G436" s="95" t="s">
        <v>232</v>
      </c>
      <c r="H436" s="9"/>
    </row>
    <row r="437" spans="2:8" ht="15" hidden="1" customHeight="1" x14ac:dyDescent="0.25">
      <c r="B437" s="8"/>
      <c r="C437" s="86"/>
      <c r="D437" s="86"/>
      <c r="E437" s="86"/>
      <c r="F437" s="86"/>
      <c r="G437" s="86"/>
      <c r="H437" s="9"/>
    </row>
    <row r="438" spans="2:8" ht="15" hidden="1" customHeight="1" x14ac:dyDescent="0.25">
      <c r="B438" s="8"/>
      <c r="C438" s="86" t="s">
        <v>64</v>
      </c>
      <c r="D438" s="86"/>
      <c r="E438" s="86"/>
      <c r="F438" s="86"/>
      <c r="G438" s="86"/>
      <c r="H438" s="9"/>
    </row>
    <row r="439" spans="2:8" ht="15" hidden="1" customHeight="1" x14ac:dyDescent="0.25">
      <c r="B439" s="8"/>
      <c r="C439" s="91" t="s">
        <v>76</v>
      </c>
      <c r="D439" s="93" t="str">
        <f>IF(I.Product.P5Year1="","Baseline year 1",I.Product.P5Year1)</f>
        <v>Baseline year 1</v>
      </c>
      <c r="E439" s="93" t="str">
        <f>IF(I.Product.P5Year1="","Baseline year 2",I.Product.P5Year1+1)</f>
        <v>Baseline year 2</v>
      </c>
      <c r="F439" s="93" t="str">
        <f>IF(I.Product.P5Status&lt;&gt;"No","",IF(I.Product.P5Year1="","Baseline year 3",I.Product.P5Year1+2))</f>
        <v/>
      </c>
      <c r="G439" s="90" t="s">
        <v>17</v>
      </c>
      <c r="H439" s="9"/>
    </row>
    <row r="440" spans="2:8" ht="15" hidden="1" customHeight="1" x14ac:dyDescent="0.35">
      <c r="B440" s="8"/>
      <c r="C440" s="87" t="s">
        <v>39</v>
      </c>
      <c r="D440" s="94"/>
      <c r="E440" s="94"/>
      <c r="F440" s="94"/>
      <c r="G440" s="95" t="s">
        <v>212</v>
      </c>
      <c r="H440" s="9"/>
    </row>
    <row r="441" spans="2:8" ht="15" hidden="1" customHeight="1" x14ac:dyDescent="0.35">
      <c r="B441" s="8"/>
      <c r="C441" s="87" t="s">
        <v>40</v>
      </c>
      <c r="D441" s="94"/>
      <c r="E441" s="94"/>
      <c r="F441" s="94"/>
      <c r="G441" s="95" t="s">
        <v>213</v>
      </c>
      <c r="H441" s="9"/>
    </row>
    <row r="442" spans="2:8" ht="15" hidden="1" customHeight="1" x14ac:dyDescent="0.35">
      <c r="B442" s="8"/>
      <c r="C442" s="87" t="s">
        <v>41</v>
      </c>
      <c r="D442" s="94"/>
      <c r="E442" s="94"/>
      <c r="F442" s="94"/>
      <c r="G442" s="95" t="s">
        <v>214</v>
      </c>
      <c r="H442" s="9"/>
    </row>
    <row r="443" spans="2:8" ht="15" hidden="1" customHeight="1" x14ac:dyDescent="0.35">
      <c r="B443" s="8"/>
      <c r="C443" s="87" t="s">
        <v>42</v>
      </c>
      <c r="D443" s="94"/>
      <c r="E443" s="94"/>
      <c r="F443" s="94"/>
      <c r="G443" s="95" t="s">
        <v>215</v>
      </c>
      <c r="H443" s="9"/>
    </row>
    <row r="444" spans="2:8" ht="15" hidden="1" customHeight="1" x14ac:dyDescent="0.35">
      <c r="B444" s="8"/>
      <c r="C444" s="87" t="s">
        <v>43</v>
      </c>
      <c r="D444" s="94"/>
      <c r="E444" s="94"/>
      <c r="F444" s="94"/>
      <c r="G444" s="95" t="s">
        <v>216</v>
      </c>
      <c r="H444" s="9"/>
    </row>
    <row r="445" spans="2:8" ht="15" hidden="1" customHeight="1" x14ac:dyDescent="0.35">
      <c r="B445" s="8"/>
      <c r="C445" s="87" t="s">
        <v>44</v>
      </c>
      <c r="D445" s="94"/>
      <c r="E445" s="94"/>
      <c r="F445" s="94"/>
      <c r="G445" s="95" t="s">
        <v>217</v>
      </c>
      <c r="H445" s="9"/>
    </row>
    <row r="446" spans="2:8" ht="15" hidden="1" customHeight="1" x14ac:dyDescent="0.35">
      <c r="B446" s="8"/>
      <c r="C446" s="87" t="s">
        <v>45</v>
      </c>
      <c r="D446" s="94"/>
      <c r="E446" s="94"/>
      <c r="F446" s="94"/>
      <c r="G446" s="95" t="s">
        <v>218</v>
      </c>
      <c r="H446" s="9"/>
    </row>
    <row r="447" spans="2:8" ht="15" hidden="1" customHeight="1" x14ac:dyDescent="0.35">
      <c r="B447" s="8"/>
      <c r="C447" s="87" t="s">
        <v>46</v>
      </c>
      <c r="D447" s="94"/>
      <c r="E447" s="94"/>
      <c r="F447" s="94"/>
      <c r="G447" s="95" t="s">
        <v>219</v>
      </c>
      <c r="H447" s="9"/>
    </row>
    <row r="448" spans="2:8" ht="15" hidden="1" customHeight="1" x14ac:dyDescent="0.35">
      <c r="B448" s="8"/>
      <c r="C448" s="87" t="s">
        <v>47</v>
      </c>
      <c r="D448" s="94"/>
      <c r="E448" s="94"/>
      <c r="F448" s="94"/>
      <c r="G448" s="95" t="s">
        <v>220</v>
      </c>
      <c r="H448" s="9"/>
    </row>
    <row r="449" spans="2:8" ht="15" hidden="1" customHeight="1" x14ac:dyDescent="0.35">
      <c r="B449" s="8"/>
      <c r="C449" s="87" t="s">
        <v>48</v>
      </c>
      <c r="D449" s="94"/>
      <c r="E449" s="94"/>
      <c r="F449" s="94"/>
      <c r="G449" s="95" t="s">
        <v>221</v>
      </c>
      <c r="H449" s="9"/>
    </row>
    <row r="450" spans="2:8" ht="15" hidden="1" customHeight="1" x14ac:dyDescent="0.35">
      <c r="B450" s="8"/>
      <c r="C450" s="87" t="s">
        <v>49</v>
      </c>
      <c r="D450" s="94"/>
      <c r="E450" s="94"/>
      <c r="F450" s="94"/>
      <c r="G450" s="95" t="s">
        <v>222</v>
      </c>
      <c r="H450" s="9"/>
    </row>
    <row r="451" spans="2:8" ht="15" hidden="1" customHeight="1" x14ac:dyDescent="0.35">
      <c r="B451" s="8"/>
      <c r="C451" s="87" t="s">
        <v>50</v>
      </c>
      <c r="D451" s="94"/>
      <c r="E451" s="94"/>
      <c r="F451" s="94"/>
      <c r="G451" s="95" t="s">
        <v>223</v>
      </c>
      <c r="H451" s="9"/>
    </row>
    <row r="452" spans="2:8" ht="15" hidden="1" customHeight="1" x14ac:dyDescent="0.35">
      <c r="B452" s="8"/>
      <c r="C452" s="87" t="s">
        <v>51</v>
      </c>
      <c r="D452" s="94"/>
      <c r="E452" s="94"/>
      <c r="F452" s="94"/>
      <c r="G452" s="95" t="s">
        <v>224</v>
      </c>
      <c r="H452" s="9"/>
    </row>
    <row r="453" spans="2:8" ht="15" hidden="1" customHeight="1" x14ac:dyDescent="0.35">
      <c r="B453" s="8"/>
      <c r="C453" s="87" t="s">
        <v>52</v>
      </c>
      <c r="D453" s="94"/>
      <c r="E453" s="94"/>
      <c r="F453" s="94"/>
      <c r="G453" s="95" t="s">
        <v>225</v>
      </c>
      <c r="H453" s="9"/>
    </row>
    <row r="454" spans="2:8" ht="15" hidden="1" customHeight="1" x14ac:dyDescent="0.35">
      <c r="B454" s="8"/>
      <c r="C454" s="87" t="s">
        <v>53</v>
      </c>
      <c r="D454" s="94"/>
      <c r="E454" s="94"/>
      <c r="F454" s="94"/>
      <c r="G454" s="95" t="s">
        <v>226</v>
      </c>
      <c r="H454" s="9"/>
    </row>
    <row r="455" spans="2:8" ht="15" hidden="1" customHeight="1" x14ac:dyDescent="0.35">
      <c r="B455" s="8"/>
      <c r="C455" s="87" t="s">
        <v>54</v>
      </c>
      <c r="D455" s="94"/>
      <c r="E455" s="94"/>
      <c r="F455" s="94"/>
      <c r="G455" s="95" t="s">
        <v>227</v>
      </c>
      <c r="H455" s="9"/>
    </row>
    <row r="456" spans="2:8" ht="15" hidden="1" customHeight="1" x14ac:dyDescent="0.35">
      <c r="B456" s="8"/>
      <c r="C456" s="87" t="s">
        <v>55</v>
      </c>
      <c r="D456" s="94"/>
      <c r="E456" s="94"/>
      <c r="F456" s="94"/>
      <c r="G456" s="95" t="s">
        <v>228</v>
      </c>
      <c r="H456" s="9"/>
    </row>
    <row r="457" spans="2:8" ht="15" hidden="1" customHeight="1" x14ac:dyDescent="0.35">
      <c r="B457" s="8"/>
      <c r="C457" s="87" t="s">
        <v>56</v>
      </c>
      <c r="D457" s="94"/>
      <c r="E457" s="94"/>
      <c r="F457" s="94"/>
      <c r="G457" s="95" t="s">
        <v>229</v>
      </c>
      <c r="H457" s="9"/>
    </row>
    <row r="458" spans="2:8" ht="15" hidden="1" customHeight="1" x14ac:dyDescent="0.35">
      <c r="B458" s="8"/>
      <c r="C458" s="87" t="s">
        <v>57</v>
      </c>
      <c r="D458" s="94"/>
      <c r="E458" s="94"/>
      <c r="F458" s="94"/>
      <c r="G458" s="95" t="s">
        <v>230</v>
      </c>
      <c r="H458" s="9"/>
    </row>
    <row r="459" spans="2:8" ht="15" hidden="1" customHeight="1" x14ac:dyDescent="0.35">
      <c r="B459" s="8"/>
      <c r="C459" s="87" t="s">
        <v>58</v>
      </c>
      <c r="D459" s="94"/>
      <c r="E459" s="94"/>
      <c r="F459" s="94"/>
      <c r="G459" s="95" t="s">
        <v>231</v>
      </c>
      <c r="H459" s="9"/>
    </row>
    <row r="460" spans="2:8" ht="15" hidden="1" customHeight="1" x14ac:dyDescent="0.35">
      <c r="B460" s="8"/>
      <c r="C460" s="87" t="s">
        <v>59</v>
      </c>
      <c r="D460" s="94"/>
      <c r="E460" s="94"/>
      <c r="F460" s="94"/>
      <c r="G460" s="95" t="s">
        <v>232</v>
      </c>
      <c r="H460" s="9"/>
    </row>
    <row r="461" spans="2:8" ht="15" hidden="1" customHeight="1" x14ac:dyDescent="0.25">
      <c r="B461" s="8"/>
      <c r="C461" s="86"/>
      <c r="D461" s="86"/>
      <c r="E461" s="86"/>
      <c r="F461" s="86"/>
      <c r="G461" s="86"/>
      <c r="H461" s="9"/>
    </row>
    <row r="462" spans="2:8" ht="15" hidden="1" customHeight="1" x14ac:dyDescent="0.25">
      <c r="B462" s="8"/>
      <c r="C462" s="86" t="s">
        <v>65</v>
      </c>
      <c r="D462" s="86"/>
      <c r="E462" s="86"/>
      <c r="F462" s="86"/>
      <c r="G462" s="86"/>
      <c r="H462" s="9"/>
    </row>
    <row r="463" spans="2:8" ht="15" hidden="1" customHeight="1" x14ac:dyDescent="0.25">
      <c r="B463" s="8"/>
      <c r="C463" s="91" t="s">
        <v>76</v>
      </c>
      <c r="D463" s="93" t="str">
        <f>IF(I.Product.P5Year1="","Baseline year 1",I.Product.P5Year1)</f>
        <v>Baseline year 1</v>
      </c>
      <c r="E463" s="93" t="str">
        <f>IF(I.Product.P5Year1="","Baseline year 2",I.Product.P5Year1+1)</f>
        <v>Baseline year 2</v>
      </c>
      <c r="F463" s="93" t="str">
        <f>IF(I.Product.P5Status&lt;&gt;"No","",IF(I.Product.P5Year1="","Baseline year 3",I.Product.P5Year1+2))</f>
        <v/>
      </c>
      <c r="G463" s="90" t="s">
        <v>17</v>
      </c>
      <c r="H463" s="9"/>
    </row>
    <row r="464" spans="2:8" ht="15" hidden="1" customHeight="1" x14ac:dyDescent="0.35">
      <c r="B464" s="8"/>
      <c r="C464" s="87" t="s">
        <v>36</v>
      </c>
      <c r="D464" s="94"/>
      <c r="E464" s="94"/>
      <c r="F464" s="94"/>
      <c r="G464" s="95" t="s">
        <v>209</v>
      </c>
      <c r="H464" s="9"/>
    </row>
    <row r="465" spans="2:8" ht="15" hidden="1" customHeight="1" x14ac:dyDescent="0.35">
      <c r="B465" s="8"/>
      <c r="C465" s="87" t="s">
        <v>37</v>
      </c>
      <c r="D465" s="94"/>
      <c r="E465" s="94"/>
      <c r="F465" s="94"/>
      <c r="G465" s="95" t="s">
        <v>210</v>
      </c>
      <c r="H465" s="9"/>
    </row>
    <row r="466" spans="2:8" ht="15" hidden="1" customHeight="1" x14ac:dyDescent="0.35">
      <c r="B466" s="8"/>
      <c r="C466" s="87" t="s">
        <v>38</v>
      </c>
      <c r="D466" s="94"/>
      <c r="E466" s="94"/>
      <c r="F466" s="94"/>
      <c r="G466" s="95" t="s">
        <v>211</v>
      </c>
      <c r="H466" s="9"/>
    </row>
    <row r="467" spans="2:8" ht="15" hidden="1" customHeight="1" x14ac:dyDescent="0.25">
      <c r="B467" s="8"/>
      <c r="C467" s="86"/>
      <c r="D467" s="86"/>
      <c r="E467" s="86"/>
      <c r="F467" s="86"/>
      <c r="G467" s="86"/>
      <c r="H467" s="9"/>
    </row>
    <row r="468" spans="2:8" ht="15" hidden="1" customHeight="1" x14ac:dyDescent="0.25">
      <c r="B468" s="8"/>
      <c r="C468" s="86" t="s">
        <v>66</v>
      </c>
      <c r="D468" s="86"/>
      <c r="E468" s="86"/>
      <c r="F468" s="86"/>
      <c r="G468" s="86"/>
      <c r="H468" s="9"/>
    </row>
    <row r="469" spans="2:8" ht="15" hidden="1" customHeight="1" x14ac:dyDescent="0.25">
      <c r="B469" s="8"/>
      <c r="C469" s="91" t="s">
        <v>76</v>
      </c>
      <c r="D469" s="93" t="str">
        <f>IF(I.Product.P5Year1="","Baseline year 1",I.Product.P5Year1)</f>
        <v>Baseline year 1</v>
      </c>
      <c r="E469" s="93" t="str">
        <f>IF(I.Product.P5Year1="","Baseline year 2",I.Product.P5Year1+1)</f>
        <v>Baseline year 2</v>
      </c>
      <c r="F469" s="93" t="str">
        <f>IF(I.Product.P5Status&lt;&gt;"No","",IF(I.Product.P5Year1="","Baseline year 3",I.Product.P5Year1+2))</f>
        <v/>
      </c>
      <c r="G469" s="90" t="s">
        <v>17</v>
      </c>
      <c r="H469" s="9"/>
    </row>
    <row r="470" spans="2:8" ht="15" hidden="1" customHeight="1" x14ac:dyDescent="0.35">
      <c r="B470" s="8"/>
      <c r="C470" s="87" t="s">
        <v>36</v>
      </c>
      <c r="D470" s="94"/>
      <c r="E470" s="94"/>
      <c r="F470" s="94"/>
      <c r="G470" s="95" t="s">
        <v>209</v>
      </c>
      <c r="H470" s="9"/>
    </row>
    <row r="471" spans="2:8" ht="15" hidden="1" customHeight="1" x14ac:dyDescent="0.35">
      <c r="B471" s="8"/>
      <c r="C471" s="87" t="s">
        <v>37</v>
      </c>
      <c r="D471" s="94"/>
      <c r="E471" s="94"/>
      <c r="F471" s="94"/>
      <c r="G471" s="95" t="s">
        <v>210</v>
      </c>
      <c r="H471" s="9"/>
    </row>
    <row r="472" spans="2:8" ht="15" hidden="1" customHeight="1" x14ac:dyDescent="0.35">
      <c r="B472" s="8"/>
      <c r="C472" s="87" t="s">
        <v>38</v>
      </c>
      <c r="D472" s="94"/>
      <c r="E472" s="94"/>
      <c r="F472" s="94"/>
      <c r="G472" s="95" t="s">
        <v>211</v>
      </c>
      <c r="H472" s="9"/>
    </row>
    <row r="473" spans="2:8" ht="15" hidden="1" customHeight="1" x14ac:dyDescent="0.25">
      <c r="B473" s="8"/>
      <c r="C473" s="86"/>
      <c r="D473" s="86"/>
      <c r="E473" s="86"/>
      <c r="F473" s="86"/>
      <c r="G473" s="86"/>
      <c r="H473" s="9"/>
    </row>
    <row r="474" spans="2:8" ht="15" hidden="1" customHeight="1" x14ac:dyDescent="0.25">
      <c r="B474" s="8"/>
      <c r="C474" s="86" t="s">
        <v>67</v>
      </c>
      <c r="D474" s="86"/>
      <c r="E474" s="86"/>
      <c r="F474" s="86"/>
      <c r="G474" s="86"/>
      <c r="H474" s="9"/>
    </row>
    <row r="475" spans="2:8" ht="15" hidden="1" customHeight="1" x14ac:dyDescent="0.25">
      <c r="B475" s="8"/>
      <c r="C475" s="91" t="s">
        <v>76</v>
      </c>
      <c r="D475" s="93" t="str">
        <f>IF(I.Product.P5Year1="","Baseline year 1",I.Product.P5Year1)</f>
        <v>Baseline year 1</v>
      </c>
      <c r="E475" s="93" t="str">
        <f>IF(I.Product.P5Year1="","Baseline year 2",I.Product.P5Year1+1)</f>
        <v>Baseline year 2</v>
      </c>
      <c r="F475" s="93" t="str">
        <f>IF(I.Product.P5Status&lt;&gt;"No","",IF(I.Product.P5Year1="","Baseline year 3",I.Product.P5Year1+2))</f>
        <v/>
      </c>
      <c r="G475" s="90" t="s">
        <v>17</v>
      </c>
      <c r="H475" s="9"/>
    </row>
    <row r="476" spans="2:8" ht="15" hidden="1" customHeight="1" x14ac:dyDescent="0.35">
      <c r="B476" s="8"/>
      <c r="C476" s="87" t="s">
        <v>36</v>
      </c>
      <c r="D476" s="94"/>
      <c r="E476" s="94"/>
      <c r="F476" s="94"/>
      <c r="G476" s="95" t="s">
        <v>209</v>
      </c>
      <c r="H476" s="9"/>
    </row>
    <row r="477" spans="2:8" ht="15" hidden="1" customHeight="1" x14ac:dyDescent="0.35">
      <c r="B477" s="8"/>
      <c r="C477" s="87" t="s">
        <v>37</v>
      </c>
      <c r="D477" s="94"/>
      <c r="E477" s="94"/>
      <c r="F477" s="94"/>
      <c r="G477" s="95" t="s">
        <v>210</v>
      </c>
      <c r="H477" s="9"/>
    </row>
    <row r="478" spans="2:8" ht="15" hidden="1" customHeight="1" x14ac:dyDescent="0.35">
      <c r="B478" s="8"/>
      <c r="C478" s="87" t="s">
        <v>38</v>
      </c>
      <c r="D478" s="94"/>
      <c r="E478" s="94"/>
      <c r="F478" s="94"/>
      <c r="G478" s="95" t="s">
        <v>211</v>
      </c>
      <c r="H478" s="9"/>
    </row>
    <row r="479" spans="2:8" ht="15" hidden="1" customHeight="1" x14ac:dyDescent="0.25">
      <c r="B479" s="8"/>
      <c r="C479" s="86"/>
      <c r="D479" s="86"/>
      <c r="E479" s="86"/>
      <c r="F479" s="86"/>
      <c r="G479" s="86"/>
      <c r="H479" s="9"/>
    </row>
    <row r="480" spans="2:8" ht="15" hidden="1" customHeight="1" x14ac:dyDescent="0.25">
      <c r="B480" s="8"/>
      <c r="C480" s="86" t="s">
        <v>68</v>
      </c>
      <c r="D480" s="86"/>
      <c r="E480" s="86"/>
      <c r="F480" s="86"/>
      <c r="G480" s="86"/>
      <c r="H480" s="9"/>
    </row>
    <row r="481" spans="2:8" ht="15" hidden="1" customHeight="1" x14ac:dyDescent="0.25">
      <c r="B481" s="8"/>
      <c r="C481" s="91" t="s">
        <v>76</v>
      </c>
      <c r="D481" s="93" t="str">
        <f>IF(I.Product.P5Year1="","Baseline year 1",I.Product.P5Year1)</f>
        <v>Baseline year 1</v>
      </c>
      <c r="E481" s="93" t="str">
        <f>IF(I.Product.P5Year1="","Baseline year 2",I.Product.P5Year1+1)</f>
        <v>Baseline year 2</v>
      </c>
      <c r="F481" s="93" t="str">
        <f>IF(I.Product.P5Status&lt;&gt;"No","",IF(I.Product.P5Year1="","Baseline year 3",I.Product.P5Year1+2))</f>
        <v/>
      </c>
      <c r="G481" s="90" t="s">
        <v>17</v>
      </c>
      <c r="H481" s="9"/>
    </row>
    <row r="482" spans="2:8" ht="15" hidden="1" customHeight="1" x14ac:dyDescent="0.35">
      <c r="B482" s="8"/>
      <c r="C482" s="87" t="s">
        <v>36</v>
      </c>
      <c r="D482" s="94"/>
      <c r="E482" s="94"/>
      <c r="F482" s="94"/>
      <c r="G482" s="95" t="s">
        <v>209</v>
      </c>
      <c r="H482" s="9"/>
    </row>
    <row r="483" spans="2:8" ht="15" hidden="1" customHeight="1" x14ac:dyDescent="0.35">
      <c r="B483" s="8"/>
      <c r="C483" s="87" t="s">
        <v>37</v>
      </c>
      <c r="D483" s="94"/>
      <c r="E483" s="94"/>
      <c r="F483" s="94"/>
      <c r="G483" s="95" t="s">
        <v>210</v>
      </c>
      <c r="H483" s="9"/>
    </row>
    <row r="484" spans="2:8" ht="15" hidden="1" customHeight="1" x14ac:dyDescent="0.35">
      <c r="B484" s="8"/>
      <c r="C484" s="87" t="s">
        <v>38</v>
      </c>
      <c r="D484" s="94"/>
      <c r="E484" s="94"/>
      <c r="F484" s="94"/>
      <c r="G484" s="95" t="s">
        <v>211</v>
      </c>
      <c r="H484" s="9"/>
    </row>
    <row r="485" spans="2:8" ht="15" hidden="1" customHeight="1" x14ac:dyDescent="0.25">
      <c r="B485" s="8"/>
      <c r="C485" s="86"/>
      <c r="D485" s="86"/>
      <c r="E485" s="86"/>
      <c r="F485" s="86"/>
      <c r="G485" s="86"/>
      <c r="H485" s="9"/>
    </row>
    <row r="486" spans="2:8" ht="15" hidden="1" customHeight="1" x14ac:dyDescent="0.25">
      <c r="B486" s="8"/>
      <c r="C486" s="86" t="s">
        <v>69</v>
      </c>
      <c r="D486" s="86"/>
      <c r="E486" s="86"/>
      <c r="F486" s="86"/>
      <c r="G486" s="86"/>
      <c r="H486" s="9"/>
    </row>
    <row r="487" spans="2:8" ht="15" hidden="1" customHeight="1" x14ac:dyDescent="0.25">
      <c r="B487" s="8"/>
      <c r="C487" s="91" t="s">
        <v>76</v>
      </c>
      <c r="D487" s="93" t="str">
        <f>IF(I.Product.P5Year1="","Baseline year 1",I.Product.P5Year1)</f>
        <v>Baseline year 1</v>
      </c>
      <c r="E487" s="93" t="str">
        <f>IF(I.Product.P5Year1="","Baseline year 2",I.Product.P5Year1+1)</f>
        <v>Baseline year 2</v>
      </c>
      <c r="F487" s="93" t="str">
        <f>IF(I.Product.P5Status&lt;&gt;"No","",IF(I.Product.P5Year1="","Baseline year 3",I.Product.P5Year1+2))</f>
        <v/>
      </c>
      <c r="G487" s="90" t="s">
        <v>17</v>
      </c>
      <c r="H487" s="9"/>
    </row>
    <row r="488" spans="2:8" ht="15" hidden="1" customHeight="1" x14ac:dyDescent="0.35">
      <c r="B488" s="8"/>
      <c r="C488" s="87" t="s">
        <v>36</v>
      </c>
      <c r="D488" s="94"/>
      <c r="E488" s="94"/>
      <c r="F488" s="94"/>
      <c r="G488" s="95" t="s">
        <v>209</v>
      </c>
      <c r="H488" s="9"/>
    </row>
    <row r="489" spans="2:8" ht="15" hidden="1" customHeight="1" x14ac:dyDescent="0.35">
      <c r="B489" s="8"/>
      <c r="C489" s="87" t="s">
        <v>37</v>
      </c>
      <c r="D489" s="94"/>
      <c r="E489" s="94"/>
      <c r="F489" s="94"/>
      <c r="G489" s="95" t="s">
        <v>210</v>
      </c>
      <c r="H489" s="9"/>
    </row>
    <row r="490" spans="2:8" ht="15" hidden="1" customHeight="1" x14ac:dyDescent="0.35">
      <c r="B490" s="8"/>
      <c r="C490" s="87" t="s">
        <v>38</v>
      </c>
      <c r="D490" s="94"/>
      <c r="E490" s="94"/>
      <c r="F490" s="94"/>
      <c r="G490" s="95" t="s">
        <v>211</v>
      </c>
      <c r="H490" s="9"/>
    </row>
    <row r="491" spans="2:8" ht="15" hidden="1" customHeight="1" x14ac:dyDescent="0.25">
      <c r="B491" s="8"/>
      <c r="C491" s="86"/>
      <c r="D491" s="86"/>
      <c r="E491" s="86"/>
      <c r="F491" s="86"/>
      <c r="G491" s="86"/>
      <c r="H491" s="9"/>
    </row>
    <row r="492" spans="2:8" ht="15" hidden="1" customHeight="1" x14ac:dyDescent="0.25">
      <c r="B492" s="8"/>
      <c r="C492" s="86" t="s">
        <v>70</v>
      </c>
      <c r="D492" s="86"/>
      <c r="E492" s="86"/>
      <c r="F492" s="86"/>
      <c r="G492" s="86"/>
      <c r="H492" s="9"/>
    </row>
    <row r="493" spans="2:8" ht="15" hidden="1" customHeight="1" x14ac:dyDescent="0.25">
      <c r="B493" s="8"/>
      <c r="C493" s="91" t="s">
        <v>76</v>
      </c>
      <c r="D493" s="93" t="str">
        <f>IF(I.Product.P5Year1="","Baseline year 1",I.Product.P5Year1)</f>
        <v>Baseline year 1</v>
      </c>
      <c r="E493" s="93" t="str">
        <f>IF(I.Product.P5Year1="","Baseline year 2",I.Product.P5Year1+1)</f>
        <v>Baseline year 2</v>
      </c>
      <c r="F493" s="93" t="str">
        <f>IF(I.Product.P5Status&lt;&gt;"No","",IF(I.Product.P5Year1="","Baseline year 3",I.Product.P5Year1+2))</f>
        <v/>
      </c>
      <c r="G493" s="90" t="s">
        <v>17</v>
      </c>
      <c r="H493" s="9"/>
    </row>
    <row r="494" spans="2:8" ht="15" hidden="1" customHeight="1" x14ac:dyDescent="0.35">
      <c r="B494" s="8"/>
      <c r="C494" s="87" t="s">
        <v>36</v>
      </c>
      <c r="D494" s="94"/>
      <c r="E494" s="94"/>
      <c r="F494" s="94"/>
      <c r="G494" s="95" t="s">
        <v>209</v>
      </c>
      <c r="H494" s="9"/>
    </row>
    <row r="495" spans="2:8" ht="15" hidden="1" customHeight="1" x14ac:dyDescent="0.35">
      <c r="B495" s="8"/>
      <c r="C495" s="87" t="s">
        <v>37</v>
      </c>
      <c r="D495" s="94"/>
      <c r="E495" s="94"/>
      <c r="F495" s="94"/>
      <c r="G495" s="95" t="s">
        <v>210</v>
      </c>
      <c r="H495" s="9"/>
    </row>
    <row r="496" spans="2:8" ht="15" hidden="1" customHeight="1" x14ac:dyDescent="0.35">
      <c r="B496" s="8"/>
      <c r="C496" s="87" t="s">
        <v>38</v>
      </c>
      <c r="D496" s="94"/>
      <c r="E496" s="94"/>
      <c r="F496" s="94"/>
      <c r="G496" s="95" t="s">
        <v>211</v>
      </c>
      <c r="H496" s="9"/>
    </row>
    <row r="497" spans="2:8" ht="15" hidden="1" customHeight="1" x14ac:dyDescent="0.25">
      <c r="B497" s="8"/>
      <c r="C497" s="86"/>
      <c r="D497" s="86"/>
      <c r="E497" s="86"/>
      <c r="F497" s="86"/>
      <c r="G497" s="86"/>
      <c r="H497" s="9"/>
    </row>
    <row r="498" spans="2:8" ht="15" customHeight="1" x14ac:dyDescent="0.25">
      <c r="B498" s="8"/>
      <c r="C498" s="89"/>
      <c r="D498" s="86"/>
      <c r="E498" s="86"/>
      <c r="F498" s="86"/>
      <c r="G498" s="86"/>
      <c r="H498" s="9"/>
    </row>
    <row r="499" spans="2:8" ht="15" customHeight="1" x14ac:dyDescent="0.25">
      <c r="B499" s="8"/>
      <c r="C499" s="86"/>
      <c r="D499" s="86"/>
      <c r="E499" s="86"/>
      <c r="F499" s="86"/>
      <c r="G499" s="86"/>
      <c r="H499" s="9"/>
    </row>
    <row r="500" spans="2:8" ht="15" customHeight="1" x14ac:dyDescent="0.25">
      <c r="B500" s="10"/>
      <c r="C500" s="20">
        <f>R.Instructions.VersionNumber</f>
        <v>3.01</v>
      </c>
      <c r="D500" s="11"/>
      <c r="E500" s="11"/>
      <c r="F500" s="11"/>
      <c r="G500" s="12">
        <f>R.Instructions.VersionDate</f>
        <v>45329</v>
      </c>
      <c r="H500" s="13"/>
    </row>
    <row r="502" spans="2:8" ht="15" customHeight="1" x14ac:dyDescent="0.25">
      <c r="C502" s="110" t="str">
        <f>IFERROR(VLOOKUP("Incomplete",Developer!H1563:I2552,2,FALSE),"Sheet complete.")</f>
        <v>Sheet complete.</v>
      </c>
      <c r="D502" s="110"/>
      <c r="E502" s="110"/>
      <c r="F502" s="110"/>
      <c r="G502" s="110"/>
    </row>
    <row r="503" spans="2:8" ht="15" customHeight="1" x14ac:dyDescent="0.25">
      <c r="C503" s="110"/>
      <c r="D503" s="110"/>
      <c r="E503" s="110"/>
      <c r="F503" s="110"/>
      <c r="G503" s="110"/>
    </row>
    <row r="504" spans="2:8" ht="15" customHeight="1" x14ac:dyDescent="0.25">
      <c r="C504" s="110"/>
      <c r="D504" s="110"/>
      <c r="E504" s="110"/>
      <c r="F504" s="110"/>
      <c r="G504" s="110"/>
    </row>
  </sheetData>
  <sheetProtection algorithmName="SHA-512" hashValue="TBuol3OYPo0VNMlA9Ejn5qe7HqwyoGgLcVeM9OMv9Ee9lyHdjizJSLwsrUB+9XjPlGj30WQuMqo2ZYdrWB4m4w==" saltValue="rEK+eIpHBjKxTToW6eV4RA==" spinCount="100000" sheet="1" objects="1" scenarios="1" selectLockedCells="1"/>
  <mergeCells count="13">
    <mergeCell ref="C502:G504"/>
    <mergeCell ref="C4:G4"/>
    <mergeCell ref="C8:G8"/>
    <mergeCell ref="C11:D11"/>
    <mergeCell ref="C106:G106"/>
    <mergeCell ref="C109:D109"/>
    <mergeCell ref="C204:G204"/>
    <mergeCell ref="C6:G7"/>
    <mergeCell ref="C207:D207"/>
    <mergeCell ref="C302:G302"/>
    <mergeCell ref="C305:D305"/>
    <mergeCell ref="C400:G400"/>
    <mergeCell ref="C403:D403"/>
  </mergeCells>
  <conditionalFormatting sqref="C502">
    <cfRule type="cellIs" dxfId="2" priority="1" stopIfTrue="1" operator="equal">
      <formula>"Sheet complete."</formula>
    </cfRule>
  </conditionalFormatting>
  <printOptions horizontalCentered="1"/>
  <pageMargins left="0.25" right="0.25" top="0.25" bottom="0.25" header="0" footer="0"/>
  <pageSetup scale="8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FED1F-FAF3-44C2-926E-0A58859816C5}">
  <sheetPr codeName="Sheet6">
    <tabColor rgb="FF046A38"/>
    <pageSetUpPr fitToPage="1"/>
  </sheetPr>
  <dimension ref="B1:J136"/>
  <sheetViews>
    <sheetView showGridLines="0" showRowColHeaders="0" zoomScaleNormal="100" workbookViewId="0">
      <selection activeCell="C12" sqref="C12:E12"/>
    </sheetView>
  </sheetViews>
  <sheetFormatPr defaultColWidth="9.140625" defaultRowHeight="15" customHeight="1" x14ac:dyDescent="0.25"/>
  <cols>
    <col min="1" max="3" width="5.7109375" customWidth="1"/>
    <col min="4" max="9" width="18.7109375" customWidth="1"/>
    <col min="10" max="10" width="5.7109375" customWidth="1"/>
  </cols>
  <sheetData>
    <row r="1" spans="2:10" ht="24.95" customHeight="1" x14ac:dyDescent="0.25"/>
    <row r="2" spans="2:10" ht="24.95" customHeight="1" x14ac:dyDescent="0.25"/>
    <row r="3" spans="2:10" ht="24.95" customHeight="1" x14ac:dyDescent="0.25"/>
    <row r="4" spans="2:10" ht="24.95" customHeight="1" x14ac:dyDescent="0.25">
      <c r="B4" s="6"/>
      <c r="C4" s="111" t="s">
        <v>93</v>
      </c>
      <c r="D4" s="111"/>
      <c r="E4" s="111"/>
      <c r="F4" s="111"/>
      <c r="G4" s="111"/>
      <c r="H4" s="111"/>
      <c r="I4" s="111"/>
      <c r="J4" s="7"/>
    </row>
    <row r="5" spans="2:10" ht="15" customHeight="1" x14ac:dyDescent="0.25">
      <c r="B5" s="8"/>
      <c r="C5" s="86"/>
      <c r="D5" s="86"/>
      <c r="E5" s="86"/>
      <c r="F5" s="86"/>
      <c r="G5" s="86"/>
      <c r="H5" s="86"/>
      <c r="I5" s="86"/>
      <c r="J5" s="9"/>
    </row>
    <row r="6" spans="2:10" ht="15" customHeight="1" x14ac:dyDescent="0.25">
      <c r="B6" s="8"/>
      <c r="C6" s="107" t="s">
        <v>2984</v>
      </c>
      <c r="D6" s="102"/>
      <c r="E6" s="102"/>
      <c r="F6" s="102"/>
      <c r="G6" s="102"/>
      <c r="H6" s="102"/>
      <c r="I6" s="102"/>
      <c r="J6" s="9"/>
    </row>
    <row r="7" spans="2:10" ht="15" customHeight="1" x14ac:dyDescent="0.25">
      <c r="B7" s="8"/>
      <c r="C7" s="102"/>
      <c r="D7" s="102"/>
      <c r="E7" s="102"/>
      <c r="F7" s="102"/>
      <c r="G7" s="102"/>
      <c r="H7" s="102"/>
      <c r="I7" s="102"/>
      <c r="J7" s="9"/>
    </row>
    <row r="8" spans="2:10" ht="15" customHeight="1" x14ac:dyDescent="0.25">
      <c r="B8" s="8"/>
      <c r="C8" s="86" t="s">
        <v>21</v>
      </c>
      <c r="D8" s="86"/>
      <c r="E8" s="86"/>
      <c r="F8" s="86"/>
      <c r="G8" s="86"/>
      <c r="H8" s="86"/>
      <c r="I8" s="86"/>
      <c r="J8" s="9"/>
    </row>
    <row r="9" spans="2:10" ht="15" customHeight="1" x14ac:dyDescent="0.25">
      <c r="B9" s="8"/>
      <c r="C9" s="118" t="str">
        <f>IF(I.Product.GasToPowerYear1="","",I.Product.GasToPowerYear1)</f>
        <v/>
      </c>
      <c r="D9" s="120"/>
      <c r="E9" s="119"/>
      <c r="F9" s="86"/>
      <c r="G9" s="86"/>
      <c r="H9" s="86"/>
      <c r="I9" s="86"/>
      <c r="J9" s="9"/>
    </row>
    <row r="10" spans="2:10" ht="15" customHeight="1" x14ac:dyDescent="0.25">
      <c r="B10" s="8"/>
      <c r="C10" s="86"/>
      <c r="D10" s="86"/>
      <c r="E10" s="86"/>
      <c r="F10" s="86"/>
      <c r="G10" s="86"/>
      <c r="H10" s="86"/>
      <c r="I10" s="86"/>
      <c r="J10" s="9"/>
    </row>
    <row r="11" spans="2:10" ht="15" customHeight="1" x14ac:dyDescent="0.25">
      <c r="B11" s="8"/>
      <c r="C11" s="86" t="s">
        <v>2992</v>
      </c>
      <c r="D11" s="86"/>
      <c r="E11" s="86"/>
      <c r="F11" s="86"/>
      <c r="G11" s="86"/>
      <c r="H11" s="86"/>
      <c r="I11" s="86"/>
      <c r="J11" s="9"/>
    </row>
    <row r="12" spans="2:10" ht="15" customHeight="1" x14ac:dyDescent="0.25">
      <c r="B12" s="8"/>
      <c r="C12" s="116"/>
      <c r="D12" s="126"/>
      <c r="E12" s="117"/>
      <c r="F12" s="86"/>
      <c r="G12" s="86"/>
      <c r="H12" s="86"/>
      <c r="I12" s="86"/>
      <c r="J12" s="9"/>
    </row>
    <row r="13" spans="2:10" ht="15" hidden="1" customHeight="1" x14ac:dyDescent="0.25">
      <c r="B13" s="8"/>
      <c r="C13" s="86"/>
      <c r="D13" s="86"/>
      <c r="E13" s="86"/>
      <c r="F13" s="86"/>
      <c r="G13" s="86"/>
      <c r="H13" s="86"/>
      <c r="I13" s="86"/>
      <c r="J13" s="9"/>
    </row>
    <row r="14" spans="2:10" ht="15" hidden="1" customHeight="1" x14ac:dyDescent="0.25">
      <c r="B14" s="8"/>
      <c r="C14" s="123" t="s">
        <v>77</v>
      </c>
      <c r="D14" s="121" t="s">
        <v>113</v>
      </c>
      <c r="E14" s="121" t="s">
        <v>112</v>
      </c>
      <c r="F14" s="121" t="s">
        <v>233</v>
      </c>
      <c r="G14" s="121" t="s">
        <v>111</v>
      </c>
      <c r="H14" s="121" t="s">
        <v>110</v>
      </c>
      <c r="I14" s="121" t="s">
        <v>109</v>
      </c>
      <c r="J14" s="9"/>
    </row>
    <row r="15" spans="2:10" ht="15" hidden="1" customHeight="1" x14ac:dyDescent="0.25">
      <c r="B15" s="8"/>
      <c r="C15" s="124"/>
      <c r="D15" s="122"/>
      <c r="E15" s="122"/>
      <c r="F15" s="122"/>
      <c r="G15" s="122"/>
      <c r="H15" s="122"/>
      <c r="I15" s="122"/>
      <c r="J15" s="9"/>
    </row>
    <row r="16" spans="2:10" ht="15" hidden="1" customHeight="1" x14ac:dyDescent="0.25">
      <c r="B16" s="8"/>
      <c r="C16" s="124"/>
      <c r="D16" s="122"/>
      <c r="E16" s="122"/>
      <c r="F16" s="122"/>
      <c r="G16" s="122"/>
      <c r="H16" s="122"/>
      <c r="I16" s="122"/>
      <c r="J16" s="9"/>
    </row>
    <row r="17" spans="2:10" ht="15" hidden="1" customHeight="1" x14ac:dyDescent="0.35">
      <c r="B17" s="8"/>
      <c r="C17" s="125"/>
      <c r="D17" s="98" t="s">
        <v>108</v>
      </c>
      <c r="E17" s="98" t="s">
        <v>108</v>
      </c>
      <c r="F17" s="98" t="s">
        <v>71</v>
      </c>
      <c r="G17" s="99" t="s">
        <v>114</v>
      </c>
      <c r="H17" s="99" t="s">
        <v>115</v>
      </c>
      <c r="I17" s="100" t="s">
        <v>116</v>
      </c>
      <c r="J17" s="9"/>
    </row>
    <row r="18" spans="2:10" ht="15" hidden="1" customHeight="1" x14ac:dyDescent="0.25">
      <c r="B18" s="8"/>
      <c r="C18" s="97">
        <v>1</v>
      </c>
      <c r="D18" s="94"/>
      <c r="E18" s="94"/>
      <c r="F18" s="94"/>
      <c r="G18" s="94"/>
      <c r="H18" s="94"/>
      <c r="I18" s="92"/>
      <c r="J18" s="9"/>
    </row>
    <row r="19" spans="2:10" ht="15" hidden="1" customHeight="1" x14ac:dyDescent="0.25">
      <c r="B19" s="8"/>
      <c r="C19" s="97">
        <v>2</v>
      </c>
      <c r="D19" s="94"/>
      <c r="E19" s="94"/>
      <c r="F19" s="94"/>
      <c r="G19" s="94"/>
      <c r="H19" s="94"/>
      <c r="I19" s="92"/>
      <c r="J19" s="9"/>
    </row>
    <row r="20" spans="2:10" ht="15" hidden="1" customHeight="1" x14ac:dyDescent="0.25">
      <c r="B20" s="8"/>
      <c r="C20" s="97">
        <v>3</v>
      </c>
      <c r="D20" s="94"/>
      <c r="E20" s="94"/>
      <c r="F20" s="94"/>
      <c r="G20" s="94"/>
      <c r="H20" s="94"/>
      <c r="I20" s="92"/>
      <c r="J20" s="9"/>
    </row>
    <row r="21" spans="2:10" ht="15" hidden="1" customHeight="1" x14ac:dyDescent="0.25">
      <c r="B21" s="8"/>
      <c r="C21" s="97">
        <v>4</v>
      </c>
      <c r="D21" s="94"/>
      <c r="E21" s="94"/>
      <c r="F21" s="94"/>
      <c r="G21" s="94"/>
      <c r="H21" s="94"/>
      <c r="I21" s="92"/>
      <c r="J21" s="9"/>
    </row>
    <row r="22" spans="2:10" ht="15" hidden="1" customHeight="1" x14ac:dyDescent="0.25">
      <c r="B22" s="8"/>
      <c r="C22" s="97">
        <v>5</v>
      </c>
      <c r="D22" s="94"/>
      <c r="E22" s="94"/>
      <c r="F22" s="94"/>
      <c r="G22" s="94"/>
      <c r="H22" s="94"/>
      <c r="I22" s="92"/>
      <c r="J22" s="9"/>
    </row>
    <row r="23" spans="2:10" ht="15" hidden="1" customHeight="1" x14ac:dyDescent="0.25">
      <c r="B23" s="8"/>
      <c r="C23" s="97">
        <v>6</v>
      </c>
      <c r="D23" s="94"/>
      <c r="E23" s="94"/>
      <c r="F23" s="94"/>
      <c r="G23" s="94"/>
      <c r="H23" s="94"/>
      <c r="I23" s="92"/>
      <c r="J23" s="9"/>
    </row>
    <row r="24" spans="2:10" ht="15" hidden="1" customHeight="1" x14ac:dyDescent="0.25">
      <c r="B24" s="8"/>
      <c r="C24" s="97">
        <v>7</v>
      </c>
      <c r="D24" s="94"/>
      <c r="E24" s="94"/>
      <c r="F24" s="94"/>
      <c r="G24" s="94"/>
      <c r="H24" s="94"/>
      <c r="I24" s="92"/>
      <c r="J24" s="9"/>
    </row>
    <row r="25" spans="2:10" ht="15" hidden="1" customHeight="1" x14ac:dyDescent="0.25">
      <c r="B25" s="8"/>
      <c r="C25" s="97">
        <v>8</v>
      </c>
      <c r="D25" s="94"/>
      <c r="E25" s="94"/>
      <c r="F25" s="94"/>
      <c r="G25" s="94"/>
      <c r="H25" s="94"/>
      <c r="I25" s="92"/>
      <c r="J25" s="9"/>
    </row>
    <row r="26" spans="2:10" ht="15" hidden="1" customHeight="1" x14ac:dyDescent="0.25">
      <c r="B26" s="8"/>
      <c r="C26" s="97">
        <v>9</v>
      </c>
      <c r="D26" s="94"/>
      <c r="E26" s="94"/>
      <c r="F26" s="94"/>
      <c r="G26" s="94"/>
      <c r="H26" s="94"/>
      <c r="I26" s="92"/>
      <c r="J26" s="9"/>
    </row>
    <row r="27" spans="2:10" ht="15" hidden="1" customHeight="1" x14ac:dyDescent="0.25">
      <c r="B27" s="8"/>
      <c r="C27" s="97">
        <v>10</v>
      </c>
      <c r="D27" s="94"/>
      <c r="E27" s="94"/>
      <c r="F27" s="94"/>
      <c r="G27" s="94"/>
      <c r="H27" s="94"/>
      <c r="I27" s="92"/>
      <c r="J27" s="9"/>
    </row>
    <row r="28" spans="2:10" ht="15" hidden="1" customHeight="1" x14ac:dyDescent="0.25">
      <c r="B28" s="8"/>
      <c r="C28" s="97">
        <v>11</v>
      </c>
      <c r="D28" s="94"/>
      <c r="E28" s="94"/>
      <c r="F28" s="94"/>
      <c r="G28" s="94"/>
      <c r="H28" s="94"/>
      <c r="I28" s="92"/>
      <c r="J28" s="9"/>
    </row>
    <row r="29" spans="2:10" ht="15" hidden="1" customHeight="1" x14ac:dyDescent="0.25">
      <c r="B29" s="8"/>
      <c r="C29" s="97">
        <v>12</v>
      </c>
      <c r="D29" s="94"/>
      <c r="E29" s="94"/>
      <c r="F29" s="94"/>
      <c r="G29" s="94"/>
      <c r="H29" s="94"/>
      <c r="I29" s="92"/>
      <c r="J29" s="9"/>
    </row>
    <row r="30" spans="2:10" ht="15" hidden="1" customHeight="1" x14ac:dyDescent="0.25">
      <c r="B30" s="8"/>
      <c r="C30" s="97">
        <v>13</v>
      </c>
      <c r="D30" s="94"/>
      <c r="E30" s="94"/>
      <c r="F30" s="94"/>
      <c r="G30" s="94"/>
      <c r="H30" s="94"/>
      <c r="I30" s="92"/>
      <c r="J30" s="9"/>
    </row>
    <row r="31" spans="2:10" ht="15" hidden="1" customHeight="1" x14ac:dyDescent="0.25">
      <c r="B31" s="8"/>
      <c r="C31" s="97">
        <v>14</v>
      </c>
      <c r="D31" s="94"/>
      <c r="E31" s="94"/>
      <c r="F31" s="94"/>
      <c r="G31" s="94"/>
      <c r="H31" s="94"/>
      <c r="I31" s="92"/>
      <c r="J31" s="9"/>
    </row>
    <row r="32" spans="2:10" ht="15" hidden="1" customHeight="1" x14ac:dyDescent="0.25">
      <c r="B32" s="8"/>
      <c r="C32" s="97">
        <v>15</v>
      </c>
      <c r="D32" s="94"/>
      <c r="E32" s="94"/>
      <c r="F32" s="94"/>
      <c r="G32" s="94"/>
      <c r="H32" s="94"/>
      <c r="I32" s="92"/>
      <c r="J32" s="9"/>
    </row>
    <row r="33" spans="2:10" ht="15" hidden="1" customHeight="1" x14ac:dyDescent="0.25">
      <c r="B33" s="8"/>
      <c r="C33" s="97">
        <v>16</v>
      </c>
      <c r="D33" s="94"/>
      <c r="E33" s="94"/>
      <c r="F33" s="94"/>
      <c r="G33" s="94"/>
      <c r="H33" s="94"/>
      <c r="I33" s="92"/>
      <c r="J33" s="9"/>
    </row>
    <row r="34" spans="2:10" ht="15" hidden="1" customHeight="1" x14ac:dyDescent="0.25">
      <c r="B34" s="8"/>
      <c r="C34" s="97">
        <v>17</v>
      </c>
      <c r="D34" s="94"/>
      <c r="E34" s="94"/>
      <c r="F34" s="94"/>
      <c r="G34" s="94"/>
      <c r="H34" s="94"/>
      <c r="I34" s="92"/>
      <c r="J34" s="9"/>
    </row>
    <row r="35" spans="2:10" ht="15" hidden="1" customHeight="1" x14ac:dyDescent="0.25">
      <c r="B35" s="8"/>
      <c r="C35" s="97">
        <v>18</v>
      </c>
      <c r="D35" s="94"/>
      <c r="E35" s="94"/>
      <c r="F35" s="94"/>
      <c r="G35" s="94"/>
      <c r="H35" s="94"/>
      <c r="I35" s="92"/>
      <c r="J35" s="9"/>
    </row>
    <row r="36" spans="2:10" ht="15" hidden="1" customHeight="1" x14ac:dyDescent="0.25">
      <c r="B36" s="8"/>
      <c r="C36" s="97">
        <v>19</v>
      </c>
      <c r="D36" s="94"/>
      <c r="E36" s="94"/>
      <c r="F36" s="94"/>
      <c r="G36" s="94"/>
      <c r="H36" s="94"/>
      <c r="I36" s="92"/>
      <c r="J36" s="9"/>
    </row>
    <row r="37" spans="2:10" ht="15" hidden="1" customHeight="1" x14ac:dyDescent="0.25">
      <c r="B37" s="8"/>
      <c r="C37" s="97">
        <v>20</v>
      </c>
      <c r="D37" s="94"/>
      <c r="E37" s="94"/>
      <c r="F37" s="94"/>
      <c r="G37" s="94"/>
      <c r="H37" s="94"/>
      <c r="I37" s="92"/>
      <c r="J37" s="9"/>
    </row>
    <row r="38" spans="2:10" ht="15" hidden="1" customHeight="1" x14ac:dyDescent="0.25">
      <c r="B38" s="8"/>
      <c r="C38" s="97">
        <v>21</v>
      </c>
      <c r="D38" s="94"/>
      <c r="E38" s="94"/>
      <c r="F38" s="94"/>
      <c r="G38" s="94"/>
      <c r="H38" s="94"/>
      <c r="I38" s="92"/>
      <c r="J38" s="9"/>
    </row>
    <row r="39" spans="2:10" ht="15" hidden="1" customHeight="1" x14ac:dyDescent="0.25">
      <c r="B39" s="8"/>
      <c r="C39" s="97">
        <v>22</v>
      </c>
      <c r="D39" s="94"/>
      <c r="E39" s="94"/>
      <c r="F39" s="94"/>
      <c r="G39" s="94"/>
      <c r="H39" s="94"/>
      <c r="I39" s="92"/>
      <c r="J39" s="9"/>
    </row>
    <row r="40" spans="2:10" ht="15" hidden="1" customHeight="1" x14ac:dyDescent="0.25">
      <c r="B40" s="8"/>
      <c r="C40" s="97">
        <v>23</v>
      </c>
      <c r="D40" s="94"/>
      <c r="E40" s="94"/>
      <c r="F40" s="94"/>
      <c r="G40" s="94"/>
      <c r="H40" s="94"/>
      <c r="I40" s="92"/>
      <c r="J40" s="9"/>
    </row>
    <row r="41" spans="2:10" ht="15" hidden="1" customHeight="1" x14ac:dyDescent="0.25">
      <c r="B41" s="8"/>
      <c r="C41" s="97">
        <v>24</v>
      </c>
      <c r="D41" s="94"/>
      <c r="E41" s="94"/>
      <c r="F41" s="94"/>
      <c r="G41" s="94"/>
      <c r="H41" s="94"/>
      <c r="I41" s="92"/>
      <c r="J41" s="9"/>
    </row>
    <row r="42" spans="2:10" ht="15" hidden="1" customHeight="1" x14ac:dyDescent="0.25">
      <c r="B42" s="8"/>
      <c r="C42" s="97">
        <v>25</v>
      </c>
      <c r="D42" s="94"/>
      <c r="E42" s="94"/>
      <c r="F42" s="94"/>
      <c r="G42" s="94"/>
      <c r="H42" s="94"/>
      <c r="I42" s="92"/>
      <c r="J42" s="9"/>
    </row>
    <row r="43" spans="2:10" ht="15" hidden="1" customHeight="1" x14ac:dyDescent="0.25">
      <c r="B43" s="8"/>
      <c r="C43" s="97">
        <v>26</v>
      </c>
      <c r="D43" s="94"/>
      <c r="E43" s="94"/>
      <c r="F43" s="94"/>
      <c r="G43" s="94"/>
      <c r="H43" s="94"/>
      <c r="I43" s="92"/>
      <c r="J43" s="9"/>
    </row>
    <row r="44" spans="2:10" ht="15" hidden="1" customHeight="1" x14ac:dyDescent="0.25">
      <c r="B44" s="8"/>
      <c r="C44" s="97">
        <v>27</v>
      </c>
      <c r="D44" s="94"/>
      <c r="E44" s="94"/>
      <c r="F44" s="94"/>
      <c r="G44" s="94"/>
      <c r="H44" s="94"/>
      <c r="I44" s="92"/>
      <c r="J44" s="9"/>
    </row>
    <row r="45" spans="2:10" ht="15" hidden="1" customHeight="1" x14ac:dyDescent="0.25">
      <c r="B45" s="8"/>
      <c r="C45" s="97">
        <v>28</v>
      </c>
      <c r="D45" s="94"/>
      <c r="E45" s="94"/>
      <c r="F45" s="94"/>
      <c r="G45" s="94"/>
      <c r="H45" s="94"/>
      <c r="I45" s="92"/>
      <c r="J45" s="9"/>
    </row>
    <row r="46" spans="2:10" ht="15" hidden="1" customHeight="1" x14ac:dyDescent="0.25">
      <c r="B46" s="8"/>
      <c r="C46" s="97">
        <v>29</v>
      </c>
      <c r="D46" s="94"/>
      <c r="E46" s="94"/>
      <c r="F46" s="94"/>
      <c r="G46" s="94"/>
      <c r="H46" s="94"/>
      <c r="I46" s="92"/>
      <c r="J46" s="9"/>
    </row>
    <row r="47" spans="2:10" ht="15" hidden="1" customHeight="1" x14ac:dyDescent="0.25">
      <c r="B47" s="8"/>
      <c r="C47" s="97">
        <v>30</v>
      </c>
      <c r="D47" s="94"/>
      <c r="E47" s="94"/>
      <c r="F47" s="94"/>
      <c r="G47" s="94"/>
      <c r="H47" s="94"/>
      <c r="I47" s="92"/>
      <c r="J47" s="9"/>
    </row>
    <row r="48" spans="2:10" ht="15" hidden="1" customHeight="1" x14ac:dyDescent="0.25">
      <c r="B48" s="8"/>
      <c r="C48" s="97">
        <v>31</v>
      </c>
      <c r="D48" s="94"/>
      <c r="E48" s="94"/>
      <c r="F48" s="94"/>
      <c r="G48" s="94"/>
      <c r="H48" s="94"/>
      <c r="I48" s="92"/>
      <c r="J48" s="9"/>
    </row>
    <row r="49" spans="2:10" ht="15" hidden="1" customHeight="1" x14ac:dyDescent="0.25">
      <c r="B49" s="8"/>
      <c r="C49" s="97">
        <v>32</v>
      </c>
      <c r="D49" s="94"/>
      <c r="E49" s="94"/>
      <c r="F49" s="94"/>
      <c r="G49" s="94"/>
      <c r="H49" s="94"/>
      <c r="I49" s="92"/>
      <c r="J49" s="9"/>
    </row>
    <row r="50" spans="2:10" ht="15" hidden="1" customHeight="1" x14ac:dyDescent="0.25">
      <c r="B50" s="8"/>
      <c r="C50" s="97">
        <v>33</v>
      </c>
      <c r="D50" s="94"/>
      <c r="E50" s="94"/>
      <c r="F50" s="94"/>
      <c r="G50" s="94"/>
      <c r="H50" s="94"/>
      <c r="I50" s="92"/>
      <c r="J50" s="9"/>
    </row>
    <row r="51" spans="2:10" ht="15" hidden="1" customHeight="1" x14ac:dyDescent="0.25">
      <c r="B51" s="8"/>
      <c r="C51" s="97">
        <v>34</v>
      </c>
      <c r="D51" s="94"/>
      <c r="E51" s="94"/>
      <c r="F51" s="94"/>
      <c r="G51" s="94"/>
      <c r="H51" s="94"/>
      <c r="I51" s="92"/>
      <c r="J51" s="9"/>
    </row>
    <row r="52" spans="2:10" ht="15" hidden="1" customHeight="1" x14ac:dyDescent="0.25">
      <c r="B52" s="8"/>
      <c r="C52" s="97">
        <v>35</v>
      </c>
      <c r="D52" s="94"/>
      <c r="E52" s="94"/>
      <c r="F52" s="94"/>
      <c r="G52" s="94"/>
      <c r="H52" s="94"/>
      <c r="I52" s="92"/>
      <c r="J52" s="9"/>
    </row>
    <row r="53" spans="2:10" ht="15" hidden="1" customHeight="1" x14ac:dyDescent="0.25">
      <c r="B53" s="8"/>
      <c r="C53" s="97">
        <v>36</v>
      </c>
      <c r="D53" s="94"/>
      <c r="E53" s="94"/>
      <c r="F53" s="94"/>
      <c r="G53" s="94"/>
      <c r="H53" s="94"/>
      <c r="I53" s="92"/>
      <c r="J53" s="9"/>
    </row>
    <row r="54" spans="2:10" ht="15" hidden="1" customHeight="1" x14ac:dyDescent="0.25">
      <c r="B54" s="8"/>
      <c r="C54" s="97">
        <v>37</v>
      </c>
      <c r="D54" s="94"/>
      <c r="E54" s="94"/>
      <c r="F54" s="94"/>
      <c r="G54" s="94"/>
      <c r="H54" s="94"/>
      <c r="I54" s="92"/>
      <c r="J54" s="9"/>
    </row>
    <row r="55" spans="2:10" ht="15" hidden="1" customHeight="1" x14ac:dyDescent="0.25">
      <c r="B55" s="8"/>
      <c r="C55" s="97">
        <v>38</v>
      </c>
      <c r="D55" s="94"/>
      <c r="E55" s="94"/>
      <c r="F55" s="94"/>
      <c r="G55" s="94"/>
      <c r="H55" s="94"/>
      <c r="I55" s="92"/>
      <c r="J55" s="9"/>
    </row>
    <row r="56" spans="2:10" ht="15" hidden="1" customHeight="1" x14ac:dyDescent="0.25">
      <c r="B56" s="8"/>
      <c r="C56" s="97">
        <v>39</v>
      </c>
      <c r="D56" s="94"/>
      <c r="E56" s="94"/>
      <c r="F56" s="94"/>
      <c r="G56" s="94"/>
      <c r="H56" s="94"/>
      <c r="I56" s="92"/>
      <c r="J56" s="9"/>
    </row>
    <row r="57" spans="2:10" ht="15" hidden="1" customHeight="1" x14ac:dyDescent="0.25">
      <c r="B57" s="8"/>
      <c r="C57" s="97">
        <v>40</v>
      </c>
      <c r="D57" s="94"/>
      <c r="E57" s="94"/>
      <c r="F57" s="94"/>
      <c r="G57" s="94"/>
      <c r="H57" s="94"/>
      <c r="I57" s="92"/>
      <c r="J57" s="9"/>
    </row>
    <row r="58" spans="2:10" ht="15" hidden="1" customHeight="1" x14ac:dyDescent="0.25">
      <c r="B58" s="8"/>
      <c r="C58" s="97">
        <v>41</v>
      </c>
      <c r="D58" s="94"/>
      <c r="E58" s="94"/>
      <c r="F58" s="94"/>
      <c r="G58" s="94"/>
      <c r="H58" s="94"/>
      <c r="I58" s="92"/>
      <c r="J58" s="9"/>
    </row>
    <row r="59" spans="2:10" ht="15" hidden="1" customHeight="1" x14ac:dyDescent="0.25">
      <c r="B59" s="8"/>
      <c r="C59" s="97">
        <v>42</v>
      </c>
      <c r="D59" s="94"/>
      <c r="E59" s="94"/>
      <c r="F59" s="94"/>
      <c r="G59" s="94"/>
      <c r="H59" s="94"/>
      <c r="I59" s="92"/>
      <c r="J59" s="9"/>
    </row>
    <row r="60" spans="2:10" ht="15" hidden="1" customHeight="1" x14ac:dyDescent="0.25">
      <c r="B60" s="8"/>
      <c r="C60" s="97">
        <v>43</v>
      </c>
      <c r="D60" s="94"/>
      <c r="E60" s="94"/>
      <c r="F60" s="94"/>
      <c r="G60" s="94"/>
      <c r="H60" s="94"/>
      <c r="I60" s="92"/>
      <c r="J60" s="9"/>
    </row>
    <row r="61" spans="2:10" ht="15" hidden="1" customHeight="1" x14ac:dyDescent="0.25">
      <c r="B61" s="8"/>
      <c r="C61" s="97">
        <v>44</v>
      </c>
      <c r="D61" s="94"/>
      <c r="E61" s="94"/>
      <c r="F61" s="94"/>
      <c r="G61" s="94"/>
      <c r="H61" s="94"/>
      <c r="I61" s="92"/>
      <c r="J61" s="9"/>
    </row>
    <row r="62" spans="2:10" ht="15" hidden="1" customHeight="1" x14ac:dyDescent="0.25">
      <c r="B62" s="8"/>
      <c r="C62" s="97">
        <v>45</v>
      </c>
      <c r="D62" s="94"/>
      <c r="E62" s="94"/>
      <c r="F62" s="94"/>
      <c r="G62" s="94"/>
      <c r="H62" s="94"/>
      <c r="I62" s="92"/>
      <c r="J62" s="9"/>
    </row>
    <row r="63" spans="2:10" ht="15" hidden="1" customHeight="1" x14ac:dyDescent="0.25">
      <c r="B63" s="8"/>
      <c r="C63" s="97">
        <v>46</v>
      </c>
      <c r="D63" s="94"/>
      <c r="E63" s="94"/>
      <c r="F63" s="94"/>
      <c r="G63" s="94"/>
      <c r="H63" s="94"/>
      <c r="I63" s="92"/>
      <c r="J63" s="9"/>
    </row>
    <row r="64" spans="2:10" ht="15" hidden="1" customHeight="1" x14ac:dyDescent="0.25">
      <c r="B64" s="8"/>
      <c r="C64" s="97">
        <v>47</v>
      </c>
      <c r="D64" s="94"/>
      <c r="E64" s="94"/>
      <c r="F64" s="94"/>
      <c r="G64" s="94"/>
      <c r="H64" s="94"/>
      <c r="I64" s="92"/>
      <c r="J64" s="9"/>
    </row>
    <row r="65" spans="2:10" ht="15" hidden="1" customHeight="1" x14ac:dyDescent="0.25">
      <c r="B65" s="8"/>
      <c r="C65" s="97">
        <v>48</v>
      </c>
      <c r="D65" s="94"/>
      <c r="E65" s="94"/>
      <c r="F65" s="94"/>
      <c r="G65" s="94"/>
      <c r="H65" s="94"/>
      <c r="I65" s="92"/>
      <c r="J65" s="9"/>
    </row>
    <row r="66" spans="2:10" ht="15" hidden="1" customHeight="1" x14ac:dyDescent="0.25">
      <c r="B66" s="8"/>
      <c r="C66" s="97">
        <v>49</v>
      </c>
      <c r="D66" s="94"/>
      <c r="E66" s="94"/>
      <c r="F66" s="94"/>
      <c r="G66" s="94"/>
      <c r="H66" s="94"/>
      <c r="I66" s="92"/>
      <c r="J66" s="9"/>
    </row>
    <row r="67" spans="2:10" ht="15" hidden="1" customHeight="1" x14ac:dyDescent="0.25">
      <c r="B67" s="8"/>
      <c r="C67" s="97">
        <v>50</v>
      </c>
      <c r="D67" s="94"/>
      <c r="E67" s="94"/>
      <c r="F67" s="94"/>
      <c r="G67" s="94"/>
      <c r="H67" s="94"/>
      <c r="I67" s="92"/>
      <c r="J67" s="9"/>
    </row>
    <row r="68" spans="2:10" ht="15" customHeight="1" x14ac:dyDescent="0.25">
      <c r="B68" s="8"/>
      <c r="C68" s="86"/>
      <c r="D68" s="86"/>
      <c r="E68" s="86"/>
      <c r="F68" s="86"/>
      <c r="G68" s="86"/>
      <c r="H68" s="86"/>
      <c r="I68" s="86"/>
      <c r="J68" s="9"/>
    </row>
    <row r="69" spans="2:10" ht="15" customHeight="1" x14ac:dyDescent="0.25">
      <c r="B69" s="8"/>
      <c r="C69" s="86" t="s">
        <v>98</v>
      </c>
      <c r="D69" s="86"/>
      <c r="E69" s="86"/>
      <c r="F69" s="86"/>
      <c r="G69" s="86"/>
      <c r="H69" s="86"/>
      <c r="I69" s="86"/>
      <c r="J69" s="9"/>
    </row>
    <row r="70" spans="2:10" ht="15" customHeight="1" x14ac:dyDescent="0.25">
      <c r="B70" s="8"/>
      <c r="C70" s="118" t="str">
        <f>IF(I.Product.GasToPowerYear1="","",I.Product.GasToPowerYear1+1)</f>
        <v/>
      </c>
      <c r="D70" s="120"/>
      <c r="E70" s="119"/>
      <c r="F70" s="86"/>
      <c r="G70" s="86"/>
      <c r="H70" s="86"/>
      <c r="I70" s="86"/>
      <c r="J70" s="9"/>
    </row>
    <row r="71" spans="2:10" ht="15" customHeight="1" x14ac:dyDescent="0.25">
      <c r="B71" s="8"/>
      <c r="C71" s="86"/>
      <c r="D71" s="86"/>
      <c r="E71" s="86"/>
      <c r="F71" s="86"/>
      <c r="G71" s="86"/>
      <c r="H71" s="86"/>
      <c r="I71" s="86"/>
      <c r="J71" s="9"/>
    </row>
    <row r="72" spans="2:10" ht="15" customHeight="1" x14ac:dyDescent="0.25">
      <c r="B72" s="8"/>
      <c r="C72" s="86" t="s">
        <v>2993</v>
      </c>
      <c r="D72" s="86"/>
      <c r="E72" s="86"/>
      <c r="F72" s="86"/>
      <c r="G72" s="86"/>
      <c r="H72" s="86"/>
      <c r="I72" s="86"/>
      <c r="J72" s="9"/>
    </row>
    <row r="73" spans="2:10" ht="15" customHeight="1" x14ac:dyDescent="0.25">
      <c r="B73" s="8"/>
      <c r="C73" s="116"/>
      <c r="D73" s="126"/>
      <c r="E73" s="117"/>
      <c r="F73" s="86"/>
      <c r="G73" s="86"/>
      <c r="H73" s="86"/>
      <c r="I73" s="86"/>
      <c r="J73" s="9"/>
    </row>
    <row r="74" spans="2:10" ht="15" hidden="1" customHeight="1" x14ac:dyDescent="0.25">
      <c r="B74" s="8"/>
      <c r="C74" s="86"/>
      <c r="D74" s="86"/>
      <c r="E74" s="86"/>
      <c r="F74" s="86"/>
      <c r="G74" s="86"/>
      <c r="H74" s="86"/>
      <c r="I74" s="86"/>
      <c r="J74" s="9"/>
    </row>
    <row r="75" spans="2:10" ht="15" hidden="1" customHeight="1" x14ac:dyDescent="0.25">
      <c r="B75" s="8"/>
      <c r="C75" s="123" t="s">
        <v>77</v>
      </c>
      <c r="D75" s="121" t="s">
        <v>113</v>
      </c>
      <c r="E75" s="121" t="s">
        <v>112</v>
      </c>
      <c r="F75" s="121" t="s">
        <v>233</v>
      </c>
      <c r="G75" s="121" t="s">
        <v>111</v>
      </c>
      <c r="H75" s="121" t="s">
        <v>110</v>
      </c>
      <c r="I75" s="121" t="s">
        <v>109</v>
      </c>
      <c r="J75" s="9"/>
    </row>
    <row r="76" spans="2:10" ht="15" hidden="1" customHeight="1" x14ac:dyDescent="0.25">
      <c r="B76" s="8"/>
      <c r="C76" s="124"/>
      <c r="D76" s="122"/>
      <c r="E76" s="122"/>
      <c r="F76" s="122"/>
      <c r="G76" s="122"/>
      <c r="H76" s="122"/>
      <c r="I76" s="122"/>
      <c r="J76" s="9"/>
    </row>
    <row r="77" spans="2:10" ht="15" hidden="1" customHeight="1" x14ac:dyDescent="0.25">
      <c r="B77" s="8"/>
      <c r="C77" s="124"/>
      <c r="D77" s="122"/>
      <c r="E77" s="122"/>
      <c r="F77" s="122"/>
      <c r="G77" s="122"/>
      <c r="H77" s="122"/>
      <c r="I77" s="122"/>
      <c r="J77" s="9"/>
    </row>
    <row r="78" spans="2:10" ht="15" hidden="1" customHeight="1" x14ac:dyDescent="0.35">
      <c r="B78" s="8"/>
      <c r="C78" s="125"/>
      <c r="D78" s="98" t="s">
        <v>108</v>
      </c>
      <c r="E78" s="98" t="s">
        <v>108</v>
      </c>
      <c r="F78" s="98" t="s">
        <v>71</v>
      </c>
      <c r="G78" s="99" t="s">
        <v>114</v>
      </c>
      <c r="H78" s="99" t="s">
        <v>115</v>
      </c>
      <c r="I78" s="100" t="s">
        <v>116</v>
      </c>
      <c r="J78" s="9"/>
    </row>
    <row r="79" spans="2:10" ht="15" hidden="1" customHeight="1" x14ac:dyDescent="0.25">
      <c r="B79" s="8"/>
      <c r="C79" s="97">
        <v>1</v>
      </c>
      <c r="D79" s="94"/>
      <c r="E79" s="94"/>
      <c r="F79" s="94"/>
      <c r="G79" s="94"/>
      <c r="H79" s="94"/>
      <c r="I79" s="92"/>
      <c r="J79" s="9"/>
    </row>
    <row r="80" spans="2:10" ht="15" hidden="1" customHeight="1" x14ac:dyDescent="0.25">
      <c r="B80" s="8"/>
      <c r="C80" s="97">
        <v>2</v>
      </c>
      <c r="D80" s="94"/>
      <c r="E80" s="94"/>
      <c r="F80" s="94"/>
      <c r="G80" s="94"/>
      <c r="H80" s="94"/>
      <c r="I80" s="92"/>
      <c r="J80" s="9"/>
    </row>
    <row r="81" spans="2:10" ht="15" hidden="1" customHeight="1" x14ac:dyDescent="0.25">
      <c r="B81" s="8"/>
      <c r="C81" s="97">
        <v>3</v>
      </c>
      <c r="D81" s="94"/>
      <c r="E81" s="94"/>
      <c r="F81" s="94"/>
      <c r="G81" s="94"/>
      <c r="H81" s="94"/>
      <c r="I81" s="92"/>
      <c r="J81" s="9"/>
    </row>
    <row r="82" spans="2:10" ht="15" hidden="1" customHeight="1" x14ac:dyDescent="0.25">
      <c r="B82" s="8"/>
      <c r="C82" s="97">
        <v>4</v>
      </c>
      <c r="D82" s="94"/>
      <c r="E82" s="94"/>
      <c r="F82" s="94"/>
      <c r="G82" s="94"/>
      <c r="H82" s="94"/>
      <c r="I82" s="92"/>
      <c r="J82" s="9"/>
    </row>
    <row r="83" spans="2:10" ht="15" hidden="1" customHeight="1" x14ac:dyDescent="0.25">
      <c r="B83" s="8"/>
      <c r="C83" s="97">
        <v>5</v>
      </c>
      <c r="D83" s="94"/>
      <c r="E83" s="94"/>
      <c r="F83" s="94"/>
      <c r="G83" s="94"/>
      <c r="H83" s="94"/>
      <c r="I83" s="92"/>
      <c r="J83" s="9"/>
    </row>
    <row r="84" spans="2:10" ht="15" hidden="1" customHeight="1" x14ac:dyDescent="0.25">
      <c r="B84" s="8"/>
      <c r="C84" s="97">
        <v>6</v>
      </c>
      <c r="D84" s="94"/>
      <c r="E84" s="94"/>
      <c r="F84" s="94"/>
      <c r="G84" s="94"/>
      <c r="H84" s="94"/>
      <c r="I84" s="92"/>
      <c r="J84" s="9"/>
    </row>
    <row r="85" spans="2:10" ht="15" hidden="1" customHeight="1" x14ac:dyDescent="0.25">
      <c r="B85" s="8"/>
      <c r="C85" s="97">
        <v>7</v>
      </c>
      <c r="D85" s="94"/>
      <c r="E85" s="94"/>
      <c r="F85" s="94"/>
      <c r="G85" s="94"/>
      <c r="H85" s="94"/>
      <c r="I85" s="92"/>
      <c r="J85" s="9"/>
    </row>
    <row r="86" spans="2:10" ht="15" hidden="1" customHeight="1" x14ac:dyDescent="0.25">
      <c r="B86" s="8"/>
      <c r="C86" s="97">
        <v>8</v>
      </c>
      <c r="D86" s="94"/>
      <c r="E86" s="94"/>
      <c r="F86" s="94"/>
      <c r="G86" s="94"/>
      <c r="H86" s="94"/>
      <c r="I86" s="92"/>
      <c r="J86" s="9"/>
    </row>
    <row r="87" spans="2:10" ht="15" hidden="1" customHeight="1" x14ac:dyDescent="0.25">
      <c r="B87" s="8"/>
      <c r="C87" s="97">
        <v>9</v>
      </c>
      <c r="D87" s="94"/>
      <c r="E87" s="94"/>
      <c r="F87" s="94"/>
      <c r="G87" s="94"/>
      <c r="H87" s="94"/>
      <c r="I87" s="92"/>
      <c r="J87" s="9"/>
    </row>
    <row r="88" spans="2:10" ht="15" hidden="1" customHeight="1" x14ac:dyDescent="0.25">
      <c r="B88" s="8"/>
      <c r="C88" s="97">
        <v>10</v>
      </c>
      <c r="D88" s="94"/>
      <c r="E88" s="94"/>
      <c r="F88" s="94"/>
      <c r="G88" s="94"/>
      <c r="H88" s="94"/>
      <c r="I88" s="92"/>
      <c r="J88" s="9"/>
    </row>
    <row r="89" spans="2:10" ht="15" hidden="1" customHeight="1" x14ac:dyDescent="0.25">
      <c r="B89" s="8"/>
      <c r="C89" s="97">
        <v>11</v>
      </c>
      <c r="D89" s="94"/>
      <c r="E89" s="94"/>
      <c r="F89" s="94"/>
      <c r="G89" s="94"/>
      <c r="H89" s="94"/>
      <c r="I89" s="92"/>
      <c r="J89" s="9"/>
    </row>
    <row r="90" spans="2:10" ht="15" hidden="1" customHeight="1" x14ac:dyDescent="0.25">
      <c r="B90" s="8"/>
      <c r="C90" s="97">
        <v>12</v>
      </c>
      <c r="D90" s="94"/>
      <c r="E90" s="94"/>
      <c r="F90" s="94"/>
      <c r="G90" s="94"/>
      <c r="H90" s="94"/>
      <c r="I90" s="92"/>
      <c r="J90" s="9"/>
    </row>
    <row r="91" spans="2:10" ht="15" hidden="1" customHeight="1" x14ac:dyDescent="0.25">
      <c r="B91" s="8"/>
      <c r="C91" s="97">
        <v>13</v>
      </c>
      <c r="D91" s="94"/>
      <c r="E91" s="94"/>
      <c r="F91" s="94"/>
      <c r="G91" s="94"/>
      <c r="H91" s="94"/>
      <c r="I91" s="92"/>
      <c r="J91" s="9"/>
    </row>
    <row r="92" spans="2:10" ht="15" hidden="1" customHeight="1" x14ac:dyDescent="0.25">
      <c r="B92" s="8"/>
      <c r="C92" s="97">
        <v>14</v>
      </c>
      <c r="D92" s="94"/>
      <c r="E92" s="94"/>
      <c r="F92" s="94"/>
      <c r="G92" s="94"/>
      <c r="H92" s="94"/>
      <c r="I92" s="92"/>
      <c r="J92" s="9"/>
    </row>
    <row r="93" spans="2:10" ht="15" hidden="1" customHeight="1" x14ac:dyDescent="0.25">
      <c r="B93" s="8"/>
      <c r="C93" s="97">
        <v>15</v>
      </c>
      <c r="D93" s="94"/>
      <c r="E93" s="94"/>
      <c r="F93" s="94"/>
      <c r="G93" s="94"/>
      <c r="H93" s="94"/>
      <c r="I93" s="92"/>
      <c r="J93" s="9"/>
    </row>
    <row r="94" spans="2:10" ht="15" hidden="1" customHeight="1" x14ac:dyDescent="0.25">
      <c r="B94" s="8"/>
      <c r="C94" s="97">
        <v>16</v>
      </c>
      <c r="D94" s="94"/>
      <c r="E94" s="94"/>
      <c r="F94" s="94"/>
      <c r="G94" s="94"/>
      <c r="H94" s="94"/>
      <c r="I94" s="92"/>
      <c r="J94" s="9"/>
    </row>
    <row r="95" spans="2:10" ht="15" hidden="1" customHeight="1" x14ac:dyDescent="0.25">
      <c r="B95" s="8"/>
      <c r="C95" s="97">
        <v>17</v>
      </c>
      <c r="D95" s="94"/>
      <c r="E95" s="94"/>
      <c r="F95" s="94"/>
      <c r="G95" s="94"/>
      <c r="H95" s="94"/>
      <c r="I95" s="92"/>
      <c r="J95" s="9"/>
    </row>
    <row r="96" spans="2:10" ht="15" hidden="1" customHeight="1" x14ac:dyDescent="0.25">
      <c r="B96" s="8"/>
      <c r="C96" s="97">
        <v>18</v>
      </c>
      <c r="D96" s="94"/>
      <c r="E96" s="94"/>
      <c r="F96" s="94"/>
      <c r="G96" s="94"/>
      <c r="H96" s="94"/>
      <c r="I96" s="92"/>
      <c r="J96" s="9"/>
    </row>
    <row r="97" spans="2:10" ht="15" hidden="1" customHeight="1" x14ac:dyDescent="0.25">
      <c r="B97" s="8"/>
      <c r="C97" s="97">
        <v>19</v>
      </c>
      <c r="D97" s="94"/>
      <c r="E97" s="94"/>
      <c r="F97" s="94"/>
      <c r="G97" s="94"/>
      <c r="H97" s="94"/>
      <c r="I97" s="92"/>
      <c r="J97" s="9"/>
    </row>
    <row r="98" spans="2:10" ht="15" hidden="1" customHeight="1" x14ac:dyDescent="0.25">
      <c r="B98" s="8"/>
      <c r="C98" s="97">
        <v>20</v>
      </c>
      <c r="D98" s="94"/>
      <c r="E98" s="94"/>
      <c r="F98" s="94"/>
      <c r="G98" s="94"/>
      <c r="H98" s="94"/>
      <c r="I98" s="92"/>
      <c r="J98" s="9"/>
    </row>
    <row r="99" spans="2:10" ht="15" hidden="1" customHeight="1" x14ac:dyDescent="0.25">
      <c r="B99" s="8"/>
      <c r="C99" s="97">
        <v>21</v>
      </c>
      <c r="D99" s="94"/>
      <c r="E99" s="94"/>
      <c r="F99" s="94"/>
      <c r="G99" s="94"/>
      <c r="H99" s="94"/>
      <c r="I99" s="92"/>
      <c r="J99" s="9"/>
    </row>
    <row r="100" spans="2:10" ht="15" hidden="1" customHeight="1" x14ac:dyDescent="0.25">
      <c r="B100" s="8"/>
      <c r="C100" s="97">
        <v>22</v>
      </c>
      <c r="D100" s="94"/>
      <c r="E100" s="94"/>
      <c r="F100" s="94"/>
      <c r="G100" s="94"/>
      <c r="H100" s="94"/>
      <c r="I100" s="92"/>
      <c r="J100" s="9"/>
    </row>
    <row r="101" spans="2:10" ht="15" hidden="1" customHeight="1" x14ac:dyDescent="0.25">
      <c r="B101" s="8"/>
      <c r="C101" s="97">
        <v>23</v>
      </c>
      <c r="D101" s="94"/>
      <c r="E101" s="94"/>
      <c r="F101" s="94"/>
      <c r="G101" s="94"/>
      <c r="H101" s="94"/>
      <c r="I101" s="92"/>
      <c r="J101" s="9"/>
    </row>
    <row r="102" spans="2:10" ht="15" hidden="1" customHeight="1" x14ac:dyDescent="0.25">
      <c r="B102" s="8"/>
      <c r="C102" s="97">
        <v>24</v>
      </c>
      <c r="D102" s="94"/>
      <c r="E102" s="94"/>
      <c r="F102" s="94"/>
      <c r="G102" s="94"/>
      <c r="H102" s="94"/>
      <c r="I102" s="92"/>
      <c r="J102" s="9"/>
    </row>
    <row r="103" spans="2:10" ht="15" hidden="1" customHeight="1" x14ac:dyDescent="0.25">
      <c r="B103" s="8"/>
      <c r="C103" s="97">
        <v>25</v>
      </c>
      <c r="D103" s="94"/>
      <c r="E103" s="94"/>
      <c r="F103" s="94"/>
      <c r="G103" s="94"/>
      <c r="H103" s="94"/>
      <c r="I103" s="92"/>
      <c r="J103" s="9"/>
    </row>
    <row r="104" spans="2:10" ht="15" hidden="1" customHeight="1" x14ac:dyDescent="0.25">
      <c r="B104" s="8"/>
      <c r="C104" s="97">
        <v>26</v>
      </c>
      <c r="D104" s="94"/>
      <c r="E104" s="94"/>
      <c r="F104" s="94"/>
      <c r="G104" s="94"/>
      <c r="H104" s="94"/>
      <c r="I104" s="92"/>
      <c r="J104" s="9"/>
    </row>
    <row r="105" spans="2:10" ht="15" hidden="1" customHeight="1" x14ac:dyDescent="0.25">
      <c r="B105" s="8"/>
      <c r="C105" s="97">
        <v>27</v>
      </c>
      <c r="D105" s="94"/>
      <c r="E105" s="94"/>
      <c r="F105" s="94"/>
      <c r="G105" s="94"/>
      <c r="H105" s="94"/>
      <c r="I105" s="92"/>
      <c r="J105" s="9"/>
    </row>
    <row r="106" spans="2:10" ht="15" hidden="1" customHeight="1" x14ac:dyDescent="0.25">
      <c r="B106" s="8"/>
      <c r="C106" s="97">
        <v>28</v>
      </c>
      <c r="D106" s="94"/>
      <c r="E106" s="94"/>
      <c r="F106" s="94"/>
      <c r="G106" s="94"/>
      <c r="H106" s="94"/>
      <c r="I106" s="92"/>
      <c r="J106" s="9"/>
    </row>
    <row r="107" spans="2:10" ht="15" hidden="1" customHeight="1" x14ac:dyDescent="0.25">
      <c r="B107" s="8"/>
      <c r="C107" s="97">
        <v>29</v>
      </c>
      <c r="D107" s="94"/>
      <c r="E107" s="94"/>
      <c r="F107" s="94"/>
      <c r="G107" s="94"/>
      <c r="H107" s="94"/>
      <c r="I107" s="92"/>
      <c r="J107" s="9"/>
    </row>
    <row r="108" spans="2:10" ht="15" hidden="1" customHeight="1" x14ac:dyDescent="0.25">
      <c r="B108" s="8"/>
      <c r="C108" s="97">
        <v>30</v>
      </c>
      <c r="D108" s="94"/>
      <c r="E108" s="94"/>
      <c r="F108" s="94"/>
      <c r="G108" s="94"/>
      <c r="H108" s="94"/>
      <c r="I108" s="92"/>
      <c r="J108" s="9"/>
    </row>
    <row r="109" spans="2:10" ht="15" hidden="1" customHeight="1" x14ac:dyDescent="0.25">
      <c r="B109" s="8"/>
      <c r="C109" s="97">
        <v>31</v>
      </c>
      <c r="D109" s="94"/>
      <c r="E109" s="94"/>
      <c r="F109" s="94"/>
      <c r="G109" s="94"/>
      <c r="H109" s="94"/>
      <c r="I109" s="92"/>
      <c r="J109" s="9"/>
    </row>
    <row r="110" spans="2:10" ht="15" hidden="1" customHeight="1" x14ac:dyDescent="0.25">
      <c r="B110" s="8"/>
      <c r="C110" s="97">
        <v>32</v>
      </c>
      <c r="D110" s="94"/>
      <c r="E110" s="94"/>
      <c r="F110" s="94"/>
      <c r="G110" s="94"/>
      <c r="H110" s="94"/>
      <c r="I110" s="92"/>
      <c r="J110" s="9"/>
    </row>
    <row r="111" spans="2:10" ht="15" hidden="1" customHeight="1" x14ac:dyDescent="0.25">
      <c r="B111" s="8"/>
      <c r="C111" s="97">
        <v>33</v>
      </c>
      <c r="D111" s="94"/>
      <c r="E111" s="94"/>
      <c r="F111" s="94"/>
      <c r="G111" s="94"/>
      <c r="H111" s="94"/>
      <c r="I111" s="92"/>
      <c r="J111" s="9"/>
    </row>
    <row r="112" spans="2:10" ht="15" hidden="1" customHeight="1" x14ac:dyDescent="0.25">
      <c r="B112" s="8"/>
      <c r="C112" s="97">
        <v>34</v>
      </c>
      <c r="D112" s="94"/>
      <c r="E112" s="94"/>
      <c r="F112" s="94"/>
      <c r="G112" s="94"/>
      <c r="H112" s="94"/>
      <c r="I112" s="92"/>
      <c r="J112" s="9"/>
    </row>
    <row r="113" spans="2:10" ht="15" hidden="1" customHeight="1" x14ac:dyDescent="0.25">
      <c r="B113" s="8"/>
      <c r="C113" s="97">
        <v>35</v>
      </c>
      <c r="D113" s="94"/>
      <c r="E113" s="94"/>
      <c r="F113" s="94"/>
      <c r="G113" s="94"/>
      <c r="H113" s="94"/>
      <c r="I113" s="92"/>
      <c r="J113" s="9"/>
    </row>
    <row r="114" spans="2:10" ht="15" hidden="1" customHeight="1" x14ac:dyDescent="0.25">
      <c r="B114" s="8"/>
      <c r="C114" s="97">
        <v>36</v>
      </c>
      <c r="D114" s="94"/>
      <c r="E114" s="94"/>
      <c r="F114" s="94"/>
      <c r="G114" s="94"/>
      <c r="H114" s="94"/>
      <c r="I114" s="92"/>
      <c r="J114" s="9"/>
    </row>
    <row r="115" spans="2:10" ht="15" hidden="1" customHeight="1" x14ac:dyDescent="0.25">
      <c r="B115" s="8"/>
      <c r="C115" s="97">
        <v>37</v>
      </c>
      <c r="D115" s="94"/>
      <c r="E115" s="94"/>
      <c r="F115" s="94"/>
      <c r="G115" s="94"/>
      <c r="H115" s="94"/>
      <c r="I115" s="92"/>
      <c r="J115" s="9"/>
    </row>
    <row r="116" spans="2:10" ht="15" hidden="1" customHeight="1" x14ac:dyDescent="0.25">
      <c r="B116" s="8"/>
      <c r="C116" s="97">
        <v>38</v>
      </c>
      <c r="D116" s="94"/>
      <c r="E116" s="94"/>
      <c r="F116" s="94"/>
      <c r="G116" s="94"/>
      <c r="H116" s="94"/>
      <c r="I116" s="92"/>
      <c r="J116" s="9"/>
    </row>
    <row r="117" spans="2:10" ht="15" hidden="1" customHeight="1" x14ac:dyDescent="0.25">
      <c r="B117" s="8"/>
      <c r="C117" s="97">
        <v>39</v>
      </c>
      <c r="D117" s="94"/>
      <c r="E117" s="94"/>
      <c r="F117" s="94"/>
      <c r="G117" s="94"/>
      <c r="H117" s="94"/>
      <c r="I117" s="92"/>
      <c r="J117" s="9"/>
    </row>
    <row r="118" spans="2:10" ht="15" hidden="1" customHeight="1" x14ac:dyDescent="0.25">
      <c r="B118" s="8"/>
      <c r="C118" s="97">
        <v>40</v>
      </c>
      <c r="D118" s="94"/>
      <c r="E118" s="94"/>
      <c r="F118" s="94"/>
      <c r="G118" s="94"/>
      <c r="H118" s="94"/>
      <c r="I118" s="92"/>
      <c r="J118" s="9"/>
    </row>
    <row r="119" spans="2:10" ht="15" hidden="1" customHeight="1" x14ac:dyDescent="0.25">
      <c r="B119" s="8"/>
      <c r="C119" s="97">
        <v>41</v>
      </c>
      <c r="D119" s="94"/>
      <c r="E119" s="94"/>
      <c r="F119" s="94"/>
      <c r="G119" s="94"/>
      <c r="H119" s="94"/>
      <c r="I119" s="92"/>
      <c r="J119" s="9"/>
    </row>
    <row r="120" spans="2:10" ht="15" hidden="1" customHeight="1" x14ac:dyDescent="0.25">
      <c r="B120" s="8"/>
      <c r="C120" s="97">
        <v>42</v>
      </c>
      <c r="D120" s="94"/>
      <c r="E120" s="94"/>
      <c r="F120" s="94"/>
      <c r="G120" s="94"/>
      <c r="H120" s="94"/>
      <c r="I120" s="92"/>
      <c r="J120" s="9"/>
    </row>
    <row r="121" spans="2:10" ht="15" hidden="1" customHeight="1" x14ac:dyDescent="0.25">
      <c r="B121" s="8"/>
      <c r="C121" s="97">
        <v>43</v>
      </c>
      <c r="D121" s="94"/>
      <c r="E121" s="94"/>
      <c r="F121" s="94"/>
      <c r="G121" s="94"/>
      <c r="H121" s="94"/>
      <c r="I121" s="92"/>
      <c r="J121" s="9"/>
    </row>
    <row r="122" spans="2:10" ht="15" hidden="1" customHeight="1" x14ac:dyDescent="0.25">
      <c r="B122" s="8"/>
      <c r="C122" s="97">
        <v>44</v>
      </c>
      <c r="D122" s="94"/>
      <c r="E122" s="94"/>
      <c r="F122" s="94"/>
      <c r="G122" s="94"/>
      <c r="H122" s="94"/>
      <c r="I122" s="92"/>
      <c r="J122" s="9"/>
    </row>
    <row r="123" spans="2:10" ht="15" hidden="1" customHeight="1" x14ac:dyDescent="0.25">
      <c r="B123" s="8"/>
      <c r="C123" s="97">
        <v>45</v>
      </c>
      <c r="D123" s="94"/>
      <c r="E123" s="94"/>
      <c r="F123" s="94"/>
      <c r="G123" s="94"/>
      <c r="H123" s="94"/>
      <c r="I123" s="92"/>
      <c r="J123" s="9"/>
    </row>
    <row r="124" spans="2:10" ht="15" hidden="1" customHeight="1" x14ac:dyDescent="0.25">
      <c r="B124" s="8"/>
      <c r="C124" s="97">
        <v>46</v>
      </c>
      <c r="D124" s="94"/>
      <c r="E124" s="94"/>
      <c r="F124" s="94"/>
      <c r="G124" s="94"/>
      <c r="H124" s="94"/>
      <c r="I124" s="92"/>
      <c r="J124" s="9"/>
    </row>
    <row r="125" spans="2:10" ht="15" hidden="1" customHeight="1" x14ac:dyDescent="0.25">
      <c r="B125" s="8"/>
      <c r="C125" s="97">
        <v>47</v>
      </c>
      <c r="D125" s="94"/>
      <c r="E125" s="94"/>
      <c r="F125" s="94"/>
      <c r="G125" s="94"/>
      <c r="H125" s="94"/>
      <c r="I125" s="92"/>
      <c r="J125" s="9"/>
    </row>
    <row r="126" spans="2:10" ht="15" hidden="1" customHeight="1" x14ac:dyDescent="0.25">
      <c r="B126" s="8"/>
      <c r="C126" s="97">
        <v>48</v>
      </c>
      <c r="D126" s="94"/>
      <c r="E126" s="94"/>
      <c r="F126" s="94"/>
      <c r="G126" s="94"/>
      <c r="H126" s="94"/>
      <c r="I126" s="92"/>
      <c r="J126" s="9"/>
    </row>
    <row r="127" spans="2:10" ht="15" hidden="1" customHeight="1" x14ac:dyDescent="0.25">
      <c r="B127" s="8"/>
      <c r="C127" s="97">
        <v>49</v>
      </c>
      <c r="D127" s="94"/>
      <c r="E127" s="94"/>
      <c r="F127" s="94"/>
      <c r="G127" s="94"/>
      <c r="H127" s="94"/>
      <c r="I127" s="92"/>
      <c r="J127" s="9"/>
    </row>
    <row r="128" spans="2:10" ht="15" hidden="1" customHeight="1" x14ac:dyDescent="0.25">
      <c r="B128" s="8"/>
      <c r="C128" s="97">
        <v>50</v>
      </c>
      <c r="D128" s="94"/>
      <c r="E128" s="94"/>
      <c r="F128" s="94"/>
      <c r="G128" s="94"/>
      <c r="H128" s="94"/>
      <c r="I128" s="92"/>
      <c r="J128" s="9"/>
    </row>
    <row r="129" spans="2:10" ht="15" customHeight="1" x14ac:dyDescent="0.25">
      <c r="B129" s="8"/>
      <c r="C129" s="86"/>
      <c r="D129" s="86"/>
      <c r="E129" s="86"/>
      <c r="F129" s="86"/>
      <c r="G129" s="86"/>
      <c r="H129" s="86"/>
      <c r="I129" s="86"/>
      <c r="J129" s="9"/>
    </row>
    <row r="130" spans="2:10" ht="15" customHeight="1" x14ac:dyDescent="0.25">
      <c r="B130" s="8"/>
      <c r="C130" s="108"/>
      <c r="D130" s="108"/>
      <c r="E130" s="86"/>
      <c r="F130" s="86"/>
      <c r="G130" s="86"/>
      <c r="H130" s="86"/>
      <c r="I130" s="86"/>
      <c r="J130" s="9"/>
    </row>
    <row r="131" spans="2:10" ht="15" customHeight="1" x14ac:dyDescent="0.25">
      <c r="B131" s="8"/>
      <c r="C131" s="86"/>
      <c r="D131" s="86"/>
      <c r="E131" s="86"/>
      <c r="F131" s="86"/>
      <c r="G131" s="86"/>
      <c r="H131" s="86"/>
      <c r="I131" s="86"/>
      <c r="J131" s="9"/>
    </row>
    <row r="132" spans="2:10" ht="15" customHeight="1" x14ac:dyDescent="0.25">
      <c r="B132" s="10"/>
      <c r="C132" s="109">
        <f>R.Instructions.VersionNumber</f>
        <v>3.01</v>
      </c>
      <c r="D132" s="109"/>
      <c r="E132" s="11"/>
      <c r="F132" s="11"/>
      <c r="G132" s="11"/>
      <c r="H132" s="11"/>
      <c r="I132" s="12">
        <f>R.Instructions.VersionDate</f>
        <v>45329</v>
      </c>
      <c r="J132" s="13"/>
    </row>
    <row r="134" spans="2:10" ht="15" customHeight="1" x14ac:dyDescent="0.25">
      <c r="C134" s="110" t="str">
        <f>IFERROR(VLOOKUP("Incomplete",Developer!H2553:I3154,2,FALSE),"Sheet complete.")</f>
        <v>Sheet complete.</v>
      </c>
      <c r="D134" s="110"/>
      <c r="E134" s="110"/>
      <c r="F134" s="110"/>
      <c r="G134" s="110"/>
      <c r="H134" s="110"/>
      <c r="I134" s="110"/>
    </row>
    <row r="135" spans="2:10" ht="15" customHeight="1" x14ac:dyDescent="0.25">
      <c r="C135" s="110"/>
      <c r="D135" s="110"/>
      <c r="E135" s="110"/>
      <c r="F135" s="110"/>
      <c r="G135" s="110"/>
      <c r="H135" s="110"/>
      <c r="I135" s="110"/>
    </row>
    <row r="136" spans="2:10" ht="15" customHeight="1" x14ac:dyDescent="0.25">
      <c r="C136" s="110"/>
      <c r="D136" s="110"/>
      <c r="E136" s="110"/>
      <c r="F136" s="110"/>
      <c r="G136" s="110"/>
      <c r="H136" s="110"/>
      <c r="I136" s="110"/>
    </row>
  </sheetData>
  <sheetProtection algorithmName="SHA-512" hashValue="5fCluQE/Dj6pS2JA0X5/FFSRvw2rkedPcGubAN+l9RjD9Q9Lb8qKcw3iLtPiNjA1hjDVTfSp3YcZNCC5f5v5YA==" saltValue="K8e7Uef4ECiowxH4TejXkQ==" spinCount="100000" sheet="1" objects="1" scenarios="1" selectLockedCells="1"/>
  <mergeCells count="23">
    <mergeCell ref="C73:E73"/>
    <mergeCell ref="I75:I77"/>
    <mergeCell ref="C132:D132"/>
    <mergeCell ref="D75:D77"/>
    <mergeCell ref="C75:C78"/>
    <mergeCell ref="C134:I136"/>
    <mergeCell ref="C130:D130"/>
    <mergeCell ref="E75:E77"/>
    <mergeCell ref="F75:F77"/>
    <mergeCell ref="G75:G77"/>
    <mergeCell ref="H75:H77"/>
    <mergeCell ref="C70:E70"/>
    <mergeCell ref="C4:I4"/>
    <mergeCell ref="D14:D16"/>
    <mergeCell ref="E14:E16"/>
    <mergeCell ref="F14:F16"/>
    <mergeCell ref="G14:G16"/>
    <mergeCell ref="H14:H16"/>
    <mergeCell ref="I14:I16"/>
    <mergeCell ref="C14:C17"/>
    <mergeCell ref="C6:I7"/>
    <mergeCell ref="C9:E9"/>
    <mergeCell ref="C12:E12"/>
  </mergeCells>
  <conditionalFormatting sqref="C134">
    <cfRule type="cellIs" dxfId="1" priority="1" stopIfTrue="1" operator="equal">
      <formula>"Sheet complete."</formula>
    </cfRule>
  </conditionalFormatting>
  <printOptions horizontalCentered="1"/>
  <pageMargins left="0.25" right="0.25" top="0.25" bottom="0.25" header="0" footer="0"/>
  <pageSetup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046A38"/>
    <pageSetUpPr fitToPage="1"/>
  </sheetPr>
  <dimension ref="B1:F218"/>
  <sheetViews>
    <sheetView showGridLines="0" showRowColHeaders="0" zoomScaleNormal="100" workbookViewId="0"/>
  </sheetViews>
  <sheetFormatPr defaultColWidth="9.14062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1" t="s">
        <v>86</v>
      </c>
      <c r="D4" s="111"/>
      <c r="E4" s="111"/>
      <c r="F4" s="7"/>
    </row>
    <row r="5" spans="2:6" ht="15" customHeight="1" x14ac:dyDescent="0.25">
      <c r="B5" s="8"/>
      <c r="C5" s="86"/>
      <c r="D5" s="86"/>
      <c r="E5" s="86"/>
      <c r="F5" s="9"/>
    </row>
    <row r="6" spans="2:6" ht="15" customHeight="1" x14ac:dyDescent="0.25">
      <c r="B6" s="8"/>
      <c r="C6" s="107" t="s">
        <v>1160</v>
      </c>
      <c r="D6" s="102"/>
      <c r="E6" s="102"/>
      <c r="F6" s="9"/>
    </row>
    <row r="7" spans="2:6" ht="15" customHeight="1" x14ac:dyDescent="0.25">
      <c r="B7" s="8"/>
      <c r="C7" s="103"/>
      <c r="D7" s="103"/>
      <c r="E7" s="103"/>
      <c r="F7" s="9"/>
    </row>
    <row r="8" spans="2:6" ht="15" customHeight="1" x14ac:dyDescent="0.25">
      <c r="B8" s="8"/>
      <c r="C8" s="96" t="s">
        <v>89</v>
      </c>
      <c r="D8" s="127" t="s">
        <v>15</v>
      </c>
      <c r="E8" s="128"/>
      <c r="F8" s="9"/>
    </row>
    <row r="9" spans="2:6" ht="15" customHeight="1" x14ac:dyDescent="0.25">
      <c r="B9" s="8"/>
      <c r="C9" s="97" t="s">
        <v>88</v>
      </c>
      <c r="D9" s="118" t="s">
        <v>1138</v>
      </c>
      <c r="E9" s="119"/>
      <c r="F9" s="9"/>
    </row>
    <row r="10" spans="2:6" ht="15" customHeight="1" x14ac:dyDescent="0.25">
      <c r="B10" s="8"/>
      <c r="C10" s="97" t="s">
        <v>87</v>
      </c>
      <c r="D10" s="118" t="s">
        <v>22</v>
      </c>
      <c r="E10" s="119"/>
      <c r="F10" s="9"/>
    </row>
    <row r="11" spans="2:6" ht="15" customHeight="1" x14ac:dyDescent="0.35">
      <c r="B11" s="8"/>
      <c r="C11" s="101" t="s">
        <v>240</v>
      </c>
      <c r="D11" s="118" t="s">
        <v>239</v>
      </c>
      <c r="E11" s="119"/>
      <c r="F11" s="9"/>
    </row>
    <row r="12" spans="2:6" ht="15" customHeight="1" x14ac:dyDescent="0.35">
      <c r="B12" s="8"/>
      <c r="C12" s="101" t="s">
        <v>238</v>
      </c>
      <c r="D12" s="118" t="s">
        <v>3022</v>
      </c>
      <c r="E12" s="119"/>
      <c r="F12" s="9"/>
    </row>
    <row r="13" spans="2:6" ht="15" customHeight="1" x14ac:dyDescent="0.35">
      <c r="B13" s="8"/>
      <c r="C13" s="101" t="s">
        <v>237</v>
      </c>
      <c r="D13" s="118" t="s">
        <v>80</v>
      </c>
      <c r="E13" s="119"/>
      <c r="F13" s="9"/>
    </row>
    <row r="14" spans="2:6" ht="15" customHeight="1" x14ac:dyDescent="0.35">
      <c r="B14" s="8"/>
      <c r="C14" s="101" t="s">
        <v>117</v>
      </c>
      <c r="D14" s="118" t="s">
        <v>81</v>
      </c>
      <c r="E14" s="119"/>
      <c r="F14" s="9"/>
    </row>
    <row r="15" spans="2:6" ht="15" customHeight="1" x14ac:dyDescent="0.35">
      <c r="B15" s="8"/>
      <c r="C15" s="101" t="s">
        <v>118</v>
      </c>
      <c r="D15" s="118" t="s">
        <v>23</v>
      </c>
      <c r="E15" s="119"/>
      <c r="F15" s="9"/>
    </row>
    <row r="16" spans="2:6" ht="15" customHeight="1" x14ac:dyDescent="0.35">
      <c r="B16" s="8"/>
      <c r="C16" s="101" t="s">
        <v>119</v>
      </c>
      <c r="D16" s="118" t="s">
        <v>82</v>
      </c>
      <c r="E16" s="119"/>
      <c r="F16" s="9"/>
    </row>
    <row r="17" spans="2:6" ht="15" customHeight="1" x14ac:dyDescent="0.35">
      <c r="B17" s="8"/>
      <c r="C17" s="101" t="s">
        <v>120</v>
      </c>
      <c r="D17" s="118" t="s">
        <v>83</v>
      </c>
      <c r="E17" s="119"/>
      <c r="F17" s="9"/>
    </row>
    <row r="18" spans="2:6" ht="15" customHeight="1" x14ac:dyDescent="0.35">
      <c r="B18" s="8"/>
      <c r="C18" s="101" t="s">
        <v>121</v>
      </c>
      <c r="D18" s="118" t="s">
        <v>84</v>
      </c>
      <c r="E18" s="119"/>
      <c r="F18" s="9"/>
    </row>
    <row r="19" spans="2:6" ht="15" customHeight="1" x14ac:dyDescent="0.35">
      <c r="B19" s="8"/>
      <c r="C19" s="101" t="s">
        <v>122</v>
      </c>
      <c r="D19" s="118" t="s">
        <v>85</v>
      </c>
      <c r="E19" s="119"/>
      <c r="F19" s="9"/>
    </row>
    <row r="20" spans="2:6" ht="15" customHeight="1" x14ac:dyDescent="0.25">
      <c r="B20" s="8"/>
      <c r="C20" s="86"/>
      <c r="D20" s="86"/>
      <c r="E20" s="86"/>
      <c r="F20" s="9"/>
    </row>
    <row r="21" spans="2:6" ht="20.100000000000001" customHeight="1" x14ac:dyDescent="0.25">
      <c r="B21" s="18"/>
      <c r="C21" s="104" t="s">
        <v>7</v>
      </c>
      <c r="D21" s="104"/>
      <c r="E21" s="104"/>
      <c r="F21" s="19"/>
    </row>
    <row r="22" spans="2:6" ht="15" customHeight="1" x14ac:dyDescent="0.25">
      <c r="B22" s="8"/>
      <c r="C22" s="86"/>
      <c r="D22" s="86"/>
      <c r="E22" s="86"/>
      <c r="F22" s="9"/>
    </row>
    <row r="23" spans="2:6" ht="15" customHeight="1" x14ac:dyDescent="0.25">
      <c r="B23" s="8"/>
      <c r="C23" s="86" t="s">
        <v>19</v>
      </c>
      <c r="D23" s="86"/>
      <c r="E23" s="86"/>
      <c r="F23" s="9"/>
    </row>
    <row r="24" spans="2:6" ht="15" customHeight="1" x14ac:dyDescent="0.25">
      <c r="B24" s="8"/>
      <c r="C24" s="88" t="str">
        <f>IF(I.Product.P1Name="","",I.Product.P1Name)</f>
        <v/>
      </c>
      <c r="D24" s="86"/>
      <c r="E24" s="86"/>
      <c r="F24" s="9"/>
    </row>
    <row r="25" spans="2:6" ht="15" customHeight="1" x14ac:dyDescent="0.25">
      <c r="B25" s="8"/>
      <c r="C25" s="86"/>
      <c r="D25" s="86"/>
      <c r="E25" s="86"/>
      <c r="F25" s="9"/>
    </row>
    <row r="26" spans="2:6" ht="15" hidden="1" customHeight="1" x14ac:dyDescent="0.25">
      <c r="B26" s="8"/>
      <c r="C26" s="86" t="str">
        <f>CONCATENATE("Baseline year 1",IF(I.Product.P1Year1="","",CONCATENATE(": ",I.Product.P1Year1)))</f>
        <v>Baseline year 1</v>
      </c>
      <c r="D26" s="86"/>
      <c r="E26" s="86"/>
      <c r="F26" s="9"/>
    </row>
    <row r="27" spans="2:6" ht="15" hidden="1" customHeight="1" x14ac:dyDescent="0.25">
      <c r="B27" s="8"/>
      <c r="C27" s="96" t="s">
        <v>89</v>
      </c>
      <c r="D27" s="93" t="s">
        <v>79</v>
      </c>
      <c r="E27" s="90" t="s">
        <v>17</v>
      </c>
      <c r="F27" s="9"/>
    </row>
    <row r="28" spans="2:6" ht="15" hidden="1" customHeight="1" x14ac:dyDescent="0.35">
      <c r="B28" s="8"/>
      <c r="C28" s="101" t="s">
        <v>123</v>
      </c>
      <c r="D28" s="94">
        <f>I.Production.P1Y1Quantity</f>
        <v>0</v>
      </c>
      <c r="E28" s="88" t="str">
        <f>IF(I.Production.P1Units="","",I.Production.P1Units)</f>
        <v/>
      </c>
      <c r="F28" s="9"/>
    </row>
    <row r="29" spans="2:6" ht="15" hidden="1" customHeight="1" x14ac:dyDescent="0.35">
      <c r="B29" s="8"/>
      <c r="C29" s="101" t="s">
        <v>124</v>
      </c>
      <c r="D29" s="94">
        <f>SUMPRODUCT('Production Data'!D16:D18,Developer!T4:T6)+SUMPRODUCT('Production Data'!D22:D45,Developer!T4:T27)+SUMPRODUCT('Production Data'!D49:D69,Developer!T7:T27)+SUMPRODUCT('Production Data'!D73:D75,Developer!T4:T6)+SUMPRODUCT('Production Data'!D79:D81,Developer!T4:T6)+SUMPRODUCT('Production Data'!D85:D87,Developer!T4:T6)+SUMPRODUCT('Production Data'!D91:D93,Developer!T4:T6)+SUMPRODUCT('Production Data'!D97:D99,Developer!T4:T6)+SUMPRODUCT('Production Data'!D103:D105,Developer!T4:T6)</f>
        <v>0</v>
      </c>
      <c r="E29" s="95" t="s">
        <v>125</v>
      </c>
      <c r="F29" s="9"/>
    </row>
    <row r="30" spans="2:6" ht="15" hidden="1" customHeight="1" x14ac:dyDescent="0.35">
      <c r="B30" s="8"/>
      <c r="C30" s="101" t="s">
        <v>126</v>
      </c>
      <c r="D30" s="94">
        <f>SUMPRODUCT('Electricity Data'!D15:D17,Developer!T4:T6)+SUMPRODUCT('Electricity Data'!D21:D44,Developer!T4:T27)+SUMPRODUCT('Electricity Data'!D48:D68,Developer!T7:T27)+SUMPRODUCT('Electricity Data'!D72:D74,Developer!T4:T6)+SUMPRODUCT('Electricity Data'!D78:D80,Developer!T4:T6)+SUMPRODUCT('Electricity Data'!D84:D86,Developer!T4:T6)+SUMPRODUCT('Electricity Data'!D90:D92,Developer!T4:T6)+SUMPRODUCT('Electricity Data'!D96:D98,Developer!T4:T6)+SUMPRODUCT('Electricity Data'!D102:D104,Developer!T4:T6)</f>
        <v>0</v>
      </c>
      <c r="E30" s="95" t="s">
        <v>125</v>
      </c>
      <c r="F30" s="9"/>
    </row>
    <row r="31" spans="2:6" ht="15" hidden="1" customHeight="1" x14ac:dyDescent="0.35">
      <c r="B31" s="8"/>
      <c r="C31" s="101" t="s">
        <v>127</v>
      </c>
      <c r="D31" s="94">
        <f>SUM(D29:D30)</f>
        <v>0</v>
      </c>
      <c r="E31" s="95" t="s">
        <v>125</v>
      </c>
      <c r="F31" s="9"/>
    </row>
    <row r="32" spans="2:6" ht="15" hidden="1" customHeight="1" x14ac:dyDescent="0.35">
      <c r="B32" s="8"/>
      <c r="C32" s="101" t="s">
        <v>128</v>
      </c>
      <c r="D32" s="94">
        <f>D31</f>
        <v>0</v>
      </c>
      <c r="E32" s="95" t="s">
        <v>125</v>
      </c>
      <c r="F32" s="9"/>
    </row>
    <row r="33" spans="2:6" ht="15" hidden="1" customHeight="1" x14ac:dyDescent="0.25">
      <c r="B33" s="8"/>
      <c r="C33" s="86"/>
      <c r="D33" s="86"/>
      <c r="E33" s="86"/>
      <c r="F33" s="9"/>
    </row>
    <row r="34" spans="2:6" ht="15" hidden="1" customHeight="1" x14ac:dyDescent="0.25">
      <c r="B34" s="8"/>
      <c r="C34" s="86" t="str">
        <f>CONCATENATE("Baseline year 2",IF(I.Product.P1Year1="","",CONCATENATE(": ",I.Product.P1Year1+1)))</f>
        <v>Baseline year 2</v>
      </c>
      <c r="D34" s="86"/>
      <c r="E34" s="86"/>
      <c r="F34" s="9"/>
    </row>
    <row r="35" spans="2:6" ht="15" hidden="1" customHeight="1" x14ac:dyDescent="0.25">
      <c r="B35" s="8"/>
      <c r="C35" s="96" t="s">
        <v>89</v>
      </c>
      <c r="D35" s="93" t="s">
        <v>79</v>
      </c>
      <c r="E35" s="90" t="s">
        <v>17</v>
      </c>
      <c r="F35" s="9"/>
    </row>
    <row r="36" spans="2:6" ht="15" hidden="1" customHeight="1" x14ac:dyDescent="0.35">
      <c r="B36" s="8"/>
      <c r="C36" s="101" t="s">
        <v>149</v>
      </c>
      <c r="D36" s="94">
        <f>I.Production.P1Y2Quantity</f>
        <v>0</v>
      </c>
      <c r="E36" s="88" t="str">
        <f>IF(I.Production.P1Units="","",I.Production.P1Units)</f>
        <v/>
      </c>
      <c r="F36" s="9"/>
    </row>
    <row r="37" spans="2:6" ht="15" hidden="1" customHeight="1" x14ac:dyDescent="0.35">
      <c r="B37" s="8"/>
      <c r="C37" s="101" t="s">
        <v>150</v>
      </c>
      <c r="D37" s="94">
        <f>SUMPRODUCT('Production Data'!E16:E18,Developer!T4:T6)+SUMPRODUCT('Production Data'!E22:E45,Developer!T4:T27)+SUMPRODUCT('Production Data'!E49:E69,Developer!T7:T27)+SUMPRODUCT('Production Data'!E73:E75,Developer!T4:T6)+SUMPRODUCT('Production Data'!E79:E81,Developer!T4:T6)+SUMPRODUCT('Production Data'!E85:E87,Developer!T4:T6)+SUMPRODUCT('Production Data'!E91:E93,Developer!T4:T6)+SUMPRODUCT('Production Data'!E97:E99,Developer!T4:T6)+SUMPRODUCT('Production Data'!E103:E105,Developer!T4:T6)</f>
        <v>0</v>
      </c>
      <c r="E37" s="95" t="s">
        <v>125</v>
      </c>
      <c r="F37" s="9"/>
    </row>
    <row r="38" spans="2:6" ht="15" hidden="1" customHeight="1" x14ac:dyDescent="0.35">
      <c r="B38" s="8"/>
      <c r="C38" s="101" t="s">
        <v>151</v>
      </c>
      <c r="D38" s="94">
        <f>SUMPRODUCT('Electricity Data'!E15:E17,Developer!T4:T6)+SUMPRODUCT('Electricity Data'!E21:E44,Developer!T4:T27)+SUMPRODUCT('Electricity Data'!E48:E68,Developer!T7:T27)+SUMPRODUCT('Electricity Data'!E72:E74,Developer!T4:T6)+SUMPRODUCT('Electricity Data'!E78:E80,Developer!T4:T6)+SUMPRODUCT('Electricity Data'!E84:E86,Developer!T4:T6)+SUMPRODUCT('Electricity Data'!E90:E92,Developer!T4:T6)+SUMPRODUCT('Electricity Data'!E96:E98,Developer!T4:T6)+SUMPRODUCT('Electricity Data'!E102:E104,Developer!T4:T6)</f>
        <v>0</v>
      </c>
      <c r="E38" s="95" t="s">
        <v>125</v>
      </c>
      <c r="F38" s="9"/>
    </row>
    <row r="39" spans="2:6" ht="15" hidden="1" customHeight="1" x14ac:dyDescent="0.35">
      <c r="B39" s="8"/>
      <c r="C39" s="101" t="s">
        <v>152</v>
      </c>
      <c r="D39" s="94">
        <f>SUM(D37:D38)</f>
        <v>0</v>
      </c>
      <c r="E39" s="95" t="s">
        <v>125</v>
      </c>
      <c r="F39" s="9"/>
    </row>
    <row r="40" spans="2:6" ht="15" hidden="1" customHeight="1" x14ac:dyDescent="0.35">
      <c r="B40" s="8"/>
      <c r="C40" s="101" t="s">
        <v>153</v>
      </c>
      <c r="D40" s="94">
        <f>D39</f>
        <v>0</v>
      </c>
      <c r="E40" s="95" t="s">
        <v>125</v>
      </c>
      <c r="F40" s="9"/>
    </row>
    <row r="41" spans="2:6" ht="15" hidden="1" customHeight="1" x14ac:dyDescent="0.25">
      <c r="B41" s="8"/>
      <c r="C41" s="86"/>
      <c r="D41" s="86"/>
      <c r="E41" s="86"/>
      <c r="F41" s="9"/>
    </row>
    <row r="42" spans="2:6" ht="15" hidden="1" customHeight="1" x14ac:dyDescent="0.25">
      <c r="B42" s="8"/>
      <c r="C42" s="86" t="str">
        <f>CONCATENATE("Baseline year 3",IF(I.Product.P1Year1="","",CONCATENATE(": ",I.Product.P1Year1+2)))</f>
        <v>Baseline year 3</v>
      </c>
      <c r="D42" s="86"/>
      <c r="E42" s="86"/>
      <c r="F42" s="9"/>
    </row>
    <row r="43" spans="2:6" ht="15" hidden="1" customHeight="1" x14ac:dyDescent="0.25">
      <c r="B43" s="8"/>
      <c r="C43" s="96" t="s">
        <v>89</v>
      </c>
      <c r="D43" s="93" t="s">
        <v>79</v>
      </c>
      <c r="E43" s="90" t="s">
        <v>17</v>
      </c>
      <c r="F43" s="9"/>
    </row>
    <row r="44" spans="2:6" ht="15" hidden="1" customHeight="1" x14ac:dyDescent="0.35">
      <c r="B44" s="8"/>
      <c r="C44" s="101" t="s">
        <v>174</v>
      </c>
      <c r="D44" s="94">
        <f>I.Production.P1Y3Quantity</f>
        <v>0</v>
      </c>
      <c r="E44" s="88" t="str">
        <f>IF(I.Production.P1Units="","",I.Production.P1Units)</f>
        <v/>
      </c>
      <c r="F44" s="9"/>
    </row>
    <row r="45" spans="2:6" ht="15" hidden="1" customHeight="1" x14ac:dyDescent="0.35">
      <c r="B45" s="8"/>
      <c r="C45" s="101" t="s">
        <v>175</v>
      </c>
      <c r="D45" s="94">
        <f>SUMPRODUCT('Production Data'!F16:F18,Developer!T4:T6)+SUMPRODUCT('Production Data'!F22:F45,Developer!T4:T27)+SUMPRODUCT('Production Data'!F49:F69,Developer!T7:T27)+SUMPRODUCT('Production Data'!F73:F75,Developer!T4:T6)+SUMPRODUCT('Production Data'!F79:F81,Developer!T4:T6)+SUMPRODUCT('Production Data'!F85:F87,Developer!T4:T6)+SUMPRODUCT('Production Data'!F91:F93,Developer!T4:T6)+SUMPRODUCT('Production Data'!F97:F99,Developer!T4:T6)+SUMPRODUCT('Production Data'!F103:F105,Developer!T4:T6)</f>
        <v>0</v>
      </c>
      <c r="E45" s="95" t="s">
        <v>125</v>
      </c>
      <c r="F45" s="9"/>
    </row>
    <row r="46" spans="2:6" ht="15" hidden="1" customHeight="1" x14ac:dyDescent="0.35">
      <c r="B46" s="8"/>
      <c r="C46" s="101" t="s">
        <v>176</v>
      </c>
      <c r="D46" s="94">
        <f>SUMPRODUCT('Electricity Data'!F15:F17,Developer!T4:T6)+SUMPRODUCT('Electricity Data'!F21:F44,Developer!T4:T27)+SUMPRODUCT('Electricity Data'!F48:F68,Developer!T7:T27)+SUMPRODUCT('Electricity Data'!F72:F74,Developer!T4:T6)+SUMPRODUCT('Electricity Data'!F78:F80,Developer!T4:T6)+SUMPRODUCT('Electricity Data'!F84:F86,Developer!T4:T6)+SUMPRODUCT('Electricity Data'!F90:F92,Developer!T4:T6)+SUMPRODUCT('Electricity Data'!F96:F98,Developer!T4:T6)+SUMPRODUCT('Electricity Data'!F102:F104,Developer!T4:T6)</f>
        <v>0</v>
      </c>
      <c r="E46" s="95" t="s">
        <v>125</v>
      </c>
      <c r="F46" s="9"/>
    </row>
    <row r="47" spans="2:6" ht="15" hidden="1" customHeight="1" x14ac:dyDescent="0.35">
      <c r="B47" s="8"/>
      <c r="C47" s="101" t="s">
        <v>177</v>
      </c>
      <c r="D47" s="94">
        <f>SUM(D45:D46)</f>
        <v>0</v>
      </c>
      <c r="E47" s="95" t="s">
        <v>125</v>
      </c>
      <c r="F47" s="9"/>
    </row>
    <row r="48" spans="2:6" ht="15" hidden="1" customHeight="1" x14ac:dyDescent="0.35">
      <c r="B48" s="8"/>
      <c r="C48" s="101" t="s">
        <v>178</v>
      </c>
      <c r="D48" s="94">
        <f>D47</f>
        <v>0</v>
      </c>
      <c r="E48" s="95" t="s">
        <v>125</v>
      </c>
      <c r="F48" s="9"/>
    </row>
    <row r="49" spans="2:6" ht="15" hidden="1" customHeight="1" x14ac:dyDescent="0.25">
      <c r="B49" s="8"/>
      <c r="C49" s="86"/>
      <c r="D49" s="86"/>
      <c r="E49" s="86"/>
      <c r="F49" s="9"/>
    </row>
    <row r="50" spans="2:6" ht="15" customHeight="1" x14ac:dyDescent="0.25">
      <c r="B50" s="8"/>
      <c r="C50" s="86" t="s">
        <v>90</v>
      </c>
      <c r="D50" s="86"/>
      <c r="E50" s="86"/>
      <c r="F50" s="9"/>
    </row>
    <row r="51" spans="2:6" ht="15" customHeight="1" x14ac:dyDescent="0.25">
      <c r="B51" s="8"/>
      <c r="C51" s="96" t="s">
        <v>89</v>
      </c>
      <c r="D51" s="93" t="s">
        <v>79</v>
      </c>
      <c r="E51" s="90" t="s">
        <v>17</v>
      </c>
      <c r="F51" s="9"/>
    </row>
    <row r="52" spans="2:6" ht="15" customHeight="1" x14ac:dyDescent="0.35">
      <c r="B52" s="8"/>
      <c r="C52" s="101" t="s">
        <v>243</v>
      </c>
      <c r="D52" s="94">
        <f>IF(I.Product.P1Status="Yes",(D32+D40)/2,IF(I.Product.P1Status="No",(D32+D40+D48)/3,0))</f>
        <v>0</v>
      </c>
      <c r="E52" s="95" t="s">
        <v>125</v>
      </c>
      <c r="F52" s="9"/>
    </row>
    <row r="53" spans="2:6" ht="15" customHeight="1" x14ac:dyDescent="0.35">
      <c r="B53" s="8"/>
      <c r="C53" s="101" t="s">
        <v>244</v>
      </c>
      <c r="D53" s="94">
        <f>IF(I.Product.P1Status="Yes",(D28+D36)/2,IF(I.Product.P1Status="No",(D28+D36+D44)/3,0))</f>
        <v>0</v>
      </c>
      <c r="E53" s="88" t="str">
        <f>IF(I.Production.P1Units="","",I.Production.P1Units)</f>
        <v/>
      </c>
      <c r="F53" s="9"/>
    </row>
    <row r="54" spans="2:6" ht="15" customHeight="1" x14ac:dyDescent="0.35">
      <c r="B54" s="8"/>
      <c r="C54" s="101" t="s">
        <v>245</v>
      </c>
      <c r="D54" s="94">
        <f>IFERROR(D52/D53,0)</f>
        <v>0</v>
      </c>
      <c r="E54" s="95" t="s">
        <v>2979</v>
      </c>
      <c r="F54" s="9"/>
    </row>
    <row r="55" spans="2:6" ht="15" customHeight="1" x14ac:dyDescent="0.25">
      <c r="B55" s="8"/>
      <c r="C55" s="86"/>
      <c r="D55" s="86"/>
      <c r="E55" s="86"/>
      <c r="F55" s="9"/>
    </row>
    <row r="56" spans="2:6" ht="20.100000000000001" hidden="1" customHeight="1" x14ac:dyDescent="0.25">
      <c r="B56" s="18"/>
      <c r="C56" s="104" t="s">
        <v>10</v>
      </c>
      <c r="D56" s="104"/>
      <c r="E56" s="104"/>
      <c r="F56" s="19"/>
    </row>
    <row r="57" spans="2:6" ht="15" hidden="1" customHeight="1" x14ac:dyDescent="0.25">
      <c r="B57" s="8"/>
      <c r="C57" s="86"/>
      <c r="D57" s="86"/>
      <c r="E57" s="86"/>
      <c r="F57" s="9"/>
    </row>
    <row r="58" spans="2:6" ht="15" hidden="1" customHeight="1" x14ac:dyDescent="0.25">
      <c r="B58" s="8"/>
      <c r="C58" s="86" t="s">
        <v>19</v>
      </c>
      <c r="D58" s="86"/>
      <c r="E58" s="86"/>
      <c r="F58" s="9"/>
    </row>
    <row r="59" spans="2:6" ht="15" hidden="1" customHeight="1" x14ac:dyDescent="0.25">
      <c r="B59" s="8"/>
      <c r="C59" s="88" t="str">
        <f>IF(I.Product.P2Name="","",I.Product.P2Name)</f>
        <v/>
      </c>
      <c r="D59" s="86"/>
      <c r="E59" s="86"/>
      <c r="F59" s="9"/>
    </row>
    <row r="60" spans="2:6" ht="15" hidden="1" customHeight="1" x14ac:dyDescent="0.25">
      <c r="B60" s="8"/>
      <c r="C60" s="86"/>
      <c r="D60" s="86"/>
      <c r="E60" s="86"/>
      <c r="F60" s="9"/>
    </row>
    <row r="61" spans="2:6" ht="15" hidden="1" customHeight="1" x14ac:dyDescent="0.25">
      <c r="B61" s="8"/>
      <c r="C61" s="86" t="str">
        <f>CONCATENATE("Baseline year 1",IF(I.Product.P2Year1="","",CONCATENATE(": ",I.Product.P2Year1)))</f>
        <v>Baseline year 1</v>
      </c>
      <c r="D61" s="86"/>
      <c r="E61" s="86"/>
      <c r="F61" s="9"/>
    </row>
    <row r="62" spans="2:6" ht="15" hidden="1" customHeight="1" x14ac:dyDescent="0.25">
      <c r="B62" s="8"/>
      <c r="C62" s="96" t="s">
        <v>89</v>
      </c>
      <c r="D62" s="93" t="s">
        <v>79</v>
      </c>
      <c r="E62" s="90" t="s">
        <v>17</v>
      </c>
      <c r="F62" s="9"/>
    </row>
    <row r="63" spans="2:6" ht="15" hidden="1" customHeight="1" x14ac:dyDescent="0.35">
      <c r="B63" s="8"/>
      <c r="C63" s="101" t="s">
        <v>129</v>
      </c>
      <c r="D63" s="94">
        <f>I.Production.P2Y1Quantity</f>
        <v>0</v>
      </c>
      <c r="E63" s="88" t="str">
        <f>IF(I.Production.P2Units="","",I.Production.P2Units)</f>
        <v/>
      </c>
      <c r="F63" s="9"/>
    </row>
    <row r="64" spans="2:6" ht="15" hidden="1" customHeight="1" x14ac:dyDescent="0.35">
      <c r="B64" s="8"/>
      <c r="C64" s="101" t="s">
        <v>130</v>
      </c>
      <c r="D64" s="94">
        <f>SUMPRODUCT('Production Data'!D118:D120,Developer!T4:T6)+SUMPRODUCT('Production Data'!D124:D147,Developer!T4:T27)+SUMPRODUCT('Production Data'!D151:D171,Developer!T7:T27)+SUMPRODUCT('Production Data'!D175:D177,Developer!T4:T6)+SUMPRODUCT('Production Data'!D181:D183,Developer!T4:T6)+SUMPRODUCT('Production Data'!D187:D189,Developer!T4:T6)+SUMPRODUCT('Production Data'!D193:D195,Developer!T4:T6)+SUMPRODUCT('Production Data'!D199:D201,Developer!T4:T6)+SUMPRODUCT('Production Data'!D205:D207,Developer!T4:T6)</f>
        <v>0</v>
      </c>
      <c r="E64" s="95" t="s">
        <v>125</v>
      </c>
      <c r="F64" s="9"/>
    </row>
    <row r="65" spans="2:6" ht="15" hidden="1" customHeight="1" x14ac:dyDescent="0.35">
      <c r="B65" s="8"/>
      <c r="C65" s="101" t="s">
        <v>131</v>
      </c>
      <c r="D65" s="94">
        <f>SUMPRODUCT('Electricity Data'!D113:D115,Developer!T4:T6)+SUMPRODUCT('Electricity Data'!D119:D142,Developer!T4:T27)+SUMPRODUCT('Electricity Data'!D146:D166,Developer!T7:T27)+SUMPRODUCT('Electricity Data'!D170:D172,Developer!T4:T6)+SUMPRODUCT('Electricity Data'!D176:D178,Developer!T4:T6)+SUMPRODUCT('Electricity Data'!D182:D184,Developer!T4:T6)+SUMPRODUCT('Electricity Data'!D188:D190,Developer!T4:T6)+SUMPRODUCT('Electricity Data'!D194:D196,Developer!T4:T6)+SUMPRODUCT('Electricity Data'!D200:D202,Developer!T4:T6)</f>
        <v>0</v>
      </c>
      <c r="E65" s="95" t="s">
        <v>125</v>
      </c>
      <c r="F65" s="9"/>
    </row>
    <row r="66" spans="2:6" ht="15" hidden="1" customHeight="1" x14ac:dyDescent="0.35">
      <c r="B66" s="8"/>
      <c r="C66" s="101" t="s">
        <v>132</v>
      </c>
      <c r="D66" s="94">
        <f>SUM(D64:D65)</f>
        <v>0</v>
      </c>
      <c r="E66" s="95" t="s">
        <v>125</v>
      </c>
      <c r="F66" s="9"/>
    </row>
    <row r="67" spans="2:6" ht="15" hidden="1" customHeight="1" x14ac:dyDescent="0.35">
      <c r="B67" s="8"/>
      <c r="C67" s="101" t="s">
        <v>133</v>
      </c>
      <c r="D67" s="94">
        <f>D66</f>
        <v>0</v>
      </c>
      <c r="E67" s="95" t="s">
        <v>125</v>
      </c>
      <c r="F67" s="9"/>
    </row>
    <row r="68" spans="2:6" ht="15" hidden="1" customHeight="1" x14ac:dyDescent="0.25">
      <c r="B68" s="8"/>
      <c r="C68" s="86"/>
      <c r="D68" s="86"/>
      <c r="E68" s="86"/>
      <c r="F68" s="9"/>
    </row>
    <row r="69" spans="2:6" ht="15" hidden="1" customHeight="1" x14ac:dyDescent="0.25">
      <c r="B69" s="8"/>
      <c r="C69" s="86" t="str">
        <f>CONCATENATE("Baseline year 2",IF(I.Product.P2Year1="","",CONCATENATE(": ",I.Product.P2Year1+1)))</f>
        <v>Baseline year 2</v>
      </c>
      <c r="D69" s="86"/>
      <c r="E69" s="86"/>
      <c r="F69" s="9"/>
    </row>
    <row r="70" spans="2:6" ht="15" hidden="1" customHeight="1" x14ac:dyDescent="0.25">
      <c r="B70" s="8"/>
      <c r="C70" s="96" t="s">
        <v>89</v>
      </c>
      <c r="D70" s="93" t="s">
        <v>79</v>
      </c>
      <c r="E70" s="90" t="s">
        <v>17</v>
      </c>
      <c r="F70" s="9"/>
    </row>
    <row r="71" spans="2:6" ht="15" hidden="1" customHeight="1" x14ac:dyDescent="0.35">
      <c r="B71" s="8"/>
      <c r="C71" s="101" t="s">
        <v>154</v>
      </c>
      <c r="D71" s="94">
        <f>I.Production.P2Y2Quantity</f>
        <v>0</v>
      </c>
      <c r="E71" s="88" t="str">
        <f>IF(I.Production.P2Units="","",I.Production.P2Units)</f>
        <v/>
      </c>
      <c r="F71" s="9"/>
    </row>
    <row r="72" spans="2:6" ht="15" hidden="1" customHeight="1" x14ac:dyDescent="0.35">
      <c r="B72" s="8"/>
      <c r="C72" s="101" t="s">
        <v>155</v>
      </c>
      <c r="D72" s="94">
        <f>SUMPRODUCT('Production Data'!E118:E120,Developer!T4:T6)+SUMPRODUCT('Production Data'!E124:E147,Developer!T4:T27)+SUMPRODUCT('Production Data'!E151:E171,Developer!T7:T27)+SUMPRODUCT('Production Data'!E175:E177,Developer!T4:T6)+SUMPRODUCT('Production Data'!E181:E183,Developer!T4:T6)+SUMPRODUCT('Production Data'!E187:E189,Developer!T4:T6)+SUMPRODUCT('Production Data'!E193:E195,Developer!T4:T6)+SUMPRODUCT('Production Data'!E199:E201,Developer!T4:T6)+SUMPRODUCT('Production Data'!E205:E207,Developer!T4:T6)</f>
        <v>0</v>
      </c>
      <c r="E72" s="95" t="s">
        <v>125</v>
      </c>
      <c r="F72" s="9"/>
    </row>
    <row r="73" spans="2:6" ht="15" hidden="1" customHeight="1" x14ac:dyDescent="0.35">
      <c r="B73" s="8"/>
      <c r="C73" s="101" t="s">
        <v>156</v>
      </c>
      <c r="D73" s="94">
        <f>SUMPRODUCT('Electricity Data'!E113:E115,Developer!T4:T6)+SUMPRODUCT('Electricity Data'!E119:E142,Developer!T4:T27)+SUMPRODUCT('Electricity Data'!E146:E166,Developer!T7:T27)+SUMPRODUCT('Electricity Data'!E170:E172,Developer!T4:T6)+SUMPRODUCT('Electricity Data'!E176:E178,Developer!T4:T6)+SUMPRODUCT('Electricity Data'!E182:E184,Developer!T4:T6)+SUMPRODUCT('Electricity Data'!E188:E190,Developer!T4:T6)+SUMPRODUCT('Electricity Data'!E194:E196,Developer!T4:T6)+SUMPRODUCT('Electricity Data'!E200:E202,Developer!T4:T6)</f>
        <v>0</v>
      </c>
      <c r="E73" s="95" t="s">
        <v>125</v>
      </c>
      <c r="F73" s="9"/>
    </row>
    <row r="74" spans="2:6" ht="15" hidden="1" customHeight="1" x14ac:dyDescent="0.35">
      <c r="B74" s="8"/>
      <c r="C74" s="101" t="s">
        <v>157</v>
      </c>
      <c r="D74" s="94">
        <f>SUM(D72:D73)</f>
        <v>0</v>
      </c>
      <c r="E74" s="95" t="s">
        <v>125</v>
      </c>
      <c r="F74" s="9"/>
    </row>
    <row r="75" spans="2:6" ht="15" hidden="1" customHeight="1" x14ac:dyDescent="0.35">
      <c r="B75" s="8"/>
      <c r="C75" s="101" t="s">
        <v>158</v>
      </c>
      <c r="D75" s="94">
        <f>D74</f>
        <v>0</v>
      </c>
      <c r="E75" s="95" t="s">
        <v>125</v>
      </c>
      <c r="F75" s="9"/>
    </row>
    <row r="76" spans="2:6" ht="15" hidden="1" customHeight="1" x14ac:dyDescent="0.25">
      <c r="B76" s="8"/>
      <c r="C76" s="86"/>
      <c r="D76" s="86"/>
      <c r="E76" s="86"/>
      <c r="F76" s="9"/>
    </row>
    <row r="77" spans="2:6" ht="15" hidden="1" customHeight="1" x14ac:dyDescent="0.25">
      <c r="B77" s="8"/>
      <c r="C77" s="86" t="str">
        <f>CONCATENATE("Baseline year 3",IF(I.Product.P2Year1="","",CONCATENATE(": ",I.Product.P2Year1+2)))</f>
        <v>Baseline year 3</v>
      </c>
      <c r="D77" s="86"/>
      <c r="E77" s="86"/>
      <c r="F77" s="9"/>
    </row>
    <row r="78" spans="2:6" ht="15" hidden="1" customHeight="1" x14ac:dyDescent="0.25">
      <c r="B78" s="8"/>
      <c r="C78" s="96" t="s">
        <v>89</v>
      </c>
      <c r="D78" s="93" t="s">
        <v>79</v>
      </c>
      <c r="E78" s="90" t="s">
        <v>17</v>
      </c>
      <c r="F78" s="9"/>
    </row>
    <row r="79" spans="2:6" ht="15" hidden="1" customHeight="1" x14ac:dyDescent="0.35">
      <c r="B79" s="8"/>
      <c r="C79" s="101" t="s">
        <v>179</v>
      </c>
      <c r="D79" s="94">
        <f>I.Production.P2Y3Quantity</f>
        <v>0</v>
      </c>
      <c r="E79" s="88" t="str">
        <f>IF(I.Production.P2Units="","",I.Production.P2Units)</f>
        <v/>
      </c>
      <c r="F79" s="9"/>
    </row>
    <row r="80" spans="2:6" ht="15" hidden="1" customHeight="1" x14ac:dyDescent="0.35">
      <c r="B80" s="8"/>
      <c r="C80" s="101" t="s">
        <v>180</v>
      </c>
      <c r="D80" s="94">
        <f>SUMPRODUCT('Production Data'!F118:F120,Developer!T4:T6)+SUMPRODUCT('Production Data'!F124:F147,Developer!T4:T27)+SUMPRODUCT('Production Data'!F151:F171,Developer!T7:T27)+SUMPRODUCT('Production Data'!F175:F177,Developer!T4:T6)+SUMPRODUCT('Production Data'!F181:F183,Developer!T4:T6)+SUMPRODUCT('Production Data'!F187:F189,Developer!T4:T6)+SUMPRODUCT('Production Data'!F193:F195,Developer!T4:T6)+SUMPRODUCT('Production Data'!F199:F201,Developer!T4:T6)+SUMPRODUCT('Production Data'!F205:F207,Developer!T4:T6)</f>
        <v>0</v>
      </c>
      <c r="E80" s="95" t="s">
        <v>125</v>
      </c>
      <c r="F80" s="9"/>
    </row>
    <row r="81" spans="2:6" ht="15" hidden="1" customHeight="1" x14ac:dyDescent="0.35">
      <c r="B81" s="8"/>
      <c r="C81" s="101" t="s">
        <v>181</v>
      </c>
      <c r="D81" s="94">
        <f>SUMPRODUCT('Electricity Data'!F113:F115,Developer!T4:T6)+SUMPRODUCT('Electricity Data'!F119:F142,Developer!T4:T27)+SUMPRODUCT('Electricity Data'!F146:F166,Developer!T7:T27)+SUMPRODUCT('Electricity Data'!F170:F172,Developer!T4:T6)+SUMPRODUCT('Electricity Data'!F176:F178,Developer!T4:T6)+SUMPRODUCT('Electricity Data'!F182:F184,Developer!T4:T6)+SUMPRODUCT('Electricity Data'!F188:F190,Developer!T4:T6)+SUMPRODUCT('Electricity Data'!F194:F196,Developer!T4:T6)+SUMPRODUCT('Electricity Data'!F200:F202,Developer!T4:T6)</f>
        <v>0</v>
      </c>
      <c r="E81" s="95" t="s">
        <v>125</v>
      </c>
      <c r="F81" s="9"/>
    </row>
    <row r="82" spans="2:6" ht="15" hidden="1" customHeight="1" x14ac:dyDescent="0.35">
      <c r="B82" s="8"/>
      <c r="C82" s="101" t="s">
        <v>182</v>
      </c>
      <c r="D82" s="94">
        <f>SUM(D80:D81)</f>
        <v>0</v>
      </c>
      <c r="E82" s="95" t="s">
        <v>125</v>
      </c>
      <c r="F82" s="9"/>
    </row>
    <row r="83" spans="2:6" ht="15" hidden="1" customHeight="1" x14ac:dyDescent="0.35">
      <c r="B83" s="8"/>
      <c r="C83" s="101" t="s">
        <v>183</v>
      </c>
      <c r="D83" s="94">
        <f>D82</f>
        <v>0</v>
      </c>
      <c r="E83" s="95" t="s">
        <v>125</v>
      </c>
      <c r="F83" s="9"/>
    </row>
    <row r="84" spans="2:6" ht="15" hidden="1" customHeight="1" x14ac:dyDescent="0.25">
      <c r="B84" s="8"/>
      <c r="C84" s="86"/>
      <c r="D84" s="86"/>
      <c r="E84" s="86"/>
      <c r="F84" s="9"/>
    </row>
    <row r="85" spans="2:6" ht="15" hidden="1" customHeight="1" x14ac:dyDescent="0.25">
      <c r="B85" s="8"/>
      <c r="C85" s="86" t="s">
        <v>90</v>
      </c>
      <c r="D85" s="86"/>
      <c r="E85" s="86"/>
      <c r="F85" s="9"/>
    </row>
    <row r="86" spans="2:6" ht="15" hidden="1" customHeight="1" x14ac:dyDescent="0.25">
      <c r="B86" s="8"/>
      <c r="C86" s="96" t="s">
        <v>89</v>
      </c>
      <c r="D86" s="93" t="s">
        <v>79</v>
      </c>
      <c r="E86" s="90" t="s">
        <v>17</v>
      </c>
      <c r="F86" s="9"/>
    </row>
    <row r="87" spans="2:6" ht="15" hidden="1" customHeight="1" x14ac:dyDescent="0.35">
      <c r="B87" s="8"/>
      <c r="C87" s="101" t="s">
        <v>246</v>
      </c>
      <c r="D87" s="94">
        <f>IF(I.Product.P2Status="Yes",(D67+D75)/2,IF(I.Product.P2Status="No",(D67+D75+D83)/3,0))</f>
        <v>0</v>
      </c>
      <c r="E87" s="95" t="s">
        <v>125</v>
      </c>
      <c r="F87" s="9"/>
    </row>
    <row r="88" spans="2:6" ht="15" hidden="1" customHeight="1" x14ac:dyDescent="0.35">
      <c r="B88" s="8"/>
      <c r="C88" s="101" t="s">
        <v>247</v>
      </c>
      <c r="D88" s="94">
        <f>IF(I.Product.P2Status="Yes",(D63+D71)/2,IF(I.Product.P2Status="No",(D63+D71+D79)/3,0))</f>
        <v>0</v>
      </c>
      <c r="E88" s="88" t="str">
        <f>IF(I.Production.P2Units="","",I.Production.P2Units)</f>
        <v/>
      </c>
      <c r="F88" s="9"/>
    </row>
    <row r="89" spans="2:6" ht="15" hidden="1" customHeight="1" x14ac:dyDescent="0.35">
      <c r="B89" s="8"/>
      <c r="C89" s="101" t="s">
        <v>248</v>
      </c>
      <c r="D89" s="94">
        <f>IFERROR(D87/D88,0)</f>
        <v>0</v>
      </c>
      <c r="E89" s="95" t="s">
        <v>2979</v>
      </c>
      <c r="F89" s="9"/>
    </row>
    <row r="90" spans="2:6" ht="15" hidden="1" customHeight="1" x14ac:dyDescent="0.25">
      <c r="B90" s="8"/>
      <c r="C90" s="86"/>
      <c r="D90" s="86"/>
      <c r="E90" s="86"/>
      <c r="F90" s="9"/>
    </row>
    <row r="91" spans="2:6" ht="20.100000000000001" hidden="1" customHeight="1" x14ac:dyDescent="0.25">
      <c r="B91" s="18"/>
      <c r="C91" s="104" t="s">
        <v>11</v>
      </c>
      <c r="D91" s="104"/>
      <c r="E91" s="104"/>
      <c r="F91" s="19"/>
    </row>
    <row r="92" spans="2:6" ht="15" hidden="1" customHeight="1" x14ac:dyDescent="0.25">
      <c r="B92" s="8"/>
      <c r="C92" s="86"/>
      <c r="D92" s="86"/>
      <c r="E92" s="86"/>
      <c r="F92" s="9"/>
    </row>
    <row r="93" spans="2:6" ht="15" hidden="1" customHeight="1" x14ac:dyDescent="0.25">
      <c r="B93" s="8"/>
      <c r="C93" s="86" t="s">
        <v>19</v>
      </c>
      <c r="D93" s="86"/>
      <c r="E93" s="86"/>
      <c r="F93" s="9"/>
    </row>
    <row r="94" spans="2:6" ht="15" hidden="1" customHeight="1" x14ac:dyDescent="0.25">
      <c r="B94" s="8"/>
      <c r="C94" s="88" t="str">
        <f>IF(I.Product.P3Name="","",I.Product.P3Name)</f>
        <v/>
      </c>
      <c r="D94" s="86"/>
      <c r="E94" s="86"/>
      <c r="F94" s="9"/>
    </row>
    <row r="95" spans="2:6" ht="15" hidden="1" customHeight="1" x14ac:dyDescent="0.25">
      <c r="B95" s="8"/>
      <c r="C95" s="86"/>
      <c r="D95" s="86"/>
      <c r="E95" s="86"/>
      <c r="F95" s="9"/>
    </row>
    <row r="96" spans="2:6" ht="15" hidden="1" customHeight="1" x14ac:dyDescent="0.25">
      <c r="B96" s="8"/>
      <c r="C96" s="86" t="str">
        <f>CONCATENATE("Baseline year 1",IF(I.Product.P3Year1="","",CONCATENATE(": ",I.Product.P3Year1)))</f>
        <v>Baseline year 1</v>
      </c>
      <c r="D96" s="86"/>
      <c r="E96" s="86"/>
      <c r="F96" s="9"/>
    </row>
    <row r="97" spans="2:6" ht="15" hidden="1" customHeight="1" x14ac:dyDescent="0.25">
      <c r="B97" s="8"/>
      <c r="C97" s="96" t="s">
        <v>89</v>
      </c>
      <c r="D97" s="93" t="s">
        <v>79</v>
      </c>
      <c r="E97" s="90" t="s">
        <v>17</v>
      </c>
      <c r="F97" s="9"/>
    </row>
    <row r="98" spans="2:6" ht="15" hidden="1" customHeight="1" x14ac:dyDescent="0.35">
      <c r="B98" s="8"/>
      <c r="C98" s="101" t="s">
        <v>134</v>
      </c>
      <c r="D98" s="94">
        <f>I.Production.P3Y1Quantity</f>
        <v>0</v>
      </c>
      <c r="E98" s="88" t="str">
        <f>IF(I.Production.P3Units="","",I.Production.P3Units)</f>
        <v/>
      </c>
      <c r="F98" s="9"/>
    </row>
    <row r="99" spans="2:6" ht="15" hidden="1" customHeight="1" x14ac:dyDescent="0.35">
      <c r="B99" s="8"/>
      <c r="C99" s="101" t="s">
        <v>135</v>
      </c>
      <c r="D99" s="94">
        <f>SUMPRODUCT('Production Data'!D220:D222,Developer!T4:T6)+SUMPRODUCT('Production Data'!D226:D249,Developer!T4:T27)+SUMPRODUCT('Production Data'!D253:D273,Developer!T7:T27)+SUMPRODUCT('Production Data'!D277:D279,Developer!T4:T6)+SUMPRODUCT('Production Data'!D283:D285,Developer!T4:T6)+SUMPRODUCT('Production Data'!D289:D291,Developer!T4:T6)+SUMPRODUCT('Production Data'!D295:D297,Developer!T4:T6)+SUMPRODUCT('Production Data'!D301:D303,Developer!T4:T6)+SUMPRODUCT('Production Data'!D307:D309,Developer!T4:T6)</f>
        <v>0</v>
      </c>
      <c r="E99" s="95" t="s">
        <v>125</v>
      </c>
      <c r="F99" s="9"/>
    </row>
    <row r="100" spans="2:6" ht="15" hidden="1" customHeight="1" x14ac:dyDescent="0.35">
      <c r="B100" s="8"/>
      <c r="C100" s="101" t="s">
        <v>136</v>
      </c>
      <c r="D100" s="94">
        <f>SUMPRODUCT('Electricity Data'!D211:D213,Developer!T4:T6)+SUMPRODUCT('Electricity Data'!D217:D240,Developer!T4:T27)+SUMPRODUCT('Electricity Data'!D244:D264,Developer!T7:T27)+SUMPRODUCT('Electricity Data'!D268:D270,Developer!T4:T6)+SUMPRODUCT('Electricity Data'!D274:D276,Developer!T4:T6)+SUMPRODUCT('Electricity Data'!D280:D282,Developer!T4:T6)+SUMPRODUCT('Electricity Data'!D286:D288,Developer!T4:T6)+SUMPRODUCT('Electricity Data'!D292:D294,Developer!T4:T6)+SUMPRODUCT('Electricity Data'!D298:D300,Developer!T4:T6)</f>
        <v>0</v>
      </c>
      <c r="E100" s="95" t="s">
        <v>125</v>
      </c>
      <c r="F100" s="9"/>
    </row>
    <row r="101" spans="2:6" ht="15" hidden="1" customHeight="1" x14ac:dyDescent="0.35">
      <c r="B101" s="8"/>
      <c r="C101" s="101" t="s">
        <v>137</v>
      </c>
      <c r="D101" s="94">
        <f>SUM(D99:D100)</f>
        <v>0</v>
      </c>
      <c r="E101" s="95" t="s">
        <v>125</v>
      </c>
      <c r="F101" s="9"/>
    </row>
    <row r="102" spans="2:6" ht="15" hidden="1" customHeight="1" x14ac:dyDescent="0.35">
      <c r="B102" s="8"/>
      <c r="C102" s="101" t="s">
        <v>138</v>
      </c>
      <c r="D102" s="94">
        <f>D101</f>
        <v>0</v>
      </c>
      <c r="E102" s="95" t="s">
        <v>125</v>
      </c>
      <c r="F102" s="9"/>
    </row>
    <row r="103" spans="2:6" ht="15" hidden="1" customHeight="1" x14ac:dyDescent="0.25">
      <c r="B103" s="8"/>
      <c r="C103" s="86"/>
      <c r="D103" s="86"/>
      <c r="E103" s="86"/>
      <c r="F103" s="9"/>
    </row>
    <row r="104" spans="2:6" ht="15" hidden="1" customHeight="1" x14ac:dyDescent="0.25">
      <c r="B104" s="8"/>
      <c r="C104" s="86" t="str">
        <f>CONCATENATE("Baseline year 2",IF(I.Product.P3Year1="","",CONCATENATE(": ",I.Product.P3Year1+1)))</f>
        <v>Baseline year 2</v>
      </c>
      <c r="D104" s="86"/>
      <c r="E104" s="86"/>
      <c r="F104" s="9"/>
    </row>
    <row r="105" spans="2:6" ht="15" hidden="1" customHeight="1" x14ac:dyDescent="0.25">
      <c r="B105" s="8"/>
      <c r="C105" s="96" t="s">
        <v>89</v>
      </c>
      <c r="D105" s="93" t="s">
        <v>79</v>
      </c>
      <c r="E105" s="90" t="s">
        <v>17</v>
      </c>
      <c r="F105" s="9"/>
    </row>
    <row r="106" spans="2:6" ht="15" hidden="1" customHeight="1" x14ac:dyDescent="0.35">
      <c r="B106" s="8"/>
      <c r="C106" s="101" t="s">
        <v>159</v>
      </c>
      <c r="D106" s="94">
        <f>I.Production.P3Y2Quantity</f>
        <v>0</v>
      </c>
      <c r="E106" s="88" t="str">
        <f>IF(I.Production.P3Units="","",I.Production.P3Units)</f>
        <v/>
      </c>
      <c r="F106" s="9"/>
    </row>
    <row r="107" spans="2:6" ht="15" hidden="1" customHeight="1" x14ac:dyDescent="0.35">
      <c r="B107" s="8"/>
      <c r="C107" s="101" t="s">
        <v>160</v>
      </c>
      <c r="D107" s="94">
        <f>SUMPRODUCT('Production Data'!E220:E222,Developer!T4:T6)+SUMPRODUCT('Production Data'!E226:E249,Developer!T4:T27)+SUMPRODUCT('Production Data'!E253:E273,Developer!T7:T27)+SUMPRODUCT('Production Data'!E277:E279,Developer!T4:T6)+SUMPRODUCT('Production Data'!E283:E285,Developer!T4:T6)+SUMPRODUCT('Production Data'!E289:E291,Developer!T4:T6)+SUMPRODUCT('Production Data'!E295:E297,Developer!T4:T6)+SUMPRODUCT('Production Data'!E301:E303,Developer!T4:T6)+SUMPRODUCT('Production Data'!E307:E309,Developer!T4:T6)</f>
        <v>0</v>
      </c>
      <c r="E107" s="95" t="s">
        <v>125</v>
      </c>
      <c r="F107" s="9"/>
    </row>
    <row r="108" spans="2:6" ht="15" hidden="1" customHeight="1" x14ac:dyDescent="0.35">
      <c r="B108" s="8"/>
      <c r="C108" s="101" t="s">
        <v>161</v>
      </c>
      <c r="D108" s="94">
        <f>SUMPRODUCT('Electricity Data'!E211:E213,Developer!T4:T6)+SUMPRODUCT('Electricity Data'!E217:E240,Developer!T4:T27)+SUMPRODUCT('Electricity Data'!E244:E264,Developer!T7:T27)+SUMPRODUCT('Electricity Data'!E268:E270,Developer!T4:T6)+SUMPRODUCT('Electricity Data'!E274:E276,Developer!T4:T6)+SUMPRODUCT('Electricity Data'!E280:E282,Developer!T4:T6)+SUMPRODUCT('Electricity Data'!E286:E288,Developer!T4:T6)+SUMPRODUCT('Electricity Data'!E292:E294,Developer!T4:T6)+SUMPRODUCT('Electricity Data'!E298:E300,Developer!T4:T6)</f>
        <v>0</v>
      </c>
      <c r="E108" s="95" t="s">
        <v>125</v>
      </c>
      <c r="F108" s="9"/>
    </row>
    <row r="109" spans="2:6" ht="15" hidden="1" customHeight="1" x14ac:dyDescent="0.35">
      <c r="B109" s="8"/>
      <c r="C109" s="101" t="s">
        <v>162</v>
      </c>
      <c r="D109" s="94">
        <f>SUM(D107:D108)</f>
        <v>0</v>
      </c>
      <c r="E109" s="95" t="s">
        <v>125</v>
      </c>
      <c r="F109" s="9"/>
    </row>
    <row r="110" spans="2:6" ht="15" hidden="1" customHeight="1" x14ac:dyDescent="0.35">
      <c r="B110" s="8"/>
      <c r="C110" s="101" t="s">
        <v>163</v>
      </c>
      <c r="D110" s="94">
        <f>D109</f>
        <v>0</v>
      </c>
      <c r="E110" s="95" t="s">
        <v>125</v>
      </c>
      <c r="F110" s="9"/>
    </row>
    <row r="111" spans="2:6" ht="15" hidden="1" customHeight="1" x14ac:dyDescent="0.25">
      <c r="B111" s="8"/>
      <c r="C111" s="86"/>
      <c r="D111" s="86"/>
      <c r="E111" s="86"/>
      <c r="F111" s="9"/>
    </row>
    <row r="112" spans="2:6" ht="15" hidden="1" customHeight="1" x14ac:dyDescent="0.25">
      <c r="B112" s="8"/>
      <c r="C112" s="86" t="str">
        <f>CONCATENATE("Baseline year 3",IF(I.Product.P3Year1="","",CONCATENATE(": ",I.Product.P3Year1+2)))</f>
        <v>Baseline year 3</v>
      </c>
      <c r="D112" s="86"/>
      <c r="E112" s="86"/>
      <c r="F112" s="9"/>
    </row>
    <row r="113" spans="2:6" ht="15" hidden="1" customHeight="1" x14ac:dyDescent="0.25">
      <c r="B113" s="8"/>
      <c r="C113" s="96" t="s">
        <v>89</v>
      </c>
      <c r="D113" s="93" t="s">
        <v>79</v>
      </c>
      <c r="E113" s="90" t="s">
        <v>17</v>
      </c>
      <c r="F113" s="9"/>
    </row>
    <row r="114" spans="2:6" ht="15" hidden="1" customHeight="1" x14ac:dyDescent="0.35">
      <c r="B114" s="8"/>
      <c r="C114" s="101" t="s">
        <v>184</v>
      </c>
      <c r="D114" s="94">
        <f>I.Production.P3Y3Quantity</f>
        <v>0</v>
      </c>
      <c r="E114" s="88" t="str">
        <f>IF(I.Production.P3Units="","",I.Production.P3Units)</f>
        <v/>
      </c>
      <c r="F114" s="9"/>
    </row>
    <row r="115" spans="2:6" ht="15" hidden="1" customHeight="1" x14ac:dyDescent="0.35">
      <c r="B115" s="8"/>
      <c r="C115" s="101" t="s">
        <v>185</v>
      </c>
      <c r="D115" s="94">
        <f>SUMPRODUCT('Production Data'!F220:F222,Developer!T4:T6)+SUMPRODUCT('Production Data'!F226:F249,Developer!T4:T27)+SUMPRODUCT('Production Data'!F253:F273,Developer!T7:T27)+SUMPRODUCT('Production Data'!F277:F279,Developer!T4:T6)+SUMPRODUCT('Production Data'!F283:F285,Developer!T4:T6)+SUMPRODUCT('Production Data'!F289:F291,Developer!T4:T6)+SUMPRODUCT('Production Data'!F295:F297,Developer!T4:T6)+SUMPRODUCT('Production Data'!F301:F303,Developer!T4:T6)+SUMPRODUCT('Production Data'!F307:F309,Developer!T4:T6)</f>
        <v>0</v>
      </c>
      <c r="E115" s="95" t="s">
        <v>125</v>
      </c>
      <c r="F115" s="9"/>
    </row>
    <row r="116" spans="2:6" ht="15" hidden="1" customHeight="1" x14ac:dyDescent="0.35">
      <c r="B116" s="8"/>
      <c r="C116" s="101" t="s">
        <v>186</v>
      </c>
      <c r="D116" s="94">
        <f>SUMPRODUCT('Electricity Data'!F211:F213,Developer!T4:T6)+SUMPRODUCT('Electricity Data'!F217:F240,Developer!T4:T27)+SUMPRODUCT('Electricity Data'!F244:F264,Developer!T7:T27)+SUMPRODUCT('Electricity Data'!F268:F270,Developer!T4:T6)+SUMPRODUCT('Electricity Data'!F274:F276,Developer!T4:T6)+SUMPRODUCT('Electricity Data'!F280:F282,Developer!T4:T6)+SUMPRODUCT('Electricity Data'!F286:F288,Developer!T4:T6)+SUMPRODUCT('Electricity Data'!F292:F294,Developer!T4:T6)+SUMPRODUCT('Electricity Data'!F298:F300,Developer!T4:T6)</f>
        <v>0</v>
      </c>
      <c r="E116" s="95" t="s">
        <v>125</v>
      </c>
      <c r="F116" s="9"/>
    </row>
    <row r="117" spans="2:6" ht="15" hidden="1" customHeight="1" x14ac:dyDescent="0.35">
      <c r="B117" s="8"/>
      <c r="C117" s="101" t="s">
        <v>187</v>
      </c>
      <c r="D117" s="94">
        <f>SUM(D115:D116)</f>
        <v>0</v>
      </c>
      <c r="E117" s="95" t="s">
        <v>125</v>
      </c>
      <c r="F117" s="9"/>
    </row>
    <row r="118" spans="2:6" ht="15" hidden="1" customHeight="1" x14ac:dyDescent="0.35">
      <c r="B118" s="8"/>
      <c r="C118" s="101" t="s">
        <v>188</v>
      </c>
      <c r="D118" s="94">
        <f>D117</f>
        <v>0</v>
      </c>
      <c r="E118" s="95" t="s">
        <v>125</v>
      </c>
      <c r="F118" s="9"/>
    </row>
    <row r="119" spans="2:6" ht="15" hidden="1" customHeight="1" x14ac:dyDescent="0.25">
      <c r="B119" s="8"/>
      <c r="C119" s="86"/>
      <c r="D119" s="86"/>
      <c r="E119" s="86"/>
      <c r="F119" s="9"/>
    </row>
    <row r="120" spans="2:6" ht="15" hidden="1" customHeight="1" x14ac:dyDescent="0.25">
      <c r="B120" s="8"/>
      <c r="C120" s="86" t="s">
        <v>90</v>
      </c>
      <c r="D120" s="86"/>
      <c r="E120" s="86"/>
      <c r="F120" s="9"/>
    </row>
    <row r="121" spans="2:6" ht="15" hidden="1" customHeight="1" x14ac:dyDescent="0.25">
      <c r="B121" s="8"/>
      <c r="C121" s="96" t="s">
        <v>89</v>
      </c>
      <c r="D121" s="93" t="s">
        <v>79</v>
      </c>
      <c r="E121" s="90" t="s">
        <v>17</v>
      </c>
      <c r="F121" s="9"/>
    </row>
    <row r="122" spans="2:6" ht="15" hidden="1" customHeight="1" x14ac:dyDescent="0.35">
      <c r="B122" s="8"/>
      <c r="C122" s="101" t="s">
        <v>249</v>
      </c>
      <c r="D122" s="94">
        <f>IF(I.Product.P3Status="Yes",(D102+D110)/2,IF(I.Product.P3Status="No",(D102+D110+D118)/3,0))</f>
        <v>0</v>
      </c>
      <c r="E122" s="95" t="s">
        <v>125</v>
      </c>
      <c r="F122" s="9"/>
    </row>
    <row r="123" spans="2:6" ht="15" hidden="1" customHeight="1" x14ac:dyDescent="0.35">
      <c r="B123" s="8"/>
      <c r="C123" s="101" t="s">
        <v>250</v>
      </c>
      <c r="D123" s="94">
        <f>IF(I.Product.P3Status="Yes",(D98+D106)/2,IF(I.Product.P3Status="No",(D98+D106+D114)/3,0))</f>
        <v>0</v>
      </c>
      <c r="E123" s="88" t="str">
        <f>IF(I.Production.P3Units="","",I.Production.P3Units)</f>
        <v/>
      </c>
      <c r="F123" s="9"/>
    </row>
    <row r="124" spans="2:6" ht="15" hidden="1" customHeight="1" x14ac:dyDescent="0.35">
      <c r="B124" s="8"/>
      <c r="C124" s="101" t="s">
        <v>251</v>
      </c>
      <c r="D124" s="94">
        <f>IFERROR(D122/D123,0)</f>
        <v>0</v>
      </c>
      <c r="E124" s="95" t="s">
        <v>2979</v>
      </c>
      <c r="F124" s="9"/>
    </row>
    <row r="125" spans="2:6" ht="15" hidden="1" customHeight="1" x14ac:dyDescent="0.25">
      <c r="B125" s="8"/>
      <c r="C125" s="86"/>
      <c r="D125" s="86"/>
      <c r="E125" s="86"/>
      <c r="F125" s="9"/>
    </row>
    <row r="126" spans="2:6" ht="20.100000000000001" hidden="1" customHeight="1" x14ac:dyDescent="0.25">
      <c r="B126" s="18"/>
      <c r="C126" s="104" t="s">
        <v>12</v>
      </c>
      <c r="D126" s="104"/>
      <c r="E126" s="104"/>
      <c r="F126" s="19"/>
    </row>
    <row r="127" spans="2:6" ht="15" hidden="1" customHeight="1" x14ac:dyDescent="0.25">
      <c r="B127" s="8"/>
      <c r="C127" s="86"/>
      <c r="D127" s="86"/>
      <c r="E127" s="86"/>
      <c r="F127" s="9"/>
    </row>
    <row r="128" spans="2:6" ht="15" hidden="1" customHeight="1" x14ac:dyDescent="0.25">
      <c r="B128" s="8"/>
      <c r="C128" s="86" t="s">
        <v>19</v>
      </c>
      <c r="D128" s="86"/>
      <c r="E128" s="86"/>
      <c r="F128" s="9"/>
    </row>
    <row r="129" spans="2:6" ht="15" hidden="1" customHeight="1" x14ac:dyDescent="0.25">
      <c r="B129" s="8"/>
      <c r="C129" s="88" t="str">
        <f>IF(I.Product.P4Name="","",I.Product.P4Name)</f>
        <v/>
      </c>
      <c r="D129" s="86"/>
      <c r="E129" s="86"/>
      <c r="F129" s="9"/>
    </row>
    <row r="130" spans="2:6" ht="15" hidden="1" customHeight="1" x14ac:dyDescent="0.25">
      <c r="B130" s="8"/>
      <c r="C130" s="86"/>
      <c r="D130" s="86"/>
      <c r="E130" s="86"/>
      <c r="F130" s="9"/>
    </row>
    <row r="131" spans="2:6" ht="15" hidden="1" customHeight="1" x14ac:dyDescent="0.25">
      <c r="B131" s="8"/>
      <c r="C131" s="86" t="str">
        <f>CONCATENATE("Baseline year 1",IF(I.Product.P4Year1="","",CONCATENATE(": ",I.Product.P4Year1)))</f>
        <v>Baseline year 1</v>
      </c>
      <c r="D131" s="86"/>
      <c r="E131" s="86"/>
      <c r="F131" s="9"/>
    </row>
    <row r="132" spans="2:6" ht="15" hidden="1" customHeight="1" x14ac:dyDescent="0.25">
      <c r="B132" s="8"/>
      <c r="C132" s="96" t="s">
        <v>89</v>
      </c>
      <c r="D132" s="93" t="s">
        <v>79</v>
      </c>
      <c r="E132" s="90" t="s">
        <v>17</v>
      </c>
      <c r="F132" s="9"/>
    </row>
    <row r="133" spans="2:6" ht="15" hidden="1" customHeight="1" x14ac:dyDescent="0.35">
      <c r="B133" s="8"/>
      <c r="C133" s="101" t="s">
        <v>139</v>
      </c>
      <c r="D133" s="94">
        <f>I.Production.P4Y1Quantity</f>
        <v>0</v>
      </c>
      <c r="E133" s="88" t="str">
        <f>IF(I.Production.P4Units="","",I.Production.P4Units)</f>
        <v/>
      </c>
      <c r="F133" s="9"/>
    </row>
    <row r="134" spans="2:6" ht="15" hidden="1" customHeight="1" x14ac:dyDescent="0.35">
      <c r="B134" s="8"/>
      <c r="C134" s="101" t="s">
        <v>140</v>
      </c>
      <c r="D134" s="94">
        <f>SUMPRODUCT('Production Data'!D322:D324,Developer!T4:T6)+SUMPRODUCT('Production Data'!D328:D351,Developer!T4:T27)+SUMPRODUCT('Production Data'!D355:D375,Developer!T7:T27)+SUMPRODUCT('Production Data'!D379:D381,Developer!T4:T6)+SUMPRODUCT('Production Data'!D385:D387,Developer!T4:T6)+SUMPRODUCT('Production Data'!D391:D393,Developer!T4:T6)+SUMPRODUCT('Production Data'!D397:D399,Developer!T4:T6)+SUMPRODUCT('Production Data'!D403:D405,Developer!T4:T6)+SUMPRODUCT('Production Data'!D409:D411,Developer!T4:T6)</f>
        <v>0</v>
      </c>
      <c r="E134" s="95" t="s">
        <v>125</v>
      </c>
      <c r="F134" s="9"/>
    </row>
    <row r="135" spans="2:6" ht="15" hidden="1" customHeight="1" x14ac:dyDescent="0.35">
      <c r="B135" s="8"/>
      <c r="C135" s="101" t="s">
        <v>141</v>
      </c>
      <c r="D135" s="94">
        <f>SUMPRODUCT('Electricity Data'!D309:D311,Developer!T4:T6)+SUMPRODUCT('Electricity Data'!D315:D338,Developer!T4:T27)+SUMPRODUCT('Electricity Data'!D342:D362,Developer!T7:T27)+SUMPRODUCT('Electricity Data'!D366:D368,Developer!T4:T6)+SUMPRODUCT('Electricity Data'!D372:D374,Developer!T4:T6)+SUMPRODUCT('Electricity Data'!D378:D380,Developer!T4:T6)+SUMPRODUCT('Electricity Data'!D384:D386,Developer!T4:T6)+SUMPRODUCT('Electricity Data'!D390:D392,Developer!T4:T6)+SUMPRODUCT('Electricity Data'!D396:D398,Developer!T4:T6)</f>
        <v>0</v>
      </c>
      <c r="E135" s="95" t="s">
        <v>125</v>
      </c>
      <c r="F135" s="9"/>
    </row>
    <row r="136" spans="2:6" ht="15" hidden="1" customHeight="1" x14ac:dyDescent="0.35">
      <c r="B136" s="8"/>
      <c r="C136" s="101" t="s">
        <v>142</v>
      </c>
      <c r="D136" s="94">
        <f>SUM(D134:D135)</f>
        <v>0</v>
      </c>
      <c r="E136" s="95" t="s">
        <v>125</v>
      </c>
      <c r="F136" s="9"/>
    </row>
    <row r="137" spans="2:6" ht="15" hidden="1" customHeight="1" x14ac:dyDescent="0.35">
      <c r="B137" s="8"/>
      <c r="C137" s="101" t="s">
        <v>143</v>
      </c>
      <c r="D137" s="94">
        <f>D136</f>
        <v>0</v>
      </c>
      <c r="E137" s="95" t="s">
        <v>125</v>
      </c>
      <c r="F137" s="9"/>
    </row>
    <row r="138" spans="2:6" ht="15" hidden="1" customHeight="1" x14ac:dyDescent="0.25">
      <c r="B138" s="8"/>
      <c r="C138" s="86"/>
      <c r="D138" s="86"/>
      <c r="E138" s="86"/>
      <c r="F138" s="9"/>
    </row>
    <row r="139" spans="2:6" ht="15" hidden="1" customHeight="1" x14ac:dyDescent="0.25">
      <c r="B139" s="8"/>
      <c r="C139" s="86" t="str">
        <f>CONCATENATE("Baseline year 2",IF(I.Product.P4Year1="","",CONCATENATE(": ",I.Product.P4Year1+1)))</f>
        <v>Baseline year 2</v>
      </c>
      <c r="D139" s="86"/>
      <c r="E139" s="86"/>
      <c r="F139" s="9"/>
    </row>
    <row r="140" spans="2:6" ht="15" hidden="1" customHeight="1" x14ac:dyDescent="0.25">
      <c r="B140" s="8"/>
      <c r="C140" s="96" t="s">
        <v>89</v>
      </c>
      <c r="D140" s="93" t="s">
        <v>79</v>
      </c>
      <c r="E140" s="90" t="s">
        <v>17</v>
      </c>
      <c r="F140" s="9"/>
    </row>
    <row r="141" spans="2:6" ht="15" hidden="1" customHeight="1" x14ac:dyDescent="0.35">
      <c r="B141" s="8"/>
      <c r="C141" s="101" t="s">
        <v>164</v>
      </c>
      <c r="D141" s="94">
        <f>I.Production.P4Y2Quantity</f>
        <v>0</v>
      </c>
      <c r="E141" s="88" t="str">
        <f>IF(I.Production.P4Units="","",I.Production.P4Units)</f>
        <v/>
      </c>
      <c r="F141" s="9"/>
    </row>
    <row r="142" spans="2:6" ht="15" hidden="1" customHeight="1" x14ac:dyDescent="0.35">
      <c r="B142" s="8"/>
      <c r="C142" s="101" t="s">
        <v>165</v>
      </c>
      <c r="D142" s="94">
        <f>SUMPRODUCT('Production Data'!E322:E324,Developer!T4:T6)+SUMPRODUCT('Production Data'!E328:E351,Developer!T4:T27)+SUMPRODUCT('Production Data'!E355:E375,Developer!T7:T27)+SUMPRODUCT('Production Data'!E379:E381,Developer!T4:T6)+SUMPRODUCT('Production Data'!E385:E387,Developer!T4:T6)+SUMPRODUCT('Production Data'!E391:E393,Developer!T4:T6)+SUMPRODUCT('Production Data'!E397:E399,Developer!T4:T6)+SUMPRODUCT('Production Data'!E403:E405,Developer!T4:T6)+SUMPRODUCT('Production Data'!E409:E411,Developer!T4:T6)</f>
        <v>0</v>
      </c>
      <c r="E142" s="95" t="s">
        <v>125</v>
      </c>
      <c r="F142" s="9"/>
    </row>
    <row r="143" spans="2:6" ht="15" hidden="1" customHeight="1" x14ac:dyDescent="0.35">
      <c r="B143" s="8"/>
      <c r="C143" s="101" t="s">
        <v>166</v>
      </c>
      <c r="D143" s="94">
        <f>SUMPRODUCT('Electricity Data'!E309:E311,Developer!T4:T6)+SUMPRODUCT('Electricity Data'!E315:E338,Developer!T4:T27)+SUMPRODUCT('Electricity Data'!E342:E362,Developer!T7:T27)+SUMPRODUCT('Electricity Data'!E366:E368,Developer!T4:T6)+SUMPRODUCT('Electricity Data'!E372:E374,Developer!T4:T6)+SUMPRODUCT('Electricity Data'!E378:E380,Developer!T4:T6)+SUMPRODUCT('Electricity Data'!E384:E386,Developer!T4:T6)+SUMPRODUCT('Electricity Data'!E390:E392,Developer!T4:T6)+SUMPRODUCT('Electricity Data'!E396:E398,Developer!T4:T6)</f>
        <v>0</v>
      </c>
      <c r="E143" s="95" t="s">
        <v>125</v>
      </c>
      <c r="F143" s="9"/>
    </row>
    <row r="144" spans="2:6" ht="15" hidden="1" customHeight="1" x14ac:dyDescent="0.35">
      <c r="B144" s="8"/>
      <c r="C144" s="101" t="s">
        <v>167</v>
      </c>
      <c r="D144" s="94">
        <f>SUM(D142:D143)</f>
        <v>0</v>
      </c>
      <c r="E144" s="95" t="s">
        <v>125</v>
      </c>
      <c r="F144" s="9"/>
    </row>
    <row r="145" spans="2:6" ht="15" hidden="1" customHeight="1" x14ac:dyDescent="0.35">
      <c r="B145" s="8"/>
      <c r="C145" s="101" t="s">
        <v>168</v>
      </c>
      <c r="D145" s="94">
        <f>D144</f>
        <v>0</v>
      </c>
      <c r="E145" s="95" t="s">
        <v>125</v>
      </c>
      <c r="F145" s="9"/>
    </row>
    <row r="146" spans="2:6" ht="15" hidden="1" customHeight="1" x14ac:dyDescent="0.25">
      <c r="B146" s="8"/>
      <c r="C146" s="86"/>
      <c r="D146" s="86"/>
      <c r="E146" s="86"/>
      <c r="F146" s="9"/>
    </row>
    <row r="147" spans="2:6" ht="15" hidden="1" customHeight="1" x14ac:dyDescent="0.25">
      <c r="B147" s="8"/>
      <c r="C147" s="86" t="str">
        <f>CONCATENATE("Baseline year 3",IF(I.Product.P4Year1="","",CONCATENATE(": ",I.Product.P4Year1+2)))</f>
        <v>Baseline year 3</v>
      </c>
      <c r="D147" s="86"/>
      <c r="E147" s="86"/>
      <c r="F147" s="9"/>
    </row>
    <row r="148" spans="2:6" ht="15" hidden="1" customHeight="1" x14ac:dyDescent="0.25">
      <c r="B148" s="8"/>
      <c r="C148" s="96" t="s">
        <v>89</v>
      </c>
      <c r="D148" s="93" t="s">
        <v>79</v>
      </c>
      <c r="E148" s="90" t="s">
        <v>17</v>
      </c>
      <c r="F148" s="9"/>
    </row>
    <row r="149" spans="2:6" ht="15" hidden="1" customHeight="1" x14ac:dyDescent="0.35">
      <c r="B149" s="8"/>
      <c r="C149" s="101" t="s">
        <v>189</v>
      </c>
      <c r="D149" s="94">
        <f>I.Production.P4Y3Quantity</f>
        <v>0</v>
      </c>
      <c r="E149" s="88" t="str">
        <f>IF(I.Production.P4Units="","",I.Production.P4Units)</f>
        <v/>
      </c>
      <c r="F149" s="9"/>
    </row>
    <row r="150" spans="2:6" ht="15" hidden="1" customHeight="1" x14ac:dyDescent="0.35">
      <c r="B150" s="8"/>
      <c r="C150" s="101" t="s">
        <v>190</v>
      </c>
      <c r="D150" s="94">
        <f>SUMPRODUCT('Production Data'!F322:F324,Developer!T4:T6)+SUMPRODUCT('Production Data'!F328:F351,Developer!T4:T27)+SUMPRODUCT('Production Data'!F355:F375,Developer!T7:T27)+SUMPRODUCT('Production Data'!F379:F381,Developer!T4:T6)+SUMPRODUCT('Production Data'!F385:F387,Developer!T4:T6)+SUMPRODUCT('Production Data'!F391:F393,Developer!T4:T6)+SUMPRODUCT('Production Data'!F397:F399,Developer!T4:T6)+SUMPRODUCT('Production Data'!F403:F405,Developer!T4:T6)+SUMPRODUCT('Production Data'!F409:F411,Developer!T4:T6)</f>
        <v>0</v>
      </c>
      <c r="E150" s="95" t="s">
        <v>125</v>
      </c>
      <c r="F150" s="9"/>
    </row>
    <row r="151" spans="2:6" ht="15" hidden="1" customHeight="1" x14ac:dyDescent="0.35">
      <c r="B151" s="8"/>
      <c r="C151" s="101" t="s">
        <v>191</v>
      </c>
      <c r="D151" s="94">
        <f>SUMPRODUCT('Electricity Data'!F309:F311,Developer!T4:T6)+SUMPRODUCT('Electricity Data'!F315:F338,Developer!T4:T27)+SUMPRODUCT('Electricity Data'!F342:F362,Developer!T7:T27)+SUMPRODUCT('Electricity Data'!F366:F368,Developer!T4:T6)+SUMPRODUCT('Electricity Data'!F372:F374,Developer!T4:T6)+SUMPRODUCT('Electricity Data'!F378:F380,Developer!T4:T6)+SUMPRODUCT('Electricity Data'!F384:F386,Developer!T4:T6)+SUMPRODUCT('Electricity Data'!F390:F392,Developer!T4:T6)+SUMPRODUCT('Electricity Data'!F396:F398,Developer!T4:T6)</f>
        <v>0</v>
      </c>
      <c r="E151" s="95" t="s">
        <v>125</v>
      </c>
      <c r="F151" s="9"/>
    </row>
    <row r="152" spans="2:6" ht="15" hidden="1" customHeight="1" x14ac:dyDescent="0.35">
      <c r="B152" s="8"/>
      <c r="C152" s="101" t="s">
        <v>192</v>
      </c>
      <c r="D152" s="94">
        <f>SUM(D150:D151)</f>
        <v>0</v>
      </c>
      <c r="E152" s="95" t="s">
        <v>125</v>
      </c>
      <c r="F152" s="9"/>
    </row>
    <row r="153" spans="2:6" ht="15" hidden="1" customHeight="1" x14ac:dyDescent="0.35">
      <c r="B153" s="8"/>
      <c r="C153" s="101" t="s">
        <v>193</v>
      </c>
      <c r="D153" s="94">
        <f>D152</f>
        <v>0</v>
      </c>
      <c r="E153" s="95" t="s">
        <v>125</v>
      </c>
      <c r="F153" s="9"/>
    </row>
    <row r="154" spans="2:6" ht="15" hidden="1" customHeight="1" x14ac:dyDescent="0.25">
      <c r="B154" s="8"/>
      <c r="C154" s="86"/>
      <c r="D154" s="86"/>
      <c r="E154" s="86"/>
      <c r="F154" s="9"/>
    </row>
    <row r="155" spans="2:6" ht="15" hidden="1" customHeight="1" x14ac:dyDescent="0.25">
      <c r="B155" s="8"/>
      <c r="C155" s="86" t="s">
        <v>90</v>
      </c>
      <c r="D155" s="86"/>
      <c r="E155" s="86"/>
      <c r="F155" s="9"/>
    </row>
    <row r="156" spans="2:6" ht="15" hidden="1" customHeight="1" x14ac:dyDescent="0.25">
      <c r="B156" s="8"/>
      <c r="C156" s="96" t="s">
        <v>89</v>
      </c>
      <c r="D156" s="93" t="s">
        <v>79</v>
      </c>
      <c r="E156" s="90" t="s">
        <v>17</v>
      </c>
      <c r="F156" s="9"/>
    </row>
    <row r="157" spans="2:6" ht="15" hidden="1" customHeight="1" x14ac:dyDescent="0.35">
      <c r="B157" s="8"/>
      <c r="C157" s="101" t="s">
        <v>252</v>
      </c>
      <c r="D157" s="94">
        <f>IF(I.Product.P4Status="Yes",(D137+D145)/2,IF(I.Product.P4Status="No",(D137+D145+D153)/3,0))</f>
        <v>0</v>
      </c>
      <c r="E157" s="95" t="s">
        <v>125</v>
      </c>
      <c r="F157" s="9"/>
    </row>
    <row r="158" spans="2:6" ht="15" hidden="1" customHeight="1" x14ac:dyDescent="0.35">
      <c r="B158" s="8"/>
      <c r="C158" s="101" t="s">
        <v>253</v>
      </c>
      <c r="D158" s="94">
        <f>IF(I.Product.P4Status="Yes",(D133+D141)/2,IF(I.Product.P4Status="No",(D133+D141+D149)/3,0))</f>
        <v>0</v>
      </c>
      <c r="E158" s="88" t="str">
        <f>IF(I.Production.P4Units="","",I.Production.P4Units)</f>
        <v/>
      </c>
      <c r="F158" s="9"/>
    </row>
    <row r="159" spans="2:6" ht="15" hidden="1" customHeight="1" x14ac:dyDescent="0.35">
      <c r="B159" s="8"/>
      <c r="C159" s="101" t="s">
        <v>254</v>
      </c>
      <c r="D159" s="94">
        <f>IFERROR(D157/D158,0)</f>
        <v>0</v>
      </c>
      <c r="E159" s="95" t="s">
        <v>2979</v>
      </c>
      <c r="F159" s="9"/>
    </row>
    <row r="160" spans="2:6" ht="15" hidden="1" customHeight="1" x14ac:dyDescent="0.25">
      <c r="B160" s="8"/>
      <c r="C160" s="86"/>
      <c r="D160" s="86"/>
      <c r="E160" s="86"/>
      <c r="F160" s="9"/>
    </row>
    <row r="161" spans="2:6" ht="20.100000000000001" hidden="1" customHeight="1" x14ac:dyDescent="0.25">
      <c r="B161" s="18"/>
      <c r="C161" s="104" t="s">
        <v>13</v>
      </c>
      <c r="D161" s="104"/>
      <c r="E161" s="104"/>
      <c r="F161" s="19"/>
    </row>
    <row r="162" spans="2:6" ht="15" hidden="1" customHeight="1" x14ac:dyDescent="0.25">
      <c r="B162" s="8"/>
      <c r="C162" s="86"/>
      <c r="D162" s="86"/>
      <c r="E162" s="86"/>
      <c r="F162" s="9"/>
    </row>
    <row r="163" spans="2:6" ht="15" hidden="1" customHeight="1" x14ac:dyDescent="0.25">
      <c r="B163" s="8"/>
      <c r="C163" s="86" t="s">
        <v>19</v>
      </c>
      <c r="D163" s="86"/>
      <c r="E163" s="86"/>
      <c r="F163" s="9"/>
    </row>
    <row r="164" spans="2:6" ht="15" hidden="1" customHeight="1" x14ac:dyDescent="0.25">
      <c r="B164" s="8"/>
      <c r="C164" s="88" t="str">
        <f>IF(I.Product.P5Name="","",I.Product.P5Name)</f>
        <v/>
      </c>
      <c r="D164" s="86"/>
      <c r="E164" s="86"/>
      <c r="F164" s="9"/>
    </row>
    <row r="165" spans="2:6" ht="15" hidden="1" customHeight="1" x14ac:dyDescent="0.25">
      <c r="B165" s="8"/>
      <c r="C165" s="86"/>
      <c r="D165" s="86"/>
      <c r="E165" s="86"/>
      <c r="F165" s="9"/>
    </row>
    <row r="166" spans="2:6" ht="15" hidden="1" customHeight="1" x14ac:dyDescent="0.25">
      <c r="B166" s="8"/>
      <c r="C166" s="86" t="str">
        <f>CONCATENATE("Baseline year 1",IF(I.Product.P5Year1="","",CONCATENATE(": ",I.Product.P5Year1)))</f>
        <v>Baseline year 1</v>
      </c>
      <c r="D166" s="86"/>
      <c r="E166" s="86"/>
      <c r="F166" s="9"/>
    </row>
    <row r="167" spans="2:6" ht="15" hidden="1" customHeight="1" x14ac:dyDescent="0.25">
      <c r="B167" s="8"/>
      <c r="C167" s="96" t="s">
        <v>89</v>
      </c>
      <c r="D167" s="93" t="s">
        <v>79</v>
      </c>
      <c r="E167" s="90" t="s">
        <v>17</v>
      </c>
      <c r="F167" s="9"/>
    </row>
    <row r="168" spans="2:6" ht="15" hidden="1" customHeight="1" x14ac:dyDescent="0.35">
      <c r="B168" s="8"/>
      <c r="C168" s="101" t="s">
        <v>144</v>
      </c>
      <c r="D168" s="94">
        <f>I.Production.P5Y1Quantity</f>
        <v>0</v>
      </c>
      <c r="E168" s="88" t="str">
        <f>IF(I.Production.P5Units="","",I.Production.P5Units)</f>
        <v/>
      </c>
      <c r="F168" s="9"/>
    </row>
    <row r="169" spans="2:6" ht="15" hidden="1" customHeight="1" x14ac:dyDescent="0.35">
      <c r="B169" s="8"/>
      <c r="C169" s="101" t="s">
        <v>145</v>
      </c>
      <c r="D169" s="94">
        <f>SUMPRODUCT('Production Data'!D424:D426,Developer!T4:T6)+SUMPRODUCT('Production Data'!D430:D453,Developer!T4:T27)+SUMPRODUCT('Production Data'!D457:D477,Developer!T7:T27)+SUMPRODUCT('Production Data'!D481:D483,Developer!T4:T6)+SUMPRODUCT('Production Data'!D487:D489,Developer!T4:T6)+SUMPRODUCT('Production Data'!D493:D495,Developer!T4:T6)+SUMPRODUCT('Production Data'!D499:D501,Developer!T4:T6)+SUMPRODUCT('Production Data'!D505:D507,Developer!T4:T6)+SUMPRODUCT('Production Data'!D511:D513,Developer!T4:T6)</f>
        <v>0</v>
      </c>
      <c r="E169" s="95" t="s">
        <v>125</v>
      </c>
      <c r="F169" s="9"/>
    </row>
    <row r="170" spans="2:6" ht="15" hidden="1" customHeight="1" x14ac:dyDescent="0.35">
      <c r="B170" s="8"/>
      <c r="C170" s="101" t="s">
        <v>146</v>
      </c>
      <c r="D170" s="94">
        <f>SUMPRODUCT('Electricity Data'!D407:D409,Developer!T4:T6)+SUMPRODUCT('Electricity Data'!D413:D436,Developer!T4:T27)+SUMPRODUCT('Electricity Data'!D440:D460,Developer!T7:T27)+SUMPRODUCT('Electricity Data'!D464:D466,Developer!T4:T6)+SUMPRODUCT('Electricity Data'!D470:D472,Developer!T4:T6)+SUMPRODUCT('Electricity Data'!D476:D478,Developer!T4:T6)+SUMPRODUCT('Electricity Data'!D482:D484,Developer!T4:T6)+SUMPRODUCT('Electricity Data'!D488:D490,Developer!T4:T6)+SUMPRODUCT('Electricity Data'!D494:D496,Developer!T4:T6)</f>
        <v>0</v>
      </c>
      <c r="E170" s="95" t="s">
        <v>125</v>
      </c>
      <c r="F170" s="9"/>
    </row>
    <row r="171" spans="2:6" ht="15" hidden="1" customHeight="1" x14ac:dyDescent="0.35">
      <c r="B171" s="8"/>
      <c r="C171" s="101" t="s">
        <v>147</v>
      </c>
      <c r="D171" s="94">
        <f>SUM(D169:D170)</f>
        <v>0</v>
      </c>
      <c r="E171" s="95" t="s">
        <v>125</v>
      </c>
      <c r="F171" s="9"/>
    </row>
    <row r="172" spans="2:6" ht="15" hidden="1" customHeight="1" x14ac:dyDescent="0.35">
      <c r="B172" s="8"/>
      <c r="C172" s="101" t="s">
        <v>148</v>
      </c>
      <c r="D172" s="94">
        <f>D171</f>
        <v>0</v>
      </c>
      <c r="E172" s="95" t="s">
        <v>125</v>
      </c>
      <c r="F172" s="9"/>
    </row>
    <row r="173" spans="2:6" ht="15" hidden="1" customHeight="1" x14ac:dyDescent="0.25">
      <c r="B173" s="8"/>
      <c r="C173" s="86"/>
      <c r="D173" s="86"/>
      <c r="E173" s="86"/>
      <c r="F173" s="9"/>
    </row>
    <row r="174" spans="2:6" ht="15" hidden="1" customHeight="1" x14ac:dyDescent="0.25">
      <c r="B174" s="8"/>
      <c r="C174" s="86" t="str">
        <f>CONCATENATE("Baseline year 2",IF(I.Product.P5Year1="","",CONCATENATE(": ",I.Product.P5Year1+1)))</f>
        <v>Baseline year 2</v>
      </c>
      <c r="D174" s="86"/>
      <c r="E174" s="86"/>
      <c r="F174" s="9"/>
    </row>
    <row r="175" spans="2:6" ht="15" hidden="1" customHeight="1" x14ac:dyDescent="0.25">
      <c r="B175" s="8"/>
      <c r="C175" s="96" t="s">
        <v>89</v>
      </c>
      <c r="D175" s="93" t="s">
        <v>79</v>
      </c>
      <c r="E175" s="90" t="s">
        <v>17</v>
      </c>
      <c r="F175" s="9"/>
    </row>
    <row r="176" spans="2:6" ht="15" hidden="1" customHeight="1" x14ac:dyDescent="0.35">
      <c r="B176" s="8"/>
      <c r="C176" s="101" t="s">
        <v>169</v>
      </c>
      <c r="D176" s="94">
        <f>I.Production.P5Y2Quantity</f>
        <v>0</v>
      </c>
      <c r="E176" s="88" t="str">
        <f>IF(I.Production.P5Units="","",I.Production.P5Units)</f>
        <v/>
      </c>
      <c r="F176" s="9"/>
    </row>
    <row r="177" spans="2:6" ht="15" hidden="1" customHeight="1" x14ac:dyDescent="0.35">
      <c r="B177" s="8"/>
      <c r="C177" s="101" t="s">
        <v>170</v>
      </c>
      <c r="D177" s="94">
        <f>SUMPRODUCT('Production Data'!E424:E426,Developer!T4:T6)+SUMPRODUCT('Production Data'!E430:E453,Developer!T4:T27)+SUMPRODUCT('Production Data'!E457:E477,Developer!T7:T27)+SUMPRODUCT('Production Data'!E481:E483,Developer!T4:T6)+SUMPRODUCT('Production Data'!E487:E489,Developer!T4:T6)+SUMPRODUCT('Production Data'!E493:E495,Developer!T4:T6)+SUMPRODUCT('Production Data'!E499:E501,Developer!T4:T6)+SUMPRODUCT('Production Data'!E505:E507,Developer!T4:T6)+SUMPRODUCT('Production Data'!E511:E513,Developer!T4:T6)</f>
        <v>0</v>
      </c>
      <c r="E177" s="95" t="s">
        <v>125</v>
      </c>
      <c r="F177" s="9"/>
    </row>
    <row r="178" spans="2:6" ht="15" hidden="1" customHeight="1" x14ac:dyDescent="0.35">
      <c r="B178" s="8"/>
      <c r="C178" s="101" t="s">
        <v>171</v>
      </c>
      <c r="D178" s="94">
        <f>SUMPRODUCT('Electricity Data'!E407:E409,Developer!T4:T6)+SUMPRODUCT('Electricity Data'!E413:E436,Developer!T4:T27)+SUMPRODUCT('Electricity Data'!E440:E460,Developer!T7:T27)+SUMPRODUCT('Electricity Data'!E464:E466,Developer!T4:T6)+SUMPRODUCT('Electricity Data'!E470:E472,Developer!T4:T6)+SUMPRODUCT('Electricity Data'!E476:E478,Developer!T4:T6)+SUMPRODUCT('Electricity Data'!E482:E484,Developer!T4:T6)+SUMPRODUCT('Electricity Data'!E488:E490,Developer!T4:T6)+SUMPRODUCT('Electricity Data'!E494:E496,Developer!T4:T6)</f>
        <v>0</v>
      </c>
      <c r="E178" s="95" t="s">
        <v>125</v>
      </c>
      <c r="F178" s="9"/>
    </row>
    <row r="179" spans="2:6" ht="15" hidden="1" customHeight="1" x14ac:dyDescent="0.35">
      <c r="B179" s="8"/>
      <c r="C179" s="101" t="s">
        <v>172</v>
      </c>
      <c r="D179" s="94">
        <f>SUM(D177:D178)</f>
        <v>0</v>
      </c>
      <c r="E179" s="95" t="s">
        <v>125</v>
      </c>
      <c r="F179" s="9"/>
    </row>
    <row r="180" spans="2:6" ht="15" hidden="1" customHeight="1" x14ac:dyDescent="0.35">
      <c r="B180" s="8"/>
      <c r="C180" s="101" t="s">
        <v>173</v>
      </c>
      <c r="D180" s="94">
        <f>D179</f>
        <v>0</v>
      </c>
      <c r="E180" s="95" t="s">
        <v>125</v>
      </c>
      <c r="F180" s="9"/>
    </row>
    <row r="181" spans="2:6" ht="15" hidden="1" customHeight="1" x14ac:dyDescent="0.25">
      <c r="B181" s="8"/>
      <c r="C181" s="86"/>
      <c r="D181" s="86"/>
      <c r="E181" s="86"/>
      <c r="F181" s="9"/>
    </row>
    <row r="182" spans="2:6" ht="15" hidden="1" customHeight="1" x14ac:dyDescent="0.25">
      <c r="B182" s="8"/>
      <c r="C182" s="86" t="str">
        <f>CONCATENATE("Baseline year 3",IF(I.Product.P5Year1="","",CONCATENATE(": ",I.Product.P5Year1+2)))</f>
        <v>Baseline year 3</v>
      </c>
      <c r="D182" s="86"/>
      <c r="E182" s="86"/>
      <c r="F182" s="9"/>
    </row>
    <row r="183" spans="2:6" ht="15" hidden="1" customHeight="1" x14ac:dyDescent="0.25">
      <c r="B183" s="8"/>
      <c r="C183" s="96" t="s">
        <v>89</v>
      </c>
      <c r="D183" s="93" t="s">
        <v>79</v>
      </c>
      <c r="E183" s="90" t="s">
        <v>17</v>
      </c>
      <c r="F183" s="9"/>
    </row>
    <row r="184" spans="2:6" ht="15" hidden="1" customHeight="1" x14ac:dyDescent="0.35">
      <c r="B184" s="8"/>
      <c r="C184" s="101" t="s">
        <v>194</v>
      </c>
      <c r="D184" s="94">
        <f>I.Production.P5Y3Quantity</f>
        <v>0</v>
      </c>
      <c r="E184" s="88" t="str">
        <f>IF(I.Production.P5Units="","",I.Production.P5Units)</f>
        <v/>
      </c>
      <c r="F184" s="9"/>
    </row>
    <row r="185" spans="2:6" ht="15" hidden="1" customHeight="1" x14ac:dyDescent="0.35">
      <c r="B185" s="8"/>
      <c r="C185" s="101" t="s">
        <v>195</v>
      </c>
      <c r="D185" s="94">
        <f>SUMPRODUCT('Production Data'!F424:F426,Developer!T4:T6)+SUMPRODUCT('Production Data'!F430:F453,Developer!T4:T27)+SUMPRODUCT('Production Data'!F457:F477,Developer!T7:T27)+SUMPRODUCT('Production Data'!F481:F483,Developer!T4:T6)+SUMPRODUCT('Production Data'!F487:F489,Developer!T4:T6)+SUMPRODUCT('Production Data'!F493:F495,Developer!T4:T6)+SUMPRODUCT('Production Data'!F499:F501,Developer!T4:T6)+SUMPRODUCT('Production Data'!F505:F507,Developer!T4:T6)+SUMPRODUCT('Production Data'!F511:F513,Developer!T4:T6)</f>
        <v>0</v>
      </c>
      <c r="E185" s="95" t="s">
        <v>125</v>
      </c>
      <c r="F185" s="9"/>
    </row>
    <row r="186" spans="2:6" ht="15" hidden="1" customHeight="1" x14ac:dyDescent="0.35">
      <c r="B186" s="8"/>
      <c r="C186" s="101" t="s">
        <v>196</v>
      </c>
      <c r="D186" s="94">
        <f>SUMPRODUCT('Electricity Data'!F407:F409,Developer!T4:T6)+SUMPRODUCT('Electricity Data'!F413:F436,Developer!T4:T27)+SUMPRODUCT('Electricity Data'!F440:F460,Developer!T7:T27)+SUMPRODUCT('Electricity Data'!F464:F466,Developer!T4:T6)+SUMPRODUCT('Electricity Data'!F470:F472,Developer!T4:T6)+SUMPRODUCT('Electricity Data'!F476:F478,Developer!T4:T6)+SUMPRODUCT('Electricity Data'!F482:F484,Developer!T4:T6)+SUMPRODUCT('Electricity Data'!F488:F490,Developer!T4:T6)+SUMPRODUCT('Electricity Data'!F494:F496,Developer!T4:T6)</f>
        <v>0</v>
      </c>
      <c r="E186" s="95" t="s">
        <v>125</v>
      </c>
      <c r="F186" s="9"/>
    </row>
    <row r="187" spans="2:6" ht="15" hidden="1" customHeight="1" x14ac:dyDescent="0.35">
      <c r="B187" s="8"/>
      <c r="C187" s="101" t="s">
        <v>197</v>
      </c>
      <c r="D187" s="94">
        <f>SUM(D185:D186)</f>
        <v>0</v>
      </c>
      <c r="E187" s="95" t="s">
        <v>125</v>
      </c>
      <c r="F187" s="9"/>
    </row>
    <row r="188" spans="2:6" ht="15" hidden="1" customHeight="1" x14ac:dyDescent="0.35">
      <c r="B188" s="8"/>
      <c r="C188" s="101" t="s">
        <v>198</v>
      </c>
      <c r="D188" s="94">
        <f>D187</f>
        <v>0</v>
      </c>
      <c r="E188" s="95" t="s">
        <v>125</v>
      </c>
      <c r="F188" s="9"/>
    </row>
    <row r="189" spans="2:6" ht="15" hidden="1" customHeight="1" x14ac:dyDescent="0.25">
      <c r="B189" s="8"/>
      <c r="C189" s="86"/>
      <c r="D189" s="86"/>
      <c r="E189" s="86"/>
      <c r="F189" s="9"/>
    </row>
    <row r="190" spans="2:6" ht="15" hidden="1" customHeight="1" x14ac:dyDescent="0.25">
      <c r="B190" s="8"/>
      <c r="C190" s="86" t="s">
        <v>90</v>
      </c>
      <c r="D190" s="86"/>
      <c r="E190" s="86"/>
      <c r="F190" s="9"/>
    </row>
    <row r="191" spans="2:6" ht="15" hidden="1" customHeight="1" x14ac:dyDescent="0.25">
      <c r="B191" s="8"/>
      <c r="C191" s="96" t="s">
        <v>89</v>
      </c>
      <c r="D191" s="93" t="s">
        <v>79</v>
      </c>
      <c r="E191" s="90" t="s">
        <v>17</v>
      </c>
      <c r="F191" s="9"/>
    </row>
    <row r="192" spans="2:6" ht="15" hidden="1" customHeight="1" x14ac:dyDescent="0.35">
      <c r="B192" s="8"/>
      <c r="C192" s="101" t="s">
        <v>255</v>
      </c>
      <c r="D192" s="94">
        <f>IF(I.Product.P5Status="Yes",(D172+D180)/2,IF(I.Product.P5Status="No",(D172+D180+D188)/3,0))</f>
        <v>0</v>
      </c>
      <c r="E192" s="95" t="s">
        <v>125</v>
      </c>
      <c r="F192" s="9"/>
    </row>
    <row r="193" spans="2:6" ht="15" hidden="1" customHeight="1" x14ac:dyDescent="0.35">
      <c r="B193" s="8"/>
      <c r="C193" s="101" t="s">
        <v>256</v>
      </c>
      <c r="D193" s="94">
        <f>IF(I.Product.P5Status="Yes",(D168+D176)/2,IF(I.Product.P5Status="No",(D168+D176+D184)/3,0))</f>
        <v>0</v>
      </c>
      <c r="E193" s="88" t="str">
        <f>IF(I.Production.P5Units="","",I.Production.P5Units)</f>
        <v/>
      </c>
      <c r="F193" s="9"/>
    </row>
    <row r="194" spans="2:6" ht="15" hidden="1" customHeight="1" x14ac:dyDescent="0.35">
      <c r="B194" s="8"/>
      <c r="C194" s="101" t="s">
        <v>257</v>
      </c>
      <c r="D194" s="94">
        <f>IFERROR(D192/D193,0)</f>
        <v>0</v>
      </c>
      <c r="E194" s="95" t="s">
        <v>2979</v>
      </c>
      <c r="F194" s="9"/>
    </row>
    <row r="195" spans="2:6" ht="15" hidden="1" customHeight="1" x14ac:dyDescent="0.25">
      <c r="B195" s="8"/>
      <c r="C195" s="86"/>
      <c r="D195" s="86"/>
      <c r="E195" s="86"/>
      <c r="F195" s="9"/>
    </row>
    <row r="196" spans="2:6" ht="20.100000000000001" hidden="1" customHeight="1" x14ac:dyDescent="0.25">
      <c r="B196" s="18"/>
      <c r="C196" s="104" t="s">
        <v>94</v>
      </c>
      <c r="D196" s="104"/>
      <c r="E196" s="104"/>
      <c r="F196" s="19"/>
    </row>
    <row r="197" spans="2:6" ht="15" hidden="1" customHeight="1" x14ac:dyDescent="0.25">
      <c r="B197" s="8"/>
      <c r="C197" s="86"/>
      <c r="D197" s="86"/>
      <c r="E197" s="86"/>
      <c r="F197" s="9"/>
    </row>
    <row r="198" spans="2:6" ht="15" hidden="1" customHeight="1" x14ac:dyDescent="0.25">
      <c r="B198" s="8"/>
      <c r="C198" s="86" t="str">
        <f>CONCATENATE("Baseline year 1",IF(I.Product.GasToPowerYear1="","",CONCATENATE(": ",I.Product.GasToPowerYear1)))</f>
        <v>Baseline year 1</v>
      </c>
      <c r="D198" s="86"/>
      <c r="E198" s="86"/>
      <c r="F198" s="9"/>
    </row>
    <row r="199" spans="2:6" ht="15" hidden="1" customHeight="1" x14ac:dyDescent="0.25">
      <c r="B199" s="8"/>
      <c r="C199" s="96" t="s">
        <v>89</v>
      </c>
      <c r="D199" s="93" t="s">
        <v>79</v>
      </c>
      <c r="E199" s="90" t="s">
        <v>17</v>
      </c>
      <c r="F199" s="9"/>
    </row>
    <row r="200" spans="2:6" ht="15" hidden="1" customHeight="1" x14ac:dyDescent="0.35">
      <c r="B200" s="8"/>
      <c r="C200" s="101" t="s">
        <v>241</v>
      </c>
      <c r="D200" s="94">
        <f t="array" ref="D200">SUM(IF(I.Gas.Y1TotalGasEnergy&lt;&gt;0,I.Gas.Y1ElectricityGeneration*I.Gas.Y1AssociatedGasEnergy/I.Gas.Y1TotalGasEnergy,0))</f>
        <v>0</v>
      </c>
      <c r="E200" s="88" t="s">
        <v>91</v>
      </c>
      <c r="F200" s="9"/>
    </row>
    <row r="201" spans="2:6" ht="15" hidden="1" customHeight="1" x14ac:dyDescent="0.35">
      <c r="B201" s="8"/>
      <c r="C201" s="101" t="s">
        <v>199</v>
      </c>
      <c r="D201" s="94">
        <f>SUBTOTAL(9,I.Gas.Y1C1E1)*Developer!T4+SUBTOTAL(9,I.Gas.Y1C1E2)*Developer!T5+SUBTOTAL(9,I.Gas.Y1C1E3)*Developer!T6</f>
        <v>0</v>
      </c>
      <c r="E201" s="95" t="s">
        <v>125</v>
      </c>
      <c r="F201" s="9"/>
    </row>
    <row r="202" spans="2:6" ht="15" hidden="1" customHeight="1" x14ac:dyDescent="0.35">
      <c r="B202" s="8"/>
      <c r="C202" s="101" t="s">
        <v>200</v>
      </c>
      <c r="D202" s="94">
        <f>D201</f>
        <v>0</v>
      </c>
      <c r="E202" s="95" t="s">
        <v>125</v>
      </c>
      <c r="F202" s="9"/>
    </row>
    <row r="203" spans="2:6" ht="15" hidden="1" customHeight="1" x14ac:dyDescent="0.35">
      <c r="B203" s="8"/>
      <c r="C203" s="101" t="s">
        <v>201</v>
      </c>
      <c r="D203" s="94">
        <f>D202</f>
        <v>0</v>
      </c>
      <c r="E203" s="95" t="s">
        <v>125</v>
      </c>
      <c r="F203" s="9"/>
    </row>
    <row r="204" spans="2:6" ht="15" hidden="1" customHeight="1" x14ac:dyDescent="0.25">
      <c r="B204" s="8"/>
      <c r="C204" s="86"/>
      <c r="D204" s="86"/>
      <c r="E204" s="86"/>
      <c r="F204" s="9"/>
    </row>
    <row r="205" spans="2:6" ht="15" hidden="1" customHeight="1" x14ac:dyDescent="0.25">
      <c r="B205" s="8"/>
      <c r="C205" s="86" t="str">
        <f>CONCATENATE("Baseline year 2",IF(I.Product.GasToPowerYear1="","",CONCATENATE(": ",I.Product.GasToPowerYear1+1)))</f>
        <v>Baseline year 2</v>
      </c>
      <c r="D205" s="86"/>
      <c r="E205" s="86"/>
      <c r="F205" s="9"/>
    </row>
    <row r="206" spans="2:6" ht="15" hidden="1" customHeight="1" x14ac:dyDescent="0.25">
      <c r="B206" s="8"/>
      <c r="C206" s="96" t="s">
        <v>89</v>
      </c>
      <c r="D206" s="93" t="s">
        <v>79</v>
      </c>
      <c r="E206" s="90" t="s">
        <v>17</v>
      </c>
      <c r="F206" s="9"/>
    </row>
    <row r="207" spans="2:6" ht="15" hidden="1" customHeight="1" x14ac:dyDescent="0.35">
      <c r="B207" s="8"/>
      <c r="C207" s="101" t="s">
        <v>242</v>
      </c>
      <c r="D207" s="94">
        <f t="array" ref="D207">SUM(IF(I.Gas.Y2TotalGasEnergy&lt;&gt;0,I.Gas.Y2ElectricityGeneration*I.Gas.Y2AssociatedGasEnergy/I.Gas.Y2TotalGasEnergy,0))</f>
        <v>0</v>
      </c>
      <c r="E207" s="88" t="s">
        <v>91</v>
      </c>
      <c r="F207" s="9"/>
    </row>
    <row r="208" spans="2:6" ht="15" hidden="1" customHeight="1" x14ac:dyDescent="0.35">
      <c r="B208" s="8"/>
      <c r="C208" s="101" t="s">
        <v>202</v>
      </c>
      <c r="D208" s="94">
        <f>SUBTOTAL(9,I.Gas.Y2C1E1)*Developer!T4+SUBTOTAL(9,I.Gas.Y2C1E2)*Developer!T5+SUBTOTAL(9,I.Gas.Y2C1E3)*Developer!T6</f>
        <v>0</v>
      </c>
      <c r="E208" s="95" t="s">
        <v>125</v>
      </c>
      <c r="F208" s="9"/>
    </row>
    <row r="209" spans="2:6" ht="15" hidden="1" customHeight="1" x14ac:dyDescent="0.35">
      <c r="B209" s="8"/>
      <c r="C209" s="101" t="s">
        <v>203</v>
      </c>
      <c r="D209" s="94">
        <f>D208</f>
        <v>0</v>
      </c>
      <c r="E209" s="95" t="s">
        <v>125</v>
      </c>
      <c r="F209" s="9"/>
    </row>
    <row r="210" spans="2:6" ht="15" hidden="1" customHeight="1" x14ac:dyDescent="0.35">
      <c r="B210" s="8"/>
      <c r="C210" s="101" t="s">
        <v>204</v>
      </c>
      <c r="D210" s="94">
        <f>D209</f>
        <v>0</v>
      </c>
      <c r="E210" s="95" t="s">
        <v>125</v>
      </c>
      <c r="F210" s="9"/>
    </row>
    <row r="211" spans="2:6" ht="15" hidden="1" customHeight="1" x14ac:dyDescent="0.25">
      <c r="B211" s="8"/>
      <c r="C211" s="86"/>
      <c r="D211" s="86"/>
      <c r="E211" s="86"/>
      <c r="F211" s="9"/>
    </row>
    <row r="212" spans="2:6" ht="15" hidden="1" customHeight="1" x14ac:dyDescent="0.25">
      <c r="B212" s="8"/>
      <c r="C212" s="86" t="s">
        <v>90</v>
      </c>
      <c r="D212" s="86"/>
      <c r="E212" s="86"/>
      <c r="F212" s="9"/>
    </row>
    <row r="213" spans="2:6" ht="15" hidden="1" customHeight="1" x14ac:dyDescent="0.25">
      <c r="B213" s="8"/>
      <c r="C213" s="96" t="s">
        <v>89</v>
      </c>
      <c r="D213" s="93" t="s">
        <v>79</v>
      </c>
      <c r="E213" s="90" t="s">
        <v>17</v>
      </c>
      <c r="F213" s="9"/>
    </row>
    <row r="214" spans="2:6" ht="15" hidden="1" customHeight="1" x14ac:dyDescent="0.35">
      <c r="B214" s="8"/>
      <c r="C214" s="101" t="s">
        <v>205</v>
      </c>
      <c r="D214" s="94">
        <f>IFERROR((D203+D210)/2,0)</f>
        <v>0</v>
      </c>
      <c r="E214" s="95" t="s">
        <v>125</v>
      </c>
      <c r="F214" s="9"/>
    </row>
    <row r="215" spans="2:6" ht="15" hidden="1" customHeight="1" x14ac:dyDescent="0.35">
      <c r="B215" s="8"/>
      <c r="C215" s="101" t="s">
        <v>206</v>
      </c>
      <c r="D215" s="94">
        <f>IFERROR((D200+D207)/2,0)</f>
        <v>0</v>
      </c>
      <c r="E215" s="88" t="s">
        <v>91</v>
      </c>
      <c r="F215" s="9"/>
    </row>
    <row r="216" spans="2:6" ht="15" hidden="1" customHeight="1" x14ac:dyDescent="0.35">
      <c r="B216" s="8"/>
      <c r="C216" s="101" t="s">
        <v>207</v>
      </c>
      <c r="D216" s="94">
        <f>IFERROR(D214/D215,0)</f>
        <v>0</v>
      </c>
      <c r="E216" s="95" t="s">
        <v>208</v>
      </c>
      <c r="F216" s="9"/>
    </row>
    <row r="217" spans="2:6" ht="15" hidden="1" customHeight="1" x14ac:dyDescent="0.25">
      <c r="B217" s="8"/>
      <c r="C217" s="86"/>
      <c r="D217" s="86"/>
      <c r="E217" s="86"/>
      <c r="F217" s="9"/>
    </row>
    <row r="218" spans="2:6" ht="15" customHeight="1" x14ac:dyDescent="0.25">
      <c r="B218" s="10"/>
      <c r="C218" s="20">
        <f>R.Instructions.VersionNumber</f>
        <v>3.01</v>
      </c>
      <c r="D218" s="11"/>
      <c r="E218" s="12">
        <f>R.Instructions.VersionDate</f>
        <v>45329</v>
      </c>
      <c r="F218" s="13"/>
    </row>
  </sheetData>
  <sheetProtection algorithmName="SHA-512" hashValue="SEWSmy+194aQD1l7OT88HugbhXYCoVjMBO923x+Lom3Z/vQYABf8lIMhnI6zMhfOlMjVPOzsHgiMqR+5jcSGbQ==" saltValue="pPF6xuzjz3PwwapPXfmMxg==" spinCount="100000" sheet="1" objects="1" scenarios="1" selectLockedCells="1" selectUnlockedCells="1"/>
  <mergeCells count="20">
    <mergeCell ref="C196:E196"/>
    <mergeCell ref="D15:E15"/>
    <mergeCell ref="C161:E161"/>
    <mergeCell ref="C126:E126"/>
    <mergeCell ref="C6:E7"/>
    <mergeCell ref="C4:E4"/>
    <mergeCell ref="C21:E21"/>
    <mergeCell ref="C56:E56"/>
    <mergeCell ref="C91:E91"/>
    <mergeCell ref="D9:E9"/>
    <mergeCell ref="D10:E10"/>
    <mergeCell ref="D8:E8"/>
    <mergeCell ref="D14:E14"/>
    <mergeCell ref="D16:E16"/>
    <mergeCell ref="D13:E13"/>
    <mergeCell ref="D11:E11"/>
    <mergeCell ref="D12:E12"/>
    <mergeCell ref="D19:E19"/>
    <mergeCell ref="D18:E18"/>
    <mergeCell ref="D17:E17"/>
  </mergeCells>
  <printOptions horizontalCentered="1"/>
  <pageMargins left="0.25" right="0.25" top="0.25" bottom="0.25" header="0" footer="0"/>
  <pageSetup scale="86" fitToHeight="0"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rgb="FF046A38"/>
    <pageSetUpPr fitToPage="1"/>
  </sheetPr>
  <dimension ref="B1:G35"/>
  <sheetViews>
    <sheetView showGridLines="0" showRowColHeaders="0" zoomScaleNormal="100" workbookViewId="0">
      <selection activeCell="D9" sqref="D9"/>
    </sheetView>
  </sheetViews>
  <sheetFormatPr defaultColWidth="9.14062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11" t="s">
        <v>102</v>
      </c>
      <c r="D4" s="111"/>
      <c r="E4" s="111"/>
      <c r="F4" s="111"/>
      <c r="G4" s="7"/>
    </row>
    <row r="5" spans="2:7" ht="15" customHeight="1" x14ac:dyDescent="0.25">
      <c r="B5" s="8"/>
      <c r="C5" s="86"/>
      <c r="D5" s="86"/>
      <c r="E5" s="86"/>
      <c r="F5" s="86"/>
      <c r="G5" s="9"/>
    </row>
    <row r="6" spans="2:7" ht="15" customHeight="1" x14ac:dyDescent="0.25">
      <c r="B6" s="8"/>
      <c r="C6" s="86" t="s">
        <v>16</v>
      </c>
      <c r="D6" s="86"/>
      <c r="E6" s="86"/>
      <c r="F6" s="86" t="s">
        <v>20</v>
      </c>
      <c r="G6" s="9"/>
    </row>
    <row r="7" spans="2:7" ht="15" customHeight="1" x14ac:dyDescent="0.25">
      <c r="B7" s="8"/>
      <c r="C7" s="118" t="str">
        <f>IF(I.Facility.FacilityName="","",I.Facility.FacilityName)</f>
        <v/>
      </c>
      <c r="D7" s="119"/>
      <c r="E7" s="86"/>
      <c r="F7" s="88" t="str">
        <f>IF(I.Facility.OBPSNumber="","",I.Facility.OBPSNumber)</f>
        <v/>
      </c>
      <c r="G7" s="9"/>
    </row>
    <row r="8" spans="2:7" ht="15" customHeight="1" x14ac:dyDescent="0.25">
      <c r="B8" s="8"/>
      <c r="C8" s="86"/>
      <c r="D8" s="86"/>
      <c r="E8" s="86"/>
      <c r="F8" s="86"/>
      <c r="G8" s="9"/>
    </row>
    <row r="9" spans="2:7" ht="15" customHeight="1" x14ac:dyDescent="0.25">
      <c r="B9" s="8"/>
      <c r="C9" s="86" t="s">
        <v>9</v>
      </c>
      <c r="D9" s="14"/>
      <c r="E9" s="86" t="s">
        <v>72</v>
      </c>
      <c r="F9" s="86"/>
      <c r="G9" s="9"/>
    </row>
    <row r="10" spans="2:7" ht="15" customHeight="1" x14ac:dyDescent="0.25">
      <c r="B10" s="8"/>
      <c r="C10" s="102" t="s">
        <v>234</v>
      </c>
      <c r="D10" s="102"/>
      <c r="E10" s="102"/>
      <c r="F10" s="102"/>
      <c r="G10" s="9"/>
    </row>
    <row r="11" spans="2:7" ht="15" customHeight="1" x14ac:dyDescent="0.25">
      <c r="B11" s="8"/>
      <c r="C11" s="102"/>
      <c r="D11" s="102"/>
      <c r="E11" s="102"/>
      <c r="F11" s="102"/>
      <c r="G11" s="9"/>
    </row>
    <row r="12" spans="2:7" ht="15" customHeight="1" x14ac:dyDescent="0.25">
      <c r="B12" s="8"/>
      <c r="C12" s="102"/>
      <c r="D12" s="102"/>
      <c r="E12" s="102"/>
      <c r="F12" s="102"/>
      <c r="G12" s="9"/>
    </row>
    <row r="13" spans="2:7" ht="15" customHeight="1" x14ac:dyDescent="0.25">
      <c r="B13" s="8"/>
      <c r="C13" s="102"/>
      <c r="D13" s="102"/>
      <c r="E13" s="102"/>
      <c r="F13" s="102"/>
      <c r="G13" s="9"/>
    </row>
    <row r="14" spans="2:7" ht="15" customHeight="1" x14ac:dyDescent="0.25">
      <c r="B14" s="8"/>
      <c r="C14" s="102"/>
      <c r="D14" s="102"/>
      <c r="E14" s="102"/>
      <c r="F14" s="102"/>
      <c r="G14" s="9"/>
    </row>
    <row r="15" spans="2:7" ht="15" customHeight="1" x14ac:dyDescent="0.25">
      <c r="B15" s="8"/>
      <c r="C15" s="102"/>
      <c r="D15" s="102"/>
      <c r="E15" s="102"/>
      <c r="F15" s="102"/>
      <c r="G15" s="9"/>
    </row>
    <row r="16" spans="2:7" ht="15" customHeight="1" x14ac:dyDescent="0.25">
      <c r="B16" s="8"/>
      <c r="C16" s="107" t="s">
        <v>73</v>
      </c>
      <c r="D16" s="102"/>
      <c r="E16" s="102"/>
      <c r="F16" s="102"/>
      <c r="G16" s="9"/>
    </row>
    <row r="17" spans="2:7" ht="15" customHeight="1" x14ac:dyDescent="0.25">
      <c r="B17" s="8"/>
      <c r="C17" s="102"/>
      <c r="D17" s="102"/>
      <c r="E17" s="102"/>
      <c r="F17" s="102"/>
      <c r="G17" s="9"/>
    </row>
    <row r="18" spans="2:7" ht="15" customHeight="1" x14ac:dyDescent="0.25">
      <c r="B18" s="8"/>
      <c r="C18" s="102"/>
      <c r="D18" s="102"/>
      <c r="E18" s="102"/>
      <c r="F18" s="102"/>
      <c r="G18" s="9"/>
    </row>
    <row r="19" spans="2:7" ht="15" customHeight="1" x14ac:dyDescent="0.25">
      <c r="B19" s="8"/>
      <c r="C19" s="102"/>
      <c r="D19" s="102"/>
      <c r="E19" s="102"/>
      <c r="F19" s="102"/>
      <c r="G19" s="9"/>
    </row>
    <row r="20" spans="2:7" ht="15" customHeight="1" x14ac:dyDescent="0.25">
      <c r="B20" s="8"/>
      <c r="C20" s="86"/>
      <c r="D20" s="86"/>
      <c r="E20" s="86"/>
      <c r="F20" s="86"/>
      <c r="G20" s="9"/>
    </row>
    <row r="21" spans="2:7" ht="15" customHeight="1" x14ac:dyDescent="0.25">
      <c r="B21" s="8"/>
      <c r="C21" s="86"/>
      <c r="D21" s="86"/>
      <c r="E21" s="86"/>
      <c r="F21" s="86"/>
      <c r="G21" s="9"/>
    </row>
    <row r="22" spans="2:7" ht="15" customHeight="1" x14ac:dyDescent="0.25">
      <c r="B22" s="8"/>
      <c r="C22" s="86"/>
      <c r="D22" s="86"/>
      <c r="E22" s="86"/>
      <c r="F22" s="86"/>
      <c r="G22" s="9"/>
    </row>
    <row r="23" spans="2:7" ht="15" customHeight="1" x14ac:dyDescent="0.25">
      <c r="B23" s="8"/>
      <c r="C23" s="86"/>
      <c r="D23" s="86"/>
      <c r="E23" s="86"/>
      <c r="F23" s="86"/>
      <c r="G23" s="9"/>
    </row>
    <row r="24" spans="2:7" ht="15" customHeight="1" x14ac:dyDescent="0.25">
      <c r="B24" s="8"/>
      <c r="C24" s="86"/>
      <c r="D24" s="86"/>
      <c r="E24" s="86"/>
      <c r="F24" s="86"/>
      <c r="G24" s="9"/>
    </row>
    <row r="25" spans="2:7" ht="15" customHeight="1" x14ac:dyDescent="0.25">
      <c r="B25" s="8"/>
      <c r="C25" s="86"/>
      <c r="D25" s="86"/>
      <c r="E25" s="86"/>
      <c r="F25" s="86"/>
      <c r="G25" s="9"/>
    </row>
    <row r="26" spans="2:7" ht="15" customHeight="1" x14ac:dyDescent="0.25">
      <c r="B26" s="8"/>
      <c r="C26" s="129"/>
      <c r="D26" s="129"/>
      <c r="E26" s="86"/>
      <c r="F26" s="15"/>
      <c r="G26" s="9"/>
    </row>
    <row r="27" spans="2:7" ht="15" customHeight="1" x14ac:dyDescent="0.25">
      <c r="B27" s="8"/>
      <c r="C27" s="86" t="s">
        <v>74</v>
      </c>
      <c r="D27" s="86"/>
      <c r="E27" s="86"/>
      <c r="F27" s="86" t="s">
        <v>75</v>
      </c>
      <c r="G27" s="9"/>
    </row>
    <row r="28" spans="2:7" ht="15" customHeight="1" x14ac:dyDescent="0.25">
      <c r="B28" s="8"/>
      <c r="C28" s="86"/>
      <c r="D28" s="86"/>
      <c r="E28" s="86"/>
      <c r="F28" s="86"/>
      <c r="G28" s="9"/>
    </row>
    <row r="29" spans="2:7" ht="15" customHeight="1" x14ac:dyDescent="0.25">
      <c r="B29" s="8"/>
      <c r="C29" s="108"/>
      <c r="D29" s="108"/>
      <c r="E29" s="86"/>
      <c r="F29" s="86"/>
      <c r="G29" s="9"/>
    </row>
    <row r="30" spans="2:7" ht="15" customHeight="1" x14ac:dyDescent="0.25">
      <c r="B30" s="8"/>
      <c r="C30" s="86"/>
      <c r="D30" s="86"/>
      <c r="E30" s="86"/>
      <c r="F30" s="86"/>
      <c r="G30" s="9"/>
    </row>
    <row r="31" spans="2:7" ht="15" customHeight="1" x14ac:dyDescent="0.25">
      <c r="B31" s="10"/>
      <c r="C31" s="109">
        <f>R.Instructions.VersionNumber</f>
        <v>3.01</v>
      </c>
      <c r="D31" s="109"/>
      <c r="E31" s="11"/>
      <c r="F31" s="12">
        <f>R.Instructions.VersionDate</f>
        <v>45329</v>
      </c>
      <c r="G31" s="13"/>
    </row>
    <row r="33" spans="3:6" ht="15" customHeight="1" x14ac:dyDescent="0.25">
      <c r="C33" s="110" t="str">
        <f>IFERROR(VLOOKUP("Incomplete",Developer!H3155:I3156,2,FALSE),"Sheet complete.")</f>
        <v>Enter the name of the authorized signing officer.</v>
      </c>
      <c r="D33" s="110"/>
      <c r="E33" s="110"/>
      <c r="F33" s="110"/>
    </row>
    <row r="34" spans="3:6" ht="15" customHeight="1" x14ac:dyDescent="0.25">
      <c r="C34" s="110"/>
      <c r="D34" s="110"/>
      <c r="E34" s="110"/>
      <c r="F34" s="110"/>
    </row>
    <row r="35" spans="3:6" ht="15" customHeight="1" x14ac:dyDescent="0.25">
      <c r="C35" s="110"/>
      <c r="D35" s="110"/>
      <c r="E35" s="110"/>
      <c r="F35" s="110"/>
    </row>
  </sheetData>
  <sheetProtection algorithmName="SHA-512" hashValue="3cETv2CDy1KDe6kMp0L0gj7fI9nX4eFzuSgsL1fefqaBHtAeSlOaOqyd04UPsu7JEfO707FqSqzrQyLAcca/sw==" saltValue="F1jIVU6Jgt62IEyZtf5LDw==" spinCount="100000" sheet="1" objects="1" scenarios="1" selectLockedCells="1"/>
  <mergeCells count="8">
    <mergeCell ref="C33:F35"/>
    <mergeCell ref="C4:F4"/>
    <mergeCell ref="C29:D29"/>
    <mergeCell ref="C31:D31"/>
    <mergeCell ref="C16:F19"/>
    <mergeCell ref="C10:F15"/>
    <mergeCell ref="C7:D7"/>
    <mergeCell ref="C26:D26"/>
  </mergeCells>
  <conditionalFormatting sqref="C33">
    <cfRule type="cellIs" dxfId="0" priority="1" stopIfTrue="1" operator="equal">
      <formula>"Sheet complete."</formula>
    </cfRule>
  </conditionalFormatting>
  <dataValidations count="1">
    <dataValidation type="date" allowBlank="1" showInputMessage="1" showErrorMessage="1" prompt="yyyy-mm-dd" sqref="F26" xr:uid="{5A5F2F81-B0A3-4DF9-823B-8603A9136C1D}">
      <formula1>R.Instructions.VersionDate</formula1>
      <formula2>2958465</formula2>
    </dataValidation>
  </dataValidations>
  <printOptions horizontalCentered="1"/>
  <pageMargins left="0.25" right="0.25" top="0.25" bottom="0.25" header="0" footer="0"/>
  <pageSetup scale="82" fitToHeight="0"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62B1-2229-41C3-9922-3C9F55D64C77}">
  <sheetPr codeName="Sheet9">
    <tabColor rgb="FF00558C"/>
    <pageSetUpPr fitToPage="1"/>
  </sheetPr>
  <dimension ref="B1:F25"/>
  <sheetViews>
    <sheetView showGridLines="0" showRowColHeaders="0" zoomScaleNormal="100" workbookViewId="0"/>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11" t="s">
        <v>103</v>
      </c>
      <c r="D4" s="111"/>
      <c r="E4" s="111"/>
      <c r="F4" s="7"/>
    </row>
    <row r="5" spans="2:6" ht="15" customHeight="1" x14ac:dyDescent="0.25">
      <c r="B5" s="8"/>
      <c r="C5" s="86"/>
      <c r="D5" s="86"/>
      <c r="E5" s="86"/>
      <c r="F5" s="9"/>
    </row>
    <row r="6" spans="2:6" ht="15" customHeight="1" x14ac:dyDescent="0.25">
      <c r="B6" s="8"/>
      <c r="C6" s="130" t="s">
        <v>1155</v>
      </c>
      <c r="D6" s="102"/>
      <c r="E6" s="102"/>
      <c r="F6" s="9"/>
    </row>
    <row r="7" spans="2:6" ht="15" customHeight="1" x14ac:dyDescent="0.25">
      <c r="B7" s="8"/>
      <c r="C7" s="102" t="s">
        <v>1154</v>
      </c>
      <c r="D7" s="102"/>
      <c r="E7" s="102"/>
      <c r="F7" s="9"/>
    </row>
    <row r="8" spans="2:6" ht="15" customHeight="1" x14ac:dyDescent="0.25">
      <c r="B8" s="8"/>
      <c r="C8" s="102"/>
      <c r="D8" s="102"/>
      <c r="E8" s="102"/>
      <c r="F8" s="9"/>
    </row>
    <row r="9" spans="2:6" ht="15" customHeight="1" x14ac:dyDescent="0.25">
      <c r="B9" s="8"/>
      <c r="C9" s="102"/>
      <c r="D9" s="102"/>
      <c r="E9" s="102"/>
      <c r="F9" s="9"/>
    </row>
    <row r="10" spans="2:6" ht="15" customHeight="1" x14ac:dyDescent="0.25">
      <c r="B10" s="8"/>
      <c r="C10" s="102"/>
      <c r="D10" s="102"/>
      <c r="E10" s="102"/>
      <c r="F10" s="9"/>
    </row>
    <row r="11" spans="2:6" ht="15" customHeight="1" x14ac:dyDescent="0.25">
      <c r="B11" s="8"/>
      <c r="C11" s="130" t="s">
        <v>1156</v>
      </c>
      <c r="D11" s="102"/>
      <c r="E11" s="102"/>
      <c r="F11" s="9"/>
    </row>
    <row r="12" spans="2:6" ht="15" customHeight="1" x14ac:dyDescent="0.25">
      <c r="B12" s="8"/>
      <c r="C12" s="102" t="s">
        <v>2981</v>
      </c>
      <c r="D12" s="102"/>
      <c r="E12" s="102"/>
      <c r="F12" s="9"/>
    </row>
    <row r="13" spans="2:6" ht="15" customHeight="1" x14ac:dyDescent="0.25">
      <c r="B13" s="8"/>
      <c r="C13" s="102"/>
      <c r="D13" s="102"/>
      <c r="E13" s="102"/>
      <c r="F13" s="9"/>
    </row>
    <row r="14" spans="2:6" ht="15" customHeight="1" x14ac:dyDescent="0.25">
      <c r="B14" s="8"/>
      <c r="C14" s="102"/>
      <c r="D14" s="102"/>
      <c r="E14" s="102"/>
      <c r="F14" s="9"/>
    </row>
    <row r="15" spans="2:6" ht="15" customHeight="1" x14ac:dyDescent="0.25">
      <c r="B15" s="8"/>
      <c r="C15" s="102"/>
      <c r="D15" s="102"/>
      <c r="E15" s="102"/>
      <c r="F15" s="9"/>
    </row>
    <row r="16" spans="2:6" ht="15" customHeight="1" x14ac:dyDescent="0.25">
      <c r="B16" s="8"/>
      <c r="C16" s="130" t="s">
        <v>1157</v>
      </c>
      <c r="D16" s="102"/>
      <c r="E16" s="102"/>
      <c r="F16" s="9"/>
    </row>
    <row r="17" spans="2:6" ht="15" customHeight="1" x14ac:dyDescent="0.25">
      <c r="B17" s="8"/>
      <c r="C17" s="102" t="s">
        <v>3560</v>
      </c>
      <c r="D17" s="102"/>
      <c r="E17" s="102"/>
      <c r="F17" s="9"/>
    </row>
    <row r="18" spans="2:6" ht="15" customHeight="1" x14ac:dyDescent="0.25">
      <c r="B18" s="8"/>
      <c r="C18" s="102"/>
      <c r="D18" s="102"/>
      <c r="E18" s="102"/>
      <c r="F18" s="9"/>
    </row>
    <row r="19" spans="2:6" ht="15" customHeight="1" x14ac:dyDescent="0.25">
      <c r="B19" s="8"/>
      <c r="C19" s="102"/>
      <c r="D19" s="102"/>
      <c r="E19" s="102"/>
      <c r="F19" s="9"/>
    </row>
    <row r="20" spans="2:6" ht="15" customHeight="1" x14ac:dyDescent="0.25">
      <c r="B20" s="8"/>
      <c r="C20" s="102"/>
      <c r="D20" s="102"/>
      <c r="E20" s="102"/>
      <c r="F20" s="9"/>
    </row>
    <row r="21" spans="2:6" ht="15" customHeight="1" x14ac:dyDescent="0.25">
      <c r="B21" s="8"/>
      <c r="C21" s="102"/>
      <c r="D21" s="102"/>
      <c r="E21" s="102"/>
      <c r="F21" s="9"/>
    </row>
    <row r="22" spans="2:6" ht="15" customHeight="1" x14ac:dyDescent="0.25">
      <c r="B22" s="8"/>
      <c r="C22" s="102"/>
      <c r="D22" s="102"/>
      <c r="E22" s="102"/>
      <c r="F22" s="9"/>
    </row>
    <row r="23" spans="2:6" ht="15" customHeight="1" x14ac:dyDescent="0.25">
      <c r="B23" s="8"/>
      <c r="C23" s="102"/>
      <c r="D23" s="102"/>
      <c r="E23" s="102"/>
      <c r="F23" s="9"/>
    </row>
    <row r="24" spans="2:6" ht="15" customHeight="1" x14ac:dyDescent="0.25">
      <c r="B24" s="8"/>
      <c r="C24" s="102"/>
      <c r="D24" s="102"/>
      <c r="E24" s="102"/>
      <c r="F24" s="9"/>
    </row>
    <row r="25" spans="2:6" ht="15" customHeight="1" x14ac:dyDescent="0.25">
      <c r="B25" s="10"/>
      <c r="C25" s="20">
        <f>R.Instructions.VersionNumber</f>
        <v>3.01</v>
      </c>
      <c r="D25" s="11"/>
      <c r="E25" s="12">
        <f>R.Instructions.VersionDate</f>
        <v>45329</v>
      </c>
      <c r="F25" s="13"/>
    </row>
  </sheetData>
  <sheetProtection algorithmName="SHA-512" hashValue="sxn0eaRCLwmFs2pkSkcsqaPOCA2B2CRlSUHzhzGys60Kj1G0qDCmzR5pqI7L/Oh/nonbwYhHRrwa9Yb5KHeMzQ==" saltValue="ZsD21Bdm8JVRC4Qezr22eQ==" spinCount="100000" sheet="1" objects="1" scenarios="1" selectLockedCells="1" selectUnlockedCells="1"/>
  <mergeCells count="7">
    <mergeCell ref="C16:E16"/>
    <mergeCell ref="C17:E24"/>
    <mergeCell ref="C12:E15"/>
    <mergeCell ref="C4:E4"/>
    <mergeCell ref="C7:E10"/>
    <mergeCell ref="C6:E6"/>
    <mergeCell ref="C11:E11"/>
  </mergeCells>
  <printOptions horizontalCentered="1"/>
  <pageMargins left="0.25" right="0.25" top="0.25" bottom="0.25" header="0" footer="0"/>
  <pageSetup scale="86"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C3C2E-EFFC-4F61-804D-ABB369661AAB}">
  <sheetPr codeName="Sheet10">
    <tabColor rgb="FF2C3136"/>
  </sheetPr>
  <dimension ref="B2:T3201"/>
  <sheetViews>
    <sheetView showGridLines="0" showRowColHeaders="0" zoomScaleNormal="100" workbookViewId="0"/>
  </sheetViews>
  <sheetFormatPr defaultColWidth="9.140625" defaultRowHeight="15" customHeight="1" x14ac:dyDescent="0.25"/>
  <cols>
    <col min="1" max="1" width="5.5703125" style="1" customWidth="1"/>
    <col min="2" max="2" width="33.5703125" style="1" bestFit="1" customWidth="1"/>
    <col min="3" max="3" width="5.7109375" style="1" customWidth="1"/>
    <col min="4" max="4" width="34.7109375" style="1" customWidth="1"/>
    <col min="5" max="5" width="13.85546875" style="1" customWidth="1"/>
    <col min="6" max="6" width="12.85546875" style="1" customWidth="1"/>
    <col min="7" max="7" width="16.42578125" style="1" customWidth="1"/>
    <col min="8" max="8" width="10.5703125" style="1" customWidth="1"/>
    <col min="9" max="9" width="32.5703125" style="1" customWidth="1"/>
    <col min="10" max="10" width="5.5703125" style="1" customWidth="1"/>
    <col min="11" max="11" width="21.85546875" style="1" bestFit="1" customWidth="1"/>
    <col min="12" max="12" width="34.7109375" style="1" customWidth="1"/>
    <col min="13" max="13" width="5.5703125" style="1" customWidth="1"/>
    <col min="14" max="14" width="27.140625" style="1" customWidth="1"/>
    <col min="15" max="15" width="34.7109375" style="1" customWidth="1"/>
    <col min="16" max="17" width="18.7109375" style="1" customWidth="1"/>
    <col min="18" max="18" width="5.5703125" style="1" customWidth="1"/>
    <col min="19" max="19" width="16.7109375" style="1" bestFit="1" customWidth="1"/>
    <col min="20" max="20" width="5.85546875" style="1" customWidth="1"/>
    <col min="21" max="16384" width="9.140625" style="1"/>
  </cols>
  <sheetData>
    <row r="2" spans="2:20" ht="15" customHeight="1" x14ac:dyDescent="0.25">
      <c r="B2" s="2" t="s">
        <v>30</v>
      </c>
      <c r="C2" s="2"/>
      <c r="D2" s="2"/>
      <c r="K2" s="2" t="s">
        <v>31</v>
      </c>
      <c r="L2" s="2"/>
      <c r="N2" s="2" t="s">
        <v>29</v>
      </c>
      <c r="O2" s="2"/>
      <c r="S2" s="2" t="s">
        <v>235</v>
      </c>
    </row>
    <row r="3" spans="2:20" ht="15" customHeight="1" x14ac:dyDescent="0.25">
      <c r="B3" s="22" t="s">
        <v>33</v>
      </c>
      <c r="C3" s="23" t="s">
        <v>95</v>
      </c>
      <c r="D3" s="23" t="s">
        <v>3026</v>
      </c>
      <c r="E3" s="23" t="s">
        <v>26</v>
      </c>
      <c r="F3" s="23" t="s">
        <v>27</v>
      </c>
      <c r="G3" s="23" t="s">
        <v>34</v>
      </c>
      <c r="H3" s="23" t="s">
        <v>18</v>
      </c>
      <c r="I3" s="24" t="s">
        <v>14</v>
      </c>
      <c r="K3" s="3" t="s">
        <v>28</v>
      </c>
      <c r="L3" s="23" t="s">
        <v>3026</v>
      </c>
      <c r="N3" s="3" t="s">
        <v>35</v>
      </c>
      <c r="O3" s="23" t="s">
        <v>3026</v>
      </c>
      <c r="P3" s="4" t="s">
        <v>27</v>
      </c>
      <c r="Q3" s="5" t="s">
        <v>34</v>
      </c>
      <c r="S3" s="3" t="s">
        <v>236</v>
      </c>
      <c r="T3" s="5" t="s">
        <v>79</v>
      </c>
    </row>
    <row r="4" spans="2:20" ht="15" customHeight="1" x14ac:dyDescent="0.25">
      <c r="B4" s="30" t="s">
        <v>258</v>
      </c>
      <c r="C4" s="31">
        <v>1</v>
      </c>
      <c r="D4" s="32" t="s">
        <v>3027</v>
      </c>
      <c r="E4" s="32"/>
      <c r="F4" s="31" t="str">
        <f>IF(INDEX(I.Facility.FacilityName,1)="","",INDEX(I.Facility.FacilityName,1))</f>
        <v/>
      </c>
      <c r="G4" s="32"/>
      <c r="H4" s="31" t="str">
        <f>IF(INDEX(I.Facility.FacilityName,1)="","Incomplete","Complete")</f>
        <v>Incomplete</v>
      </c>
      <c r="I4" s="47" t="s">
        <v>627</v>
      </c>
      <c r="K4" s="77" t="s">
        <v>554</v>
      </c>
      <c r="L4" s="79" t="s">
        <v>3418</v>
      </c>
      <c r="N4" s="30" t="s">
        <v>536</v>
      </c>
      <c r="O4" s="32" t="s">
        <v>3536</v>
      </c>
      <c r="P4" s="31"/>
      <c r="Q4" s="33"/>
      <c r="S4" s="30" t="s">
        <v>512</v>
      </c>
      <c r="T4" s="33">
        <v>1</v>
      </c>
    </row>
    <row r="5" spans="2:20" ht="15" customHeight="1" x14ac:dyDescent="0.25">
      <c r="B5" s="26" t="s">
        <v>259</v>
      </c>
      <c r="C5" s="1">
        <v>1</v>
      </c>
      <c r="D5" s="27" t="s">
        <v>3028</v>
      </c>
      <c r="E5" s="27"/>
      <c r="F5" s="1" t="str">
        <f>IF(INDEX(I.Facility.OBPSNumber,1)="","",INDEX(I.Facility.OBPSNumber,1))</f>
        <v/>
      </c>
      <c r="G5" s="27"/>
      <c r="H5" s="1" t="str">
        <f>IF(INDEX(I.Facility.OBPSNumber,1)="","Incomplete","Complete")</f>
        <v>Incomplete</v>
      </c>
      <c r="I5" s="48" t="s">
        <v>628</v>
      </c>
      <c r="K5" s="37" t="s">
        <v>555</v>
      </c>
      <c r="L5" s="78" t="s">
        <v>3419</v>
      </c>
      <c r="N5" s="26" t="s">
        <v>537</v>
      </c>
      <c r="O5" s="27" t="s">
        <v>3537</v>
      </c>
      <c r="P5" s="71">
        <f>R.Instructions.VersionNumber</f>
        <v>3.01</v>
      </c>
      <c r="Q5" s="72"/>
      <c r="S5" s="26" t="s">
        <v>513</v>
      </c>
      <c r="T5" s="29">
        <v>28</v>
      </c>
    </row>
    <row r="6" spans="2:20" ht="15" customHeight="1" x14ac:dyDescent="0.25">
      <c r="B6" s="26" t="s">
        <v>260</v>
      </c>
      <c r="C6" s="1">
        <v>1</v>
      </c>
      <c r="D6" s="27" t="s">
        <v>3065</v>
      </c>
      <c r="E6" s="28">
        <v>1</v>
      </c>
      <c r="F6" s="28">
        <f>IF(INDEX(I.Facility.ProductCount,1)="","",INDEX(I.Facility.ProductCount,1))</f>
        <v>1</v>
      </c>
      <c r="G6" s="28"/>
      <c r="H6" s="1" t="str">
        <f>IF(INDEX(I.Facility.ProductCount,1)="","Incomplete","Complete")</f>
        <v>Complete</v>
      </c>
      <c r="I6" s="48" t="s">
        <v>629</v>
      </c>
      <c r="K6" s="26" t="s">
        <v>556</v>
      </c>
      <c r="L6" s="78" t="s">
        <v>3420</v>
      </c>
      <c r="N6" s="34" t="s">
        <v>538</v>
      </c>
      <c r="O6" s="46" t="s">
        <v>3538</v>
      </c>
      <c r="P6" s="42">
        <f>R.Instructions.VersionDate</f>
        <v>45329</v>
      </c>
      <c r="Q6" s="73"/>
      <c r="S6" s="26" t="s">
        <v>514</v>
      </c>
      <c r="T6" s="29">
        <v>265</v>
      </c>
    </row>
    <row r="7" spans="2:20" ht="15" customHeight="1" x14ac:dyDescent="0.25">
      <c r="B7" s="26" t="s">
        <v>262</v>
      </c>
      <c r="C7" s="1">
        <v>1</v>
      </c>
      <c r="D7" s="27" t="s">
        <v>3029</v>
      </c>
      <c r="E7" s="27"/>
      <c r="F7" s="1" t="str">
        <f>IF(INDEX(I.Facility.GasToPower,1)="","",INDEX(I.Facility.GasToPower,1))</f>
        <v/>
      </c>
      <c r="G7" s="27"/>
      <c r="H7" s="1" t="str">
        <f>IF(INDEX(I.Facility.GasToPower,1)="","Incomplete","Complete")</f>
        <v>Incomplete</v>
      </c>
      <c r="I7" s="48" t="s">
        <v>2994</v>
      </c>
      <c r="K7" s="26" t="s">
        <v>557</v>
      </c>
      <c r="L7" s="78" t="s">
        <v>3421</v>
      </c>
      <c r="N7" s="26" t="s">
        <v>539</v>
      </c>
      <c r="O7" s="27" t="s">
        <v>3539</v>
      </c>
      <c r="Q7" s="29"/>
      <c r="S7" s="26" t="s">
        <v>515</v>
      </c>
      <c r="T7" s="29">
        <v>23500</v>
      </c>
    </row>
    <row r="8" spans="2:20" ht="15" customHeight="1" x14ac:dyDescent="0.25">
      <c r="B8" s="26" t="s">
        <v>261</v>
      </c>
      <c r="C8" s="1">
        <v>1</v>
      </c>
      <c r="D8" s="27" t="s">
        <v>3030</v>
      </c>
      <c r="E8" s="27"/>
      <c r="F8" s="1" t="str">
        <f>IF(INDEX(I.Facility.OilGas,1)="","",INDEX(I.Facility.OilGas,1))</f>
        <v/>
      </c>
      <c r="G8" s="27"/>
      <c r="H8" s="1" t="str">
        <f>IF(INDEX(I.Facility.OilGas,1)="","Incomplete","Complete")</f>
        <v>Incomplete</v>
      </c>
      <c r="I8" s="48" t="s">
        <v>630</v>
      </c>
      <c r="K8" s="26" t="s">
        <v>558</v>
      </c>
      <c r="L8" s="78" t="s">
        <v>3422</v>
      </c>
      <c r="N8" s="34" t="s">
        <v>540</v>
      </c>
      <c r="O8" s="46" t="s">
        <v>3540</v>
      </c>
      <c r="P8" s="43" t="str">
        <f>IF(R.Facility.Timestamp="","",R.Facility.Timestamp)</f>
        <v/>
      </c>
      <c r="Q8" s="74"/>
      <c r="S8" s="26" t="s">
        <v>516</v>
      </c>
      <c r="T8" s="29">
        <v>6630</v>
      </c>
    </row>
    <row r="9" spans="2:20" ht="15" customHeight="1" x14ac:dyDescent="0.25">
      <c r="B9" s="34" t="s">
        <v>1344</v>
      </c>
      <c r="C9" s="35">
        <v>1</v>
      </c>
      <c r="D9" s="46" t="s">
        <v>3066</v>
      </c>
      <c r="E9" s="44">
        <v>1</v>
      </c>
      <c r="F9" s="44" t="str">
        <f>IF(INDEX(I.Facility.FacilityCount,1)="","",INDEX(I.Facility.FacilityCount,1))</f>
        <v/>
      </c>
      <c r="G9" s="44"/>
      <c r="H9" s="35" t="str">
        <f>IF(AND(I.Facility.OilGas="Yes",I.Facility.FacilityCount=""),"Incomplete","Complete")</f>
        <v>Complete</v>
      </c>
      <c r="I9" s="49" t="s">
        <v>1345</v>
      </c>
      <c r="K9" s="26" t="s">
        <v>559</v>
      </c>
      <c r="L9" s="78" t="s">
        <v>3423</v>
      </c>
      <c r="N9" s="26" t="s">
        <v>541</v>
      </c>
      <c r="O9" s="27" t="s">
        <v>3541</v>
      </c>
      <c r="Q9" s="29"/>
      <c r="S9" s="26" t="s">
        <v>517</v>
      </c>
      <c r="T9" s="29">
        <v>11100</v>
      </c>
    </row>
    <row r="10" spans="2:20" ht="15" customHeight="1" x14ac:dyDescent="0.25">
      <c r="B10" s="26" t="s">
        <v>263</v>
      </c>
      <c r="C10" s="1">
        <v>1</v>
      </c>
      <c r="D10" s="27" t="s">
        <v>3031</v>
      </c>
      <c r="E10" s="27"/>
      <c r="F10" s="1" t="str">
        <f>IF(INDEX(I.Facility.IDNumber,1)="","",INDEX(I.Facility.IDNumber,1))</f>
        <v/>
      </c>
      <c r="G10" s="27"/>
      <c r="H10" s="1" t="str">
        <f>IF(AND(I.Facility.FacilityCount&gt;=1,F10=""),"Incomplete","Complete")</f>
        <v>Complete</v>
      </c>
      <c r="I10" s="48" t="s">
        <v>631</v>
      </c>
      <c r="K10" s="34" t="s">
        <v>560</v>
      </c>
      <c r="L10" s="80" t="s">
        <v>3424</v>
      </c>
      <c r="N10" s="34" t="s">
        <v>542</v>
      </c>
      <c r="O10" s="46" t="s">
        <v>3542</v>
      </c>
      <c r="P10" s="43" t="str">
        <f>IF(R.Product.Timestamp="","",R.Product.Timestamp)</f>
        <v/>
      </c>
      <c r="Q10" s="74"/>
      <c r="S10" s="26" t="s">
        <v>518</v>
      </c>
      <c r="T10" s="29">
        <v>8900</v>
      </c>
    </row>
    <row r="11" spans="2:20" ht="15" customHeight="1" x14ac:dyDescent="0.25">
      <c r="B11" s="26" t="s">
        <v>263</v>
      </c>
      <c r="C11" s="1">
        <v>2</v>
      </c>
      <c r="D11" s="27" t="s">
        <v>3031</v>
      </c>
      <c r="E11" s="27"/>
      <c r="F11" s="1" t="str">
        <f>IF(INDEX(I.Facility.IDNumber,2)="","",INDEX(I.Facility.IDNumber,2))</f>
        <v/>
      </c>
      <c r="G11" s="27"/>
      <c r="H11" s="1" t="str">
        <f>IF(AND(I.Facility.FacilityCount&gt;=2,F11=""),"Incomplete","Complete")</f>
        <v>Complete</v>
      </c>
      <c r="I11" s="48" t="s">
        <v>632</v>
      </c>
      <c r="K11" s="37" t="s">
        <v>561</v>
      </c>
      <c r="L11" s="78" t="s">
        <v>3425</v>
      </c>
      <c r="N11" s="26" t="s">
        <v>543</v>
      </c>
      <c r="O11" s="27" t="s">
        <v>3543</v>
      </c>
      <c r="Q11" s="29"/>
      <c r="S11" s="26" t="s">
        <v>519</v>
      </c>
      <c r="T11" s="29">
        <v>9200</v>
      </c>
    </row>
    <row r="12" spans="2:20" ht="15" customHeight="1" x14ac:dyDescent="0.25">
      <c r="B12" s="26" t="s">
        <v>263</v>
      </c>
      <c r="C12" s="1">
        <v>3</v>
      </c>
      <c r="D12" s="27" t="s">
        <v>3031</v>
      </c>
      <c r="E12" s="27"/>
      <c r="F12" s="1" t="str">
        <f>IF(INDEX(I.Facility.IDNumber,3)="","",INDEX(I.Facility.IDNumber,3))</f>
        <v/>
      </c>
      <c r="G12" s="27"/>
      <c r="H12" s="1" t="str">
        <f>IF(AND(I.Facility.FacilityCount&gt;=3,F12=""),"Incomplete","Complete")</f>
        <v>Complete</v>
      </c>
      <c r="I12" s="48" t="s">
        <v>633</v>
      </c>
      <c r="K12" s="26" t="s">
        <v>562</v>
      </c>
      <c r="L12" s="78" t="s">
        <v>3426</v>
      </c>
      <c r="N12" s="34" t="s">
        <v>544</v>
      </c>
      <c r="O12" s="46" t="s">
        <v>3544</v>
      </c>
      <c r="P12" s="43" t="str">
        <f>IF(R.Production.Timestamp="","",R.Production.Timestamp)</f>
        <v/>
      </c>
      <c r="Q12" s="74"/>
      <c r="S12" s="26" t="s">
        <v>520</v>
      </c>
      <c r="T12" s="29">
        <v>9540</v>
      </c>
    </row>
    <row r="13" spans="2:20" ht="15" customHeight="1" x14ac:dyDescent="0.25">
      <c r="B13" s="26" t="s">
        <v>263</v>
      </c>
      <c r="C13" s="1">
        <v>4</v>
      </c>
      <c r="D13" s="27" t="s">
        <v>3031</v>
      </c>
      <c r="E13" s="27"/>
      <c r="F13" s="1" t="str">
        <f>IF(INDEX(I.Facility.IDNumber,4)="","",INDEX(I.Facility.IDNumber,4))</f>
        <v/>
      </c>
      <c r="G13" s="27"/>
      <c r="H13" s="1" t="str">
        <f>IF(AND(I.Facility.FacilityCount&gt;=4,F13=""),"Incomplete","Complete")</f>
        <v>Complete</v>
      </c>
      <c r="I13" s="48" t="s">
        <v>634</v>
      </c>
      <c r="K13" s="26" t="s">
        <v>563</v>
      </c>
      <c r="L13" s="78" t="s">
        <v>3427</v>
      </c>
      <c r="N13" s="26" t="s">
        <v>545</v>
      </c>
      <c r="O13" s="27" t="s">
        <v>3545</v>
      </c>
      <c r="Q13" s="29"/>
      <c r="S13" s="26" t="s">
        <v>521</v>
      </c>
      <c r="T13" s="29">
        <v>8550</v>
      </c>
    </row>
    <row r="14" spans="2:20" ht="15" customHeight="1" x14ac:dyDescent="0.25">
      <c r="B14" s="26" t="s">
        <v>263</v>
      </c>
      <c r="C14" s="1">
        <v>5</v>
      </c>
      <c r="D14" s="27" t="s">
        <v>3031</v>
      </c>
      <c r="E14" s="27"/>
      <c r="F14" s="1" t="str">
        <f>IF(INDEX(I.Facility.IDNumber,5)="","",INDEX(I.Facility.IDNumber,5))</f>
        <v/>
      </c>
      <c r="G14" s="27"/>
      <c r="H14" s="1" t="str">
        <f>IF(AND(I.Facility.FacilityCount&gt;=5,F14=""),"Incomplete","Complete")</f>
        <v>Complete</v>
      </c>
      <c r="I14" s="48" t="s">
        <v>635</v>
      </c>
      <c r="K14" s="26" t="s">
        <v>564</v>
      </c>
      <c r="L14" s="78" t="s">
        <v>3428</v>
      </c>
      <c r="N14" s="34" t="s">
        <v>546</v>
      </c>
      <c r="O14" s="46" t="s">
        <v>3546</v>
      </c>
      <c r="P14" s="43" t="str">
        <f>IF(R.Electricity.Timestamp="","",R.Electricity.Timestamp)</f>
        <v/>
      </c>
      <c r="Q14" s="74"/>
      <c r="S14" s="26" t="s">
        <v>522</v>
      </c>
      <c r="T14" s="29">
        <v>7910</v>
      </c>
    </row>
    <row r="15" spans="2:20" ht="15" customHeight="1" x14ac:dyDescent="0.25">
      <c r="B15" s="26" t="s">
        <v>263</v>
      </c>
      <c r="C15" s="1">
        <v>6</v>
      </c>
      <c r="D15" s="27" t="s">
        <v>3031</v>
      </c>
      <c r="E15" s="27"/>
      <c r="F15" s="1" t="str">
        <f>IF(INDEX(I.Facility.IDNumber,6)="","",INDEX(I.Facility.IDNumber,6))</f>
        <v/>
      </c>
      <c r="G15" s="27"/>
      <c r="H15" s="1" t="str">
        <f>IF(AND(I.Facility.FacilityCount&gt;=6,F15=""),"Incomplete","Complete")</f>
        <v>Complete</v>
      </c>
      <c r="I15" s="48" t="s">
        <v>636</v>
      </c>
      <c r="K15" s="26" t="s">
        <v>565</v>
      </c>
      <c r="L15" s="78" t="s">
        <v>3429</v>
      </c>
      <c r="N15" s="26" t="s">
        <v>547</v>
      </c>
      <c r="O15" s="27" t="s">
        <v>3547</v>
      </c>
      <c r="Q15" s="29"/>
      <c r="S15" s="26" t="s">
        <v>523</v>
      </c>
      <c r="T15" s="29">
        <v>12400</v>
      </c>
    </row>
    <row r="16" spans="2:20" ht="15" customHeight="1" x14ac:dyDescent="0.25">
      <c r="B16" s="26" t="s">
        <v>263</v>
      </c>
      <c r="C16" s="1">
        <v>7</v>
      </c>
      <c r="D16" s="27" t="s">
        <v>3031</v>
      </c>
      <c r="E16" s="27"/>
      <c r="F16" s="1" t="str">
        <f>IF(INDEX(I.Facility.IDNumber,7)="","",INDEX(I.Facility.IDNumber,7))</f>
        <v/>
      </c>
      <c r="G16" s="27"/>
      <c r="H16" s="1" t="str">
        <f>IF(AND(I.Facility.FacilityCount&gt;=7,F16=""),"Incomplete","Complete")</f>
        <v>Complete</v>
      </c>
      <c r="I16" s="48" t="s">
        <v>637</v>
      </c>
      <c r="K16" s="26" t="s">
        <v>566</v>
      </c>
      <c r="L16" s="78" t="s">
        <v>3430</v>
      </c>
      <c r="N16" s="34" t="s">
        <v>548</v>
      </c>
      <c r="O16" s="46" t="s">
        <v>3548</v>
      </c>
      <c r="P16" s="43" t="str">
        <f>IF(R.Gas.Timestamp="","",R.Gas.Timestamp)</f>
        <v/>
      </c>
      <c r="Q16" s="74"/>
      <c r="S16" s="26" t="s">
        <v>524</v>
      </c>
      <c r="T16" s="29">
        <v>677</v>
      </c>
    </row>
    <row r="17" spans="2:20" ht="15" customHeight="1" x14ac:dyDescent="0.25">
      <c r="B17" s="26" t="s">
        <v>263</v>
      </c>
      <c r="C17" s="1">
        <v>8</v>
      </c>
      <c r="D17" s="27" t="s">
        <v>3031</v>
      </c>
      <c r="E17" s="27"/>
      <c r="F17" s="1" t="str">
        <f>IF(INDEX(I.Facility.IDNumber,8)="","",INDEX(I.Facility.IDNumber,8))</f>
        <v/>
      </c>
      <c r="G17" s="27"/>
      <c r="H17" s="1" t="str">
        <f>IF(AND(I.Facility.FacilityCount&gt;=8,F17=""),"Incomplete","Complete")</f>
        <v>Complete</v>
      </c>
      <c r="I17" s="48" t="s">
        <v>638</v>
      </c>
      <c r="K17" s="26" t="s">
        <v>567</v>
      </c>
      <c r="L17" s="78" t="s">
        <v>3431</v>
      </c>
      <c r="N17" s="37" t="s">
        <v>549</v>
      </c>
      <c r="O17" s="85" t="s">
        <v>3549</v>
      </c>
      <c r="P17" s="62"/>
      <c r="Q17" s="38"/>
      <c r="S17" s="26" t="s">
        <v>525</v>
      </c>
      <c r="T17" s="29">
        <v>116</v>
      </c>
    </row>
    <row r="18" spans="2:20" ht="15" customHeight="1" x14ac:dyDescent="0.25">
      <c r="B18" s="26" t="s">
        <v>263</v>
      </c>
      <c r="C18" s="1">
        <v>9</v>
      </c>
      <c r="D18" s="27" t="s">
        <v>3031</v>
      </c>
      <c r="E18" s="27"/>
      <c r="F18" s="1" t="str">
        <f>IF(INDEX(I.Facility.IDNumber,9)="","",INDEX(I.Facility.IDNumber,9))</f>
        <v/>
      </c>
      <c r="G18" s="27"/>
      <c r="H18" s="1" t="str">
        <f>IF(AND(I.Facility.FacilityCount&gt;=9,F18=""),"Incomplete","Complete")</f>
        <v>Complete</v>
      </c>
      <c r="I18" s="48" t="s">
        <v>639</v>
      </c>
      <c r="K18" s="26" t="s">
        <v>568</v>
      </c>
      <c r="L18" s="78" t="s">
        <v>3432</v>
      </c>
      <c r="N18" s="26" t="s">
        <v>2974</v>
      </c>
      <c r="O18" s="27" t="s">
        <v>3550</v>
      </c>
      <c r="Q18" s="29"/>
      <c r="S18" s="26" t="s">
        <v>526</v>
      </c>
      <c r="T18" s="29">
        <v>1650</v>
      </c>
    </row>
    <row r="19" spans="2:20" ht="15" customHeight="1" x14ac:dyDescent="0.25">
      <c r="B19" s="26" t="s">
        <v>263</v>
      </c>
      <c r="C19" s="1">
        <v>10</v>
      </c>
      <c r="D19" s="27" t="s">
        <v>3031</v>
      </c>
      <c r="E19" s="27"/>
      <c r="F19" s="1" t="str">
        <f>IF(INDEX(I.Facility.IDNumber,10)="","",INDEX(I.Facility.IDNumber,10))</f>
        <v/>
      </c>
      <c r="G19" s="27"/>
      <c r="H19" s="1" t="str">
        <f>IF(AND(I.Facility.FacilityCount&gt;=10,F19=""),"Incomplete","Complete")</f>
        <v>Complete</v>
      </c>
      <c r="I19" s="48" t="s">
        <v>640</v>
      </c>
      <c r="K19" s="26" t="s">
        <v>569</v>
      </c>
      <c r="L19" s="78" t="s">
        <v>3433</v>
      </c>
      <c r="N19" s="26" t="s">
        <v>2975</v>
      </c>
      <c r="O19" s="27" t="s">
        <v>3551</v>
      </c>
      <c r="Q19" s="29"/>
      <c r="S19" s="26" t="s">
        <v>527</v>
      </c>
      <c r="T19" s="29">
        <v>3170</v>
      </c>
    </row>
    <row r="20" spans="2:20" ht="15" customHeight="1" x14ac:dyDescent="0.25">
      <c r="B20" s="26" t="s">
        <v>263</v>
      </c>
      <c r="C20" s="1">
        <v>11</v>
      </c>
      <c r="D20" s="27" t="s">
        <v>3031</v>
      </c>
      <c r="E20" s="27"/>
      <c r="F20" s="1" t="str">
        <f>IF(INDEX(I.Facility.IDNumber,11)="","",INDEX(I.Facility.IDNumber,11))</f>
        <v/>
      </c>
      <c r="G20" s="27"/>
      <c r="H20" s="1" t="str">
        <f>IF(AND(I.Facility.FacilityCount&gt;=11,F20=""),"Incomplete","Complete")</f>
        <v>Complete</v>
      </c>
      <c r="I20" s="48" t="s">
        <v>641</v>
      </c>
      <c r="K20" s="34" t="s">
        <v>570</v>
      </c>
      <c r="L20" s="80" t="s">
        <v>3434</v>
      </c>
      <c r="N20" s="26" t="s">
        <v>2976</v>
      </c>
      <c r="O20" s="27" t="s">
        <v>3552</v>
      </c>
      <c r="Q20" s="29"/>
      <c r="S20" s="26" t="s">
        <v>528</v>
      </c>
      <c r="T20" s="29">
        <v>1120</v>
      </c>
    </row>
    <row r="21" spans="2:20" ht="15" customHeight="1" x14ac:dyDescent="0.25">
      <c r="B21" s="26" t="s">
        <v>263</v>
      </c>
      <c r="C21" s="1">
        <v>12</v>
      </c>
      <c r="D21" s="27" t="s">
        <v>3031</v>
      </c>
      <c r="E21" s="27"/>
      <c r="F21" s="1" t="str">
        <f>IF(INDEX(I.Facility.IDNumber,12)="","",INDEX(I.Facility.IDNumber,12))</f>
        <v/>
      </c>
      <c r="G21" s="27"/>
      <c r="H21" s="1" t="str">
        <f>IF(AND(I.Facility.FacilityCount&gt;=12,F21=""),"Incomplete","Complete")</f>
        <v>Complete</v>
      </c>
      <c r="I21" s="48" t="s">
        <v>642</v>
      </c>
      <c r="K21" s="37" t="s">
        <v>571</v>
      </c>
      <c r="L21" s="78" t="s">
        <v>3435</v>
      </c>
      <c r="N21" s="26" t="s">
        <v>2977</v>
      </c>
      <c r="O21" s="27" t="s">
        <v>3553</v>
      </c>
      <c r="Q21" s="29"/>
      <c r="S21" s="26" t="s">
        <v>529</v>
      </c>
      <c r="T21" s="29">
        <v>1300</v>
      </c>
    </row>
    <row r="22" spans="2:20" ht="15" customHeight="1" x14ac:dyDescent="0.25">
      <c r="B22" s="26" t="s">
        <v>263</v>
      </c>
      <c r="C22" s="1">
        <v>13</v>
      </c>
      <c r="D22" s="27" t="s">
        <v>3031</v>
      </c>
      <c r="E22" s="27"/>
      <c r="F22" s="1" t="str">
        <f>IF(INDEX(I.Facility.IDNumber,13)="","",INDEX(I.Facility.IDNumber,13))</f>
        <v/>
      </c>
      <c r="G22" s="27"/>
      <c r="H22" s="1" t="str">
        <f>IF(AND(I.Facility.FacilityCount&gt;=13,F22=""),"Incomplete","Complete")</f>
        <v>Complete</v>
      </c>
      <c r="I22" s="48" t="s">
        <v>643</v>
      </c>
      <c r="K22" s="26" t="s">
        <v>572</v>
      </c>
      <c r="L22" s="78" t="s">
        <v>3436</v>
      </c>
      <c r="N22" s="34" t="s">
        <v>2978</v>
      </c>
      <c r="O22" s="46" t="s">
        <v>3554</v>
      </c>
      <c r="P22" s="43"/>
      <c r="Q22" s="74"/>
      <c r="S22" s="26" t="s">
        <v>530</v>
      </c>
      <c r="T22" s="29">
        <v>328</v>
      </c>
    </row>
    <row r="23" spans="2:20" ht="15" customHeight="1" x14ac:dyDescent="0.25">
      <c r="B23" s="26" t="s">
        <v>263</v>
      </c>
      <c r="C23" s="1">
        <v>14</v>
      </c>
      <c r="D23" s="27" t="s">
        <v>3031</v>
      </c>
      <c r="E23" s="27"/>
      <c r="F23" s="1" t="str">
        <f>IF(INDEX(I.Facility.IDNumber,14)="","",INDEX(I.Facility.IDNumber,14))</f>
        <v/>
      </c>
      <c r="G23" s="27"/>
      <c r="H23" s="1" t="str">
        <f>IF(AND(I.Facility.FacilityCount&gt;=14,F23=""),"Incomplete","Complete")</f>
        <v>Complete</v>
      </c>
      <c r="I23" s="48" t="s">
        <v>644</v>
      </c>
      <c r="K23" s="26" t="s">
        <v>573</v>
      </c>
      <c r="L23" s="78" t="s">
        <v>3437</v>
      </c>
      <c r="N23" s="26" t="s">
        <v>550</v>
      </c>
      <c r="O23" s="27" t="s">
        <v>3555</v>
      </c>
      <c r="Q23" s="29"/>
      <c r="S23" s="26" t="s">
        <v>531</v>
      </c>
      <c r="T23" s="29">
        <v>4800</v>
      </c>
    </row>
    <row r="24" spans="2:20" ht="15" customHeight="1" x14ac:dyDescent="0.25">
      <c r="B24" s="26" t="s">
        <v>263</v>
      </c>
      <c r="C24" s="1">
        <v>15</v>
      </c>
      <c r="D24" s="27" t="s">
        <v>3031</v>
      </c>
      <c r="E24" s="27"/>
      <c r="F24" s="1" t="str">
        <f>IF(INDEX(I.Facility.IDNumber,15)="","",INDEX(I.Facility.IDNumber,15))</f>
        <v/>
      </c>
      <c r="G24" s="27"/>
      <c r="H24" s="1" t="str">
        <f>IF(AND(I.Facility.FacilityCount&gt;=15,F24=""),"Incomplete","Complete")</f>
        <v>Complete</v>
      </c>
      <c r="I24" s="48" t="s">
        <v>645</v>
      </c>
      <c r="K24" s="26" t="s">
        <v>574</v>
      </c>
      <c r="L24" s="78" t="s">
        <v>3438</v>
      </c>
      <c r="N24" s="34" t="s">
        <v>551</v>
      </c>
      <c r="O24" s="46" t="s">
        <v>3556</v>
      </c>
      <c r="P24" s="43" t="str">
        <f>IF(R.Declaration.Timestamp="","",R.Declaration.Timestamp)</f>
        <v/>
      </c>
      <c r="Q24" s="74"/>
      <c r="S24" s="26" t="s">
        <v>532</v>
      </c>
      <c r="T24" s="29">
        <v>138</v>
      </c>
    </row>
    <row r="25" spans="2:20" ht="15" customHeight="1" x14ac:dyDescent="0.25">
      <c r="B25" s="26" t="s">
        <v>263</v>
      </c>
      <c r="C25" s="1">
        <v>16</v>
      </c>
      <c r="D25" s="27" t="s">
        <v>3031</v>
      </c>
      <c r="E25" s="27"/>
      <c r="F25" s="1" t="str">
        <f>IF(INDEX(I.Facility.IDNumber,16)="","",INDEX(I.Facility.IDNumber,16))</f>
        <v/>
      </c>
      <c r="G25" s="27"/>
      <c r="H25" s="1" t="str">
        <f>IF(AND(I.Facility.FacilityCount&gt;=16,F25=""),"Incomplete","Complete")</f>
        <v>Complete</v>
      </c>
      <c r="I25" s="48" t="s">
        <v>646</v>
      </c>
      <c r="K25" s="26" t="s">
        <v>575</v>
      </c>
      <c r="L25" s="78" t="s">
        <v>3439</v>
      </c>
      <c r="N25" s="53" t="s">
        <v>552</v>
      </c>
      <c r="O25" s="83" t="s">
        <v>3557</v>
      </c>
      <c r="P25" s="54"/>
      <c r="Q25" s="75"/>
      <c r="S25" s="26" t="s">
        <v>533</v>
      </c>
      <c r="T25" s="29">
        <v>3350</v>
      </c>
    </row>
    <row r="26" spans="2:20" ht="15" customHeight="1" x14ac:dyDescent="0.25">
      <c r="B26" s="26" t="s">
        <v>263</v>
      </c>
      <c r="C26" s="1">
        <v>17</v>
      </c>
      <c r="D26" s="27" t="s">
        <v>3031</v>
      </c>
      <c r="E26" s="27"/>
      <c r="F26" s="1" t="str">
        <f>IF(INDEX(I.Facility.IDNumber,17)="","",INDEX(I.Facility.IDNumber,17))</f>
        <v/>
      </c>
      <c r="G26" s="27"/>
      <c r="H26" s="1" t="str">
        <f>IF(AND(I.Facility.FacilityCount&gt;=17,F26=""),"Incomplete","Complete")</f>
        <v>Complete</v>
      </c>
      <c r="I26" s="48" t="s">
        <v>647</v>
      </c>
      <c r="K26" s="26" t="s">
        <v>576</v>
      </c>
      <c r="L26" s="78" t="s">
        <v>3440</v>
      </c>
      <c r="N26" s="37" t="s">
        <v>553</v>
      </c>
      <c r="O26" s="85" t="s">
        <v>3558</v>
      </c>
      <c r="P26" s="55"/>
      <c r="Q26" s="38"/>
      <c r="S26" s="26" t="s">
        <v>534</v>
      </c>
      <c r="T26" s="29">
        <v>8060</v>
      </c>
    </row>
    <row r="27" spans="2:20" ht="15" customHeight="1" x14ac:dyDescent="0.25">
      <c r="B27" s="26" t="s">
        <v>263</v>
      </c>
      <c r="C27" s="1">
        <v>18</v>
      </c>
      <c r="D27" s="27" t="s">
        <v>3031</v>
      </c>
      <c r="E27" s="27"/>
      <c r="F27" s="1" t="str">
        <f>IF(INDEX(I.Facility.IDNumber,18)="","",INDEX(I.Facility.IDNumber,18))</f>
        <v/>
      </c>
      <c r="G27" s="27"/>
      <c r="H27" s="1" t="str">
        <f>IF(AND(I.Facility.FacilityCount&gt;=18,F27=""),"Incomplete","Complete")</f>
        <v>Complete</v>
      </c>
      <c r="I27" s="48" t="s">
        <v>648</v>
      </c>
      <c r="K27" s="26" t="s">
        <v>577</v>
      </c>
      <c r="L27" s="78" t="s">
        <v>3441</v>
      </c>
      <c r="N27" s="26"/>
      <c r="O27" s="27"/>
      <c r="P27" s="76" t="s">
        <v>1139</v>
      </c>
      <c r="Q27" s="29"/>
      <c r="S27" s="39" t="s">
        <v>535</v>
      </c>
      <c r="T27" s="41">
        <v>716</v>
      </c>
    </row>
    <row r="28" spans="2:20" ht="15" customHeight="1" x14ac:dyDescent="0.25">
      <c r="B28" s="26" t="s">
        <v>263</v>
      </c>
      <c r="C28" s="1">
        <v>19</v>
      </c>
      <c r="D28" s="27" t="s">
        <v>3031</v>
      </c>
      <c r="E28" s="27"/>
      <c r="F28" s="1" t="str">
        <f>IF(INDEX(I.Facility.IDNumber,19)="","",INDEX(I.Facility.IDNumber,19))</f>
        <v/>
      </c>
      <c r="G28" s="27"/>
      <c r="H28" s="1" t="str">
        <f>IF(AND(I.Facility.FacilityCount&gt;=19,F28=""),"Incomplete","Complete")</f>
        <v>Complete</v>
      </c>
      <c r="I28" s="48" t="s">
        <v>649</v>
      </c>
      <c r="K28" s="26" t="s">
        <v>578</v>
      </c>
      <c r="L28" s="78" t="s">
        <v>3442</v>
      </c>
      <c r="N28" s="26"/>
      <c r="O28" s="27"/>
      <c r="P28" s="76" t="s">
        <v>1140</v>
      </c>
      <c r="Q28" s="29"/>
    </row>
    <row r="29" spans="2:20" ht="15" customHeight="1" x14ac:dyDescent="0.25">
      <c r="B29" s="26" t="s">
        <v>263</v>
      </c>
      <c r="C29" s="1">
        <v>20</v>
      </c>
      <c r="D29" s="27" t="s">
        <v>3031</v>
      </c>
      <c r="E29" s="27"/>
      <c r="F29" s="1" t="str">
        <f>IF(INDEX(I.Facility.IDNumber,20)="","",INDEX(I.Facility.IDNumber,20))</f>
        <v/>
      </c>
      <c r="G29" s="27"/>
      <c r="H29" s="1" t="str">
        <f>IF(AND(I.Facility.FacilityCount&gt;=20,F29=""),"Incomplete","Complete")</f>
        <v>Complete</v>
      </c>
      <c r="I29" s="48" t="s">
        <v>650</v>
      </c>
      <c r="K29" s="26" t="s">
        <v>579</v>
      </c>
      <c r="L29" s="78" t="s">
        <v>3443</v>
      </c>
      <c r="N29" s="26"/>
      <c r="O29" s="27"/>
      <c r="P29" s="76" t="s">
        <v>1141</v>
      </c>
      <c r="Q29" s="29"/>
    </row>
    <row r="30" spans="2:20" ht="15" customHeight="1" x14ac:dyDescent="0.25">
      <c r="B30" s="26" t="s">
        <v>263</v>
      </c>
      <c r="C30" s="1">
        <v>21</v>
      </c>
      <c r="D30" s="27" t="s">
        <v>3031</v>
      </c>
      <c r="E30" s="27"/>
      <c r="F30" s="1" t="str">
        <f>IF(INDEX(I.Facility.IDNumber,21)="","",INDEX(I.Facility.IDNumber,21))</f>
        <v/>
      </c>
      <c r="G30" s="27"/>
      <c r="H30" s="1" t="str">
        <f>IF(AND(I.Facility.FacilityCount&gt;=21,F30=""),"Incomplete","Complete")</f>
        <v>Complete</v>
      </c>
      <c r="I30" s="48" t="s">
        <v>651</v>
      </c>
      <c r="K30" s="34" t="s">
        <v>580</v>
      </c>
      <c r="L30" s="80" t="s">
        <v>3444</v>
      </c>
      <c r="N30" s="26"/>
      <c r="O30" s="27"/>
      <c r="P30" s="76" t="s">
        <v>1142</v>
      </c>
      <c r="Q30" s="29"/>
    </row>
    <row r="31" spans="2:20" ht="15" customHeight="1" x14ac:dyDescent="0.25">
      <c r="B31" s="26" t="s">
        <v>263</v>
      </c>
      <c r="C31" s="1">
        <v>22</v>
      </c>
      <c r="D31" s="27" t="s">
        <v>3031</v>
      </c>
      <c r="E31" s="27"/>
      <c r="F31" s="1" t="str">
        <f>IF(INDEX(I.Facility.IDNumber,22)="","",INDEX(I.Facility.IDNumber,22))</f>
        <v/>
      </c>
      <c r="G31" s="27"/>
      <c r="H31" s="1" t="str">
        <f>IF(AND(I.Facility.FacilityCount&gt;=22,F31=""),"Incomplete","Complete")</f>
        <v>Complete</v>
      </c>
      <c r="I31" s="48" t="s">
        <v>652</v>
      </c>
      <c r="K31" s="37" t="s">
        <v>581</v>
      </c>
      <c r="L31" s="78" t="s">
        <v>3445</v>
      </c>
      <c r="N31" s="26"/>
      <c r="O31" s="27"/>
      <c r="P31" s="76" t="s">
        <v>1143</v>
      </c>
      <c r="Q31" s="29"/>
    </row>
    <row r="32" spans="2:20" ht="15" customHeight="1" x14ac:dyDescent="0.25">
      <c r="B32" s="26" t="s">
        <v>263</v>
      </c>
      <c r="C32" s="1">
        <v>23</v>
      </c>
      <c r="D32" s="27" t="s">
        <v>3031</v>
      </c>
      <c r="E32" s="27"/>
      <c r="F32" s="1" t="str">
        <f>IF(INDEX(I.Facility.IDNumber,23)="","",INDEX(I.Facility.IDNumber,23))</f>
        <v/>
      </c>
      <c r="G32" s="27"/>
      <c r="H32" s="1" t="str">
        <f>IF(AND(I.Facility.FacilityCount&gt;=23,F32=""),"Incomplete","Complete")</f>
        <v>Complete</v>
      </c>
      <c r="I32" s="48" t="s">
        <v>653</v>
      </c>
      <c r="K32" s="26" t="s">
        <v>582</v>
      </c>
      <c r="L32" s="78" t="s">
        <v>3446</v>
      </c>
      <c r="N32" s="26"/>
      <c r="O32" s="27"/>
      <c r="P32" s="76" t="s">
        <v>1144</v>
      </c>
      <c r="Q32" s="29"/>
    </row>
    <row r="33" spans="2:17" ht="15" customHeight="1" x14ac:dyDescent="0.25">
      <c r="B33" s="26" t="s">
        <v>263</v>
      </c>
      <c r="C33" s="1">
        <v>24</v>
      </c>
      <c r="D33" s="27" t="s">
        <v>3031</v>
      </c>
      <c r="E33" s="27"/>
      <c r="F33" s="1" t="str">
        <f>IF(INDEX(I.Facility.IDNumber,24)="","",INDEX(I.Facility.IDNumber,24))</f>
        <v/>
      </c>
      <c r="G33" s="27"/>
      <c r="H33" s="1" t="str">
        <f>IF(AND(I.Facility.FacilityCount&gt;=24,F33=""),"Incomplete","Complete")</f>
        <v>Complete</v>
      </c>
      <c r="I33" s="48" t="s">
        <v>654</v>
      </c>
      <c r="K33" s="26" t="s">
        <v>583</v>
      </c>
      <c r="L33" s="78" t="s">
        <v>3447</v>
      </c>
      <c r="N33" s="26"/>
      <c r="O33" s="27"/>
      <c r="P33" s="76" t="s">
        <v>1145</v>
      </c>
      <c r="Q33" s="29"/>
    </row>
    <row r="34" spans="2:17" ht="15" customHeight="1" x14ac:dyDescent="0.25">
      <c r="B34" s="26" t="s">
        <v>263</v>
      </c>
      <c r="C34" s="1">
        <v>25</v>
      </c>
      <c r="D34" s="27" t="s">
        <v>3031</v>
      </c>
      <c r="E34" s="27"/>
      <c r="F34" s="1" t="str">
        <f>IF(INDEX(I.Facility.IDNumber,25)="","",INDEX(I.Facility.IDNumber,25))</f>
        <v/>
      </c>
      <c r="G34" s="27"/>
      <c r="H34" s="1" t="str">
        <f>IF(AND(I.Facility.FacilityCount&gt;=25,F34=""),"Incomplete","Complete")</f>
        <v>Complete</v>
      </c>
      <c r="I34" s="48" t="s">
        <v>655</v>
      </c>
      <c r="K34" s="26" t="s">
        <v>584</v>
      </c>
      <c r="L34" s="78" t="s">
        <v>3448</v>
      </c>
      <c r="N34" s="26"/>
      <c r="O34" s="27"/>
      <c r="P34" s="76" t="s">
        <v>1146</v>
      </c>
      <c r="Q34" s="29"/>
    </row>
    <row r="35" spans="2:17" ht="15" customHeight="1" x14ac:dyDescent="0.25">
      <c r="B35" s="26" t="s">
        <v>263</v>
      </c>
      <c r="C35" s="1">
        <v>26</v>
      </c>
      <c r="D35" s="27" t="s">
        <v>3031</v>
      </c>
      <c r="E35" s="27"/>
      <c r="F35" s="1" t="str">
        <f>IF(INDEX(I.Facility.IDNumber,26)="","",INDEX(I.Facility.IDNumber,26))</f>
        <v/>
      </c>
      <c r="G35" s="27"/>
      <c r="H35" s="1" t="str">
        <f>IF(AND(I.Facility.FacilityCount&gt;=26,F35=""),"Incomplete","Complete")</f>
        <v>Complete</v>
      </c>
      <c r="I35" s="48" t="s">
        <v>656</v>
      </c>
      <c r="K35" s="26" t="s">
        <v>585</v>
      </c>
      <c r="L35" s="78" t="s">
        <v>3449</v>
      </c>
      <c r="N35" s="26"/>
      <c r="O35" s="27"/>
      <c r="P35" s="76" t="s">
        <v>1147</v>
      </c>
      <c r="Q35" s="29"/>
    </row>
    <row r="36" spans="2:17" ht="15" customHeight="1" x14ac:dyDescent="0.25">
      <c r="B36" s="26" t="s">
        <v>263</v>
      </c>
      <c r="C36" s="1">
        <v>27</v>
      </c>
      <c r="D36" s="27" t="s">
        <v>3031</v>
      </c>
      <c r="E36" s="27"/>
      <c r="F36" s="1" t="str">
        <f>IF(INDEX(I.Facility.IDNumber,27)="","",INDEX(I.Facility.IDNumber,27))</f>
        <v/>
      </c>
      <c r="G36" s="27"/>
      <c r="H36" s="1" t="str">
        <f>IF(AND(I.Facility.FacilityCount&gt;=27,F36=""),"Incomplete","Complete")</f>
        <v>Complete</v>
      </c>
      <c r="I36" s="48" t="s">
        <v>657</v>
      </c>
      <c r="K36" s="26" t="s">
        <v>586</v>
      </c>
      <c r="L36" s="78" t="s">
        <v>3450</v>
      </c>
      <c r="N36" s="26"/>
      <c r="O36" s="27"/>
      <c r="P36" s="76" t="s">
        <v>1150</v>
      </c>
      <c r="Q36" s="29"/>
    </row>
    <row r="37" spans="2:17" ht="15" customHeight="1" x14ac:dyDescent="0.25">
      <c r="B37" s="26" t="s">
        <v>263</v>
      </c>
      <c r="C37" s="1">
        <v>28</v>
      </c>
      <c r="D37" s="27" t="s">
        <v>3031</v>
      </c>
      <c r="E37" s="27"/>
      <c r="F37" s="1" t="str">
        <f>IF(INDEX(I.Facility.IDNumber,28)="","",INDEX(I.Facility.IDNumber,28))</f>
        <v/>
      </c>
      <c r="G37" s="27"/>
      <c r="H37" s="1" t="str">
        <f>IF(AND(I.Facility.FacilityCount&gt;=28,F37=""),"Incomplete","Complete")</f>
        <v>Complete</v>
      </c>
      <c r="I37" s="48" t="s">
        <v>658</v>
      </c>
      <c r="K37" s="26" t="s">
        <v>587</v>
      </c>
      <c r="L37" s="78" t="s">
        <v>3451</v>
      </c>
      <c r="N37" s="26"/>
      <c r="O37" s="27"/>
      <c r="P37" s="76" t="s">
        <v>1148</v>
      </c>
      <c r="Q37" s="29"/>
    </row>
    <row r="38" spans="2:17" ht="15" customHeight="1" x14ac:dyDescent="0.25">
      <c r="B38" s="26" t="s">
        <v>263</v>
      </c>
      <c r="C38" s="1">
        <v>29</v>
      </c>
      <c r="D38" s="27" t="s">
        <v>3031</v>
      </c>
      <c r="E38" s="27"/>
      <c r="F38" s="1" t="str">
        <f>IF(INDEX(I.Facility.IDNumber,29)="","",INDEX(I.Facility.IDNumber,29))</f>
        <v/>
      </c>
      <c r="G38" s="27"/>
      <c r="H38" s="1" t="str">
        <f>IF(AND(I.Facility.FacilityCount&gt;=29,F38=""),"Incomplete","Complete")</f>
        <v>Complete</v>
      </c>
      <c r="I38" s="48" t="s">
        <v>659</v>
      </c>
      <c r="K38" s="26" t="s">
        <v>588</v>
      </c>
      <c r="L38" s="78" t="s">
        <v>3452</v>
      </c>
      <c r="N38" s="26"/>
      <c r="O38" s="27"/>
      <c r="P38" s="76" t="s">
        <v>1151</v>
      </c>
      <c r="Q38" s="29"/>
    </row>
    <row r="39" spans="2:17" ht="15" customHeight="1" x14ac:dyDescent="0.25">
      <c r="B39" s="26" t="s">
        <v>263</v>
      </c>
      <c r="C39" s="1">
        <v>30</v>
      </c>
      <c r="D39" s="27" t="s">
        <v>3031</v>
      </c>
      <c r="E39" s="27"/>
      <c r="F39" s="1" t="str">
        <f>IF(INDEX(I.Facility.IDNumber,30)="","",INDEX(I.Facility.IDNumber,30))</f>
        <v/>
      </c>
      <c r="G39" s="27"/>
      <c r="H39" s="1" t="str">
        <f>IF(AND(I.Facility.FacilityCount&gt;=30,F39=""),"Incomplete","Complete")</f>
        <v>Complete</v>
      </c>
      <c r="I39" s="48" t="s">
        <v>660</v>
      </c>
      <c r="K39" s="26" t="s">
        <v>589</v>
      </c>
      <c r="L39" s="78" t="s">
        <v>3453</v>
      </c>
      <c r="N39" s="26"/>
      <c r="O39" s="27"/>
      <c r="P39" s="76" t="s">
        <v>1152</v>
      </c>
      <c r="Q39" s="29"/>
    </row>
    <row r="40" spans="2:17" ht="15" customHeight="1" x14ac:dyDescent="0.25">
      <c r="B40" s="26" t="s">
        <v>263</v>
      </c>
      <c r="C40" s="1">
        <v>31</v>
      </c>
      <c r="D40" s="27" t="s">
        <v>3031</v>
      </c>
      <c r="E40" s="27"/>
      <c r="F40" s="1" t="str">
        <f>IF(INDEX(I.Facility.IDNumber,31)="","",INDEX(I.Facility.IDNumber,31))</f>
        <v/>
      </c>
      <c r="G40" s="27"/>
      <c r="H40" s="1" t="str">
        <f>IF(AND(I.Facility.FacilityCount&gt;=31,F40=""),"Incomplete","Complete")</f>
        <v>Complete</v>
      </c>
      <c r="I40" s="48" t="s">
        <v>661</v>
      </c>
      <c r="K40" s="34" t="s">
        <v>590</v>
      </c>
      <c r="L40" s="80" t="s">
        <v>3454</v>
      </c>
      <c r="N40" s="26"/>
      <c r="O40" s="27"/>
      <c r="P40" s="76" t="s">
        <v>1149</v>
      </c>
      <c r="Q40" s="29"/>
    </row>
    <row r="41" spans="2:17" ht="15" customHeight="1" x14ac:dyDescent="0.25">
      <c r="B41" s="26" t="s">
        <v>263</v>
      </c>
      <c r="C41" s="1">
        <v>32</v>
      </c>
      <c r="D41" s="27" t="s">
        <v>3031</v>
      </c>
      <c r="E41" s="27"/>
      <c r="F41" s="1" t="str">
        <f>IF(INDEX(I.Facility.IDNumber,32)="","",INDEX(I.Facility.IDNumber,32))</f>
        <v/>
      </c>
      <c r="G41" s="27"/>
      <c r="H41" s="1" t="str">
        <f>IF(AND(I.Facility.FacilityCount&gt;=32,F41=""),"Incomplete","Complete")</f>
        <v>Complete</v>
      </c>
      <c r="I41" s="48" t="s">
        <v>662</v>
      </c>
      <c r="K41" s="37" t="s">
        <v>591</v>
      </c>
      <c r="L41" s="78" t="s">
        <v>3455</v>
      </c>
      <c r="N41" s="39"/>
      <c r="O41" s="84"/>
      <c r="P41" s="68" t="s">
        <v>1153</v>
      </c>
      <c r="Q41" s="41"/>
    </row>
    <row r="42" spans="2:17" ht="15" customHeight="1" x14ac:dyDescent="0.25">
      <c r="B42" s="26" t="s">
        <v>263</v>
      </c>
      <c r="C42" s="1">
        <v>33</v>
      </c>
      <c r="D42" s="27" t="s">
        <v>3031</v>
      </c>
      <c r="E42" s="27"/>
      <c r="F42" s="1" t="str">
        <f>IF(INDEX(I.Facility.IDNumber,33)="","",INDEX(I.Facility.IDNumber,33))</f>
        <v/>
      </c>
      <c r="G42" s="27"/>
      <c r="H42" s="1" t="str">
        <f>IF(AND(I.Facility.FacilityCount&gt;=33,F42=""),"Incomplete","Complete")</f>
        <v>Complete</v>
      </c>
      <c r="I42" s="48" t="s">
        <v>663</v>
      </c>
      <c r="K42" s="26" t="s">
        <v>592</v>
      </c>
      <c r="L42" s="78" t="s">
        <v>3456</v>
      </c>
    </row>
    <row r="43" spans="2:17" ht="15" customHeight="1" x14ac:dyDescent="0.25">
      <c r="B43" s="26" t="s">
        <v>263</v>
      </c>
      <c r="C43" s="1">
        <v>34</v>
      </c>
      <c r="D43" s="27" t="s">
        <v>3031</v>
      </c>
      <c r="E43" s="27"/>
      <c r="F43" s="1" t="str">
        <f>IF(INDEX(I.Facility.IDNumber,34)="","",INDEX(I.Facility.IDNumber,34))</f>
        <v/>
      </c>
      <c r="G43" s="27"/>
      <c r="H43" s="1" t="str">
        <f>IF(AND(I.Facility.FacilityCount&gt;=34,F43=""),"Incomplete","Complete")</f>
        <v>Complete</v>
      </c>
      <c r="I43" s="48" t="s">
        <v>664</v>
      </c>
      <c r="K43" s="26" t="s">
        <v>593</v>
      </c>
      <c r="L43" s="78" t="s">
        <v>3457</v>
      </c>
    </row>
    <row r="44" spans="2:17" ht="15" customHeight="1" x14ac:dyDescent="0.25">
      <c r="B44" s="26" t="s">
        <v>263</v>
      </c>
      <c r="C44" s="1">
        <v>35</v>
      </c>
      <c r="D44" s="27" t="s">
        <v>3031</v>
      </c>
      <c r="E44" s="27"/>
      <c r="F44" s="1" t="str">
        <f>IF(INDEX(I.Facility.IDNumber,35)="","",INDEX(I.Facility.IDNumber,35))</f>
        <v/>
      </c>
      <c r="G44" s="27"/>
      <c r="H44" s="1" t="str">
        <f>IF(AND(I.Facility.FacilityCount&gt;=35,F44=""),"Incomplete","Complete")</f>
        <v>Complete</v>
      </c>
      <c r="I44" s="48" t="s">
        <v>665</v>
      </c>
      <c r="K44" s="26" t="s">
        <v>594</v>
      </c>
      <c r="L44" s="78" t="s">
        <v>3458</v>
      </c>
    </row>
    <row r="45" spans="2:17" ht="15" customHeight="1" x14ac:dyDescent="0.25">
      <c r="B45" s="26" t="s">
        <v>263</v>
      </c>
      <c r="C45" s="1">
        <v>36</v>
      </c>
      <c r="D45" s="27" t="s">
        <v>3031</v>
      </c>
      <c r="E45" s="27"/>
      <c r="F45" s="1" t="str">
        <f>IF(INDEX(I.Facility.IDNumber,36)="","",INDEX(I.Facility.IDNumber,36))</f>
        <v/>
      </c>
      <c r="G45" s="27"/>
      <c r="H45" s="1" t="str">
        <f>IF(AND(I.Facility.FacilityCount&gt;=36,F45=""),"Incomplete","Complete")</f>
        <v>Complete</v>
      </c>
      <c r="I45" s="48" t="s">
        <v>666</v>
      </c>
      <c r="K45" s="26" t="s">
        <v>595</v>
      </c>
      <c r="L45" s="78" t="s">
        <v>3459</v>
      </c>
    </row>
    <row r="46" spans="2:17" ht="15" customHeight="1" x14ac:dyDescent="0.25">
      <c r="B46" s="26" t="s">
        <v>263</v>
      </c>
      <c r="C46" s="1">
        <v>37</v>
      </c>
      <c r="D46" s="27" t="s">
        <v>3031</v>
      </c>
      <c r="E46" s="27"/>
      <c r="F46" s="1" t="str">
        <f>IF(INDEX(I.Facility.IDNumber,37)="","",INDEX(I.Facility.IDNumber,37))</f>
        <v/>
      </c>
      <c r="G46" s="27"/>
      <c r="H46" s="1" t="str">
        <f>IF(AND(I.Facility.FacilityCount&gt;=37,F46=""),"Incomplete","Complete")</f>
        <v>Complete</v>
      </c>
      <c r="I46" s="48" t="s">
        <v>667</v>
      </c>
      <c r="K46" s="26" t="s">
        <v>596</v>
      </c>
      <c r="L46" s="78" t="s">
        <v>3460</v>
      </c>
    </row>
    <row r="47" spans="2:17" ht="15" customHeight="1" x14ac:dyDescent="0.25">
      <c r="B47" s="26" t="s">
        <v>263</v>
      </c>
      <c r="C47" s="1">
        <v>38</v>
      </c>
      <c r="D47" s="27" t="s">
        <v>3031</v>
      </c>
      <c r="E47" s="27"/>
      <c r="F47" s="1" t="str">
        <f>IF(INDEX(I.Facility.IDNumber,38)="","",INDEX(I.Facility.IDNumber,38))</f>
        <v/>
      </c>
      <c r="G47" s="27"/>
      <c r="H47" s="1" t="str">
        <f>IF(AND(I.Facility.FacilityCount&gt;=38,F47=""),"Incomplete","Complete")</f>
        <v>Complete</v>
      </c>
      <c r="I47" s="48" t="s">
        <v>668</v>
      </c>
      <c r="K47" s="26" t="s">
        <v>597</v>
      </c>
      <c r="L47" s="78" t="s">
        <v>3461</v>
      </c>
    </row>
    <row r="48" spans="2:17" ht="15" customHeight="1" x14ac:dyDescent="0.25">
      <c r="B48" s="26" t="s">
        <v>263</v>
      </c>
      <c r="C48" s="1">
        <v>39</v>
      </c>
      <c r="D48" s="27" t="s">
        <v>3031</v>
      </c>
      <c r="E48" s="27"/>
      <c r="F48" s="1" t="str">
        <f>IF(INDEX(I.Facility.IDNumber,39)="","",INDEX(I.Facility.IDNumber,39))</f>
        <v/>
      </c>
      <c r="G48" s="27"/>
      <c r="H48" s="1" t="str">
        <f>IF(AND(I.Facility.FacilityCount&gt;=39,F48=""),"Incomplete","Complete")</f>
        <v>Complete</v>
      </c>
      <c r="I48" s="48" t="s">
        <v>669</v>
      </c>
      <c r="K48" s="26" t="s">
        <v>598</v>
      </c>
      <c r="L48" s="78" t="s">
        <v>3462</v>
      </c>
    </row>
    <row r="49" spans="2:12" ht="15" customHeight="1" x14ac:dyDescent="0.25">
      <c r="B49" s="26" t="s">
        <v>263</v>
      </c>
      <c r="C49" s="1">
        <v>40</v>
      </c>
      <c r="D49" s="27" t="s">
        <v>3031</v>
      </c>
      <c r="E49" s="27"/>
      <c r="F49" s="1" t="str">
        <f>IF(INDEX(I.Facility.IDNumber,40)="","",INDEX(I.Facility.IDNumber,40))</f>
        <v/>
      </c>
      <c r="G49" s="27"/>
      <c r="H49" s="1" t="str">
        <f>IF(AND(I.Facility.FacilityCount&gt;=40,F49=""),"Incomplete","Complete")</f>
        <v>Complete</v>
      </c>
      <c r="I49" s="48" t="s">
        <v>670</v>
      </c>
      <c r="K49" s="26" t="s">
        <v>599</v>
      </c>
      <c r="L49" s="78" t="s">
        <v>3463</v>
      </c>
    </row>
    <row r="50" spans="2:12" ht="15" customHeight="1" x14ac:dyDescent="0.25">
      <c r="B50" s="26" t="s">
        <v>263</v>
      </c>
      <c r="C50" s="1">
        <v>41</v>
      </c>
      <c r="D50" s="27" t="s">
        <v>3031</v>
      </c>
      <c r="E50" s="27"/>
      <c r="F50" s="1" t="str">
        <f>IF(INDEX(I.Facility.IDNumber,41)="","",INDEX(I.Facility.IDNumber,41))</f>
        <v/>
      </c>
      <c r="G50" s="27"/>
      <c r="H50" s="1" t="str">
        <f>IF(AND(I.Facility.FacilityCount&gt;=41,F50=""),"Incomplete","Complete")</f>
        <v>Complete</v>
      </c>
      <c r="I50" s="48" t="s">
        <v>671</v>
      </c>
      <c r="K50" s="34" t="s">
        <v>600</v>
      </c>
      <c r="L50" s="80" t="s">
        <v>3464</v>
      </c>
    </row>
    <row r="51" spans="2:12" ht="15" customHeight="1" x14ac:dyDescent="0.25">
      <c r="B51" s="26" t="s">
        <v>263</v>
      </c>
      <c r="C51" s="1">
        <v>42</v>
      </c>
      <c r="D51" s="27" t="s">
        <v>3031</v>
      </c>
      <c r="E51" s="27"/>
      <c r="F51" s="1" t="str">
        <f>IF(INDEX(I.Facility.IDNumber,42)="","",INDEX(I.Facility.IDNumber,42))</f>
        <v/>
      </c>
      <c r="G51" s="27"/>
      <c r="H51" s="1" t="str">
        <f>IF(AND(I.Facility.FacilityCount&gt;=42,F51=""),"Incomplete","Complete")</f>
        <v>Complete</v>
      </c>
      <c r="I51" s="48" t="s">
        <v>672</v>
      </c>
      <c r="K51" s="37" t="s">
        <v>601</v>
      </c>
      <c r="L51" s="78" t="s">
        <v>3465</v>
      </c>
    </row>
    <row r="52" spans="2:12" ht="15" customHeight="1" x14ac:dyDescent="0.25">
      <c r="B52" s="26" t="s">
        <v>263</v>
      </c>
      <c r="C52" s="1">
        <v>43</v>
      </c>
      <c r="D52" s="27" t="s">
        <v>3031</v>
      </c>
      <c r="E52" s="27"/>
      <c r="F52" s="1" t="str">
        <f>IF(INDEX(I.Facility.IDNumber,43)="","",INDEX(I.Facility.IDNumber,43))</f>
        <v/>
      </c>
      <c r="G52" s="27"/>
      <c r="H52" s="1" t="str">
        <f>IF(AND(I.Facility.FacilityCount&gt;=43,F52=""),"Incomplete","Complete")</f>
        <v>Complete</v>
      </c>
      <c r="I52" s="48" t="s">
        <v>673</v>
      </c>
      <c r="K52" s="26" t="s">
        <v>602</v>
      </c>
      <c r="L52" s="78" t="s">
        <v>3466</v>
      </c>
    </row>
    <row r="53" spans="2:12" ht="15" customHeight="1" x14ac:dyDescent="0.25">
      <c r="B53" s="26" t="s">
        <v>263</v>
      </c>
      <c r="C53" s="1">
        <v>44</v>
      </c>
      <c r="D53" s="27" t="s">
        <v>3031</v>
      </c>
      <c r="E53" s="27"/>
      <c r="F53" s="1" t="str">
        <f>IF(INDEX(I.Facility.IDNumber,44)="","",INDEX(I.Facility.IDNumber,44))</f>
        <v/>
      </c>
      <c r="G53" s="27"/>
      <c r="H53" s="1" t="str">
        <f>IF(AND(I.Facility.FacilityCount&gt;=44,F53=""),"Incomplete","Complete")</f>
        <v>Complete</v>
      </c>
      <c r="I53" s="48" t="s">
        <v>674</v>
      </c>
      <c r="K53" s="26" t="s">
        <v>603</v>
      </c>
      <c r="L53" s="78" t="s">
        <v>3467</v>
      </c>
    </row>
    <row r="54" spans="2:12" ht="15" customHeight="1" x14ac:dyDescent="0.25">
      <c r="B54" s="26" t="s">
        <v>263</v>
      </c>
      <c r="C54" s="1">
        <v>45</v>
      </c>
      <c r="D54" s="27" t="s">
        <v>3031</v>
      </c>
      <c r="E54" s="27"/>
      <c r="F54" s="1" t="str">
        <f>IF(INDEX(I.Facility.IDNumber,45)="","",INDEX(I.Facility.IDNumber,45))</f>
        <v/>
      </c>
      <c r="G54" s="27"/>
      <c r="H54" s="1" t="str">
        <f>IF(AND(I.Facility.FacilityCount&gt;=45,F54=""),"Incomplete","Complete")</f>
        <v>Complete</v>
      </c>
      <c r="I54" s="48" t="s">
        <v>675</v>
      </c>
      <c r="K54" s="26" t="s">
        <v>604</v>
      </c>
      <c r="L54" s="78" t="s">
        <v>3468</v>
      </c>
    </row>
    <row r="55" spans="2:12" ht="15" customHeight="1" x14ac:dyDescent="0.25">
      <c r="B55" s="26" t="s">
        <v>263</v>
      </c>
      <c r="C55" s="1">
        <v>46</v>
      </c>
      <c r="D55" s="27" t="s">
        <v>3031</v>
      </c>
      <c r="E55" s="27"/>
      <c r="F55" s="1" t="str">
        <f>IF(INDEX(I.Facility.IDNumber,46)="","",INDEX(I.Facility.IDNumber,46))</f>
        <v/>
      </c>
      <c r="G55" s="27"/>
      <c r="H55" s="1" t="str">
        <f>IF(AND(I.Facility.FacilityCount&gt;=46,F55=""),"Incomplete","Complete")</f>
        <v>Complete</v>
      </c>
      <c r="I55" s="48" t="s">
        <v>676</v>
      </c>
      <c r="K55" s="26" t="s">
        <v>605</v>
      </c>
      <c r="L55" s="78" t="s">
        <v>3469</v>
      </c>
    </row>
    <row r="56" spans="2:12" ht="15" customHeight="1" x14ac:dyDescent="0.25">
      <c r="B56" s="26" t="s">
        <v>263</v>
      </c>
      <c r="C56" s="1">
        <v>47</v>
      </c>
      <c r="D56" s="27" t="s">
        <v>3031</v>
      </c>
      <c r="E56" s="27"/>
      <c r="F56" s="1" t="str">
        <f>IF(INDEX(I.Facility.IDNumber,47)="","",INDEX(I.Facility.IDNumber,47))</f>
        <v/>
      </c>
      <c r="G56" s="27"/>
      <c r="H56" s="1" t="str">
        <f>IF(AND(I.Facility.FacilityCount&gt;=47,F56=""),"Incomplete","Complete")</f>
        <v>Complete</v>
      </c>
      <c r="I56" s="48" t="s">
        <v>677</v>
      </c>
      <c r="K56" s="26" t="s">
        <v>606</v>
      </c>
      <c r="L56" s="78" t="s">
        <v>3470</v>
      </c>
    </row>
    <row r="57" spans="2:12" ht="15" customHeight="1" x14ac:dyDescent="0.25">
      <c r="B57" s="26" t="s">
        <v>263</v>
      </c>
      <c r="C57" s="1">
        <v>48</v>
      </c>
      <c r="D57" s="27" t="s">
        <v>3031</v>
      </c>
      <c r="E57" s="27"/>
      <c r="F57" s="1" t="str">
        <f>IF(INDEX(I.Facility.IDNumber,48)="","",INDEX(I.Facility.IDNumber,48))</f>
        <v/>
      </c>
      <c r="G57" s="27"/>
      <c r="H57" s="1" t="str">
        <f>IF(AND(I.Facility.FacilityCount&gt;=48,F57=""),"Incomplete","Complete")</f>
        <v>Complete</v>
      </c>
      <c r="I57" s="48" t="s">
        <v>678</v>
      </c>
      <c r="K57" s="26" t="s">
        <v>607</v>
      </c>
      <c r="L57" s="78" t="s">
        <v>3471</v>
      </c>
    </row>
    <row r="58" spans="2:12" ht="15" customHeight="1" x14ac:dyDescent="0.25">
      <c r="B58" s="26" t="s">
        <v>263</v>
      </c>
      <c r="C58" s="1">
        <v>49</v>
      </c>
      <c r="D58" s="27" t="s">
        <v>3031</v>
      </c>
      <c r="E58" s="27"/>
      <c r="F58" s="1" t="str">
        <f>IF(INDEX(I.Facility.IDNumber,49)="","",INDEX(I.Facility.IDNumber,49))</f>
        <v/>
      </c>
      <c r="G58" s="27"/>
      <c r="H58" s="1" t="str">
        <f>IF(AND(I.Facility.FacilityCount&gt;=49,F58=""),"Incomplete","Complete")</f>
        <v>Complete</v>
      </c>
      <c r="I58" s="48" t="s">
        <v>679</v>
      </c>
      <c r="K58" s="26" t="s">
        <v>608</v>
      </c>
      <c r="L58" s="78" t="s">
        <v>3472</v>
      </c>
    </row>
    <row r="59" spans="2:12" ht="15" customHeight="1" x14ac:dyDescent="0.25">
      <c r="B59" s="26" t="s">
        <v>263</v>
      </c>
      <c r="C59" s="1">
        <v>50</v>
      </c>
      <c r="D59" s="27" t="s">
        <v>3031</v>
      </c>
      <c r="E59" s="27"/>
      <c r="F59" s="1" t="str">
        <f>IF(INDEX(I.Facility.IDNumber,50)="","",INDEX(I.Facility.IDNumber,50))</f>
        <v/>
      </c>
      <c r="G59" s="27"/>
      <c r="H59" s="1" t="str">
        <f>IF(AND(I.Facility.FacilityCount&gt;=50,F59=""),"Incomplete","Complete")</f>
        <v>Complete</v>
      </c>
      <c r="I59" s="48" t="s">
        <v>680</v>
      </c>
      <c r="K59" s="26" t="s">
        <v>609</v>
      </c>
      <c r="L59" s="78" t="s">
        <v>3473</v>
      </c>
    </row>
    <row r="60" spans="2:12" ht="15" customHeight="1" x14ac:dyDescent="0.25">
      <c r="B60" s="26" t="s">
        <v>263</v>
      </c>
      <c r="C60" s="1">
        <v>51</v>
      </c>
      <c r="D60" s="27" t="s">
        <v>3031</v>
      </c>
      <c r="E60" s="27"/>
      <c r="F60" s="1" t="str">
        <f>IF(INDEX(I.Facility.IDNumber,51)="","",INDEX(I.Facility.IDNumber,51))</f>
        <v/>
      </c>
      <c r="G60" s="27"/>
      <c r="H60" s="1" t="str">
        <f>IF(AND(I.Facility.FacilityCount&gt;=51,F60=""),"Incomplete","Complete")</f>
        <v>Complete</v>
      </c>
      <c r="I60" s="48" t="s">
        <v>681</v>
      </c>
      <c r="K60" s="34" t="s">
        <v>610</v>
      </c>
      <c r="L60" s="80" t="s">
        <v>3474</v>
      </c>
    </row>
    <row r="61" spans="2:12" ht="15" customHeight="1" x14ac:dyDescent="0.25">
      <c r="B61" s="26" t="s">
        <v>263</v>
      </c>
      <c r="C61" s="1">
        <v>52</v>
      </c>
      <c r="D61" s="27" t="s">
        <v>3031</v>
      </c>
      <c r="E61" s="27"/>
      <c r="F61" s="1" t="str">
        <f>IF(INDEX(I.Facility.IDNumber,52)="","",INDEX(I.Facility.IDNumber,52))</f>
        <v/>
      </c>
      <c r="G61" s="27"/>
      <c r="H61" s="1" t="str">
        <f>IF(AND(I.Facility.FacilityCount&gt;=52,F61=""),"Incomplete","Complete")</f>
        <v>Complete</v>
      </c>
      <c r="I61" s="48" t="s">
        <v>682</v>
      </c>
      <c r="K61" s="37" t="s">
        <v>611</v>
      </c>
      <c r="L61" s="78" t="s">
        <v>3475</v>
      </c>
    </row>
    <row r="62" spans="2:12" ht="15" customHeight="1" x14ac:dyDescent="0.25">
      <c r="B62" s="26" t="s">
        <v>263</v>
      </c>
      <c r="C62" s="1">
        <v>53</v>
      </c>
      <c r="D62" s="27" t="s">
        <v>3031</v>
      </c>
      <c r="E62" s="27"/>
      <c r="F62" s="1" t="str">
        <f>IF(INDEX(I.Facility.IDNumber,53)="","",INDEX(I.Facility.IDNumber,53))</f>
        <v/>
      </c>
      <c r="G62" s="27"/>
      <c r="H62" s="1" t="str">
        <f>IF(AND(I.Facility.FacilityCount&gt;=53,F62=""),"Incomplete","Complete")</f>
        <v>Complete</v>
      </c>
      <c r="I62" s="48" t="s">
        <v>683</v>
      </c>
      <c r="K62" s="26" t="s">
        <v>1161</v>
      </c>
      <c r="L62" s="78" t="s">
        <v>3476</v>
      </c>
    </row>
    <row r="63" spans="2:12" ht="15" customHeight="1" x14ac:dyDescent="0.25">
      <c r="B63" s="26" t="s">
        <v>263</v>
      </c>
      <c r="C63" s="1">
        <v>54</v>
      </c>
      <c r="D63" s="27" t="s">
        <v>3031</v>
      </c>
      <c r="E63" s="27"/>
      <c r="F63" s="1" t="str">
        <f>IF(INDEX(I.Facility.IDNumber,54)="","",INDEX(I.Facility.IDNumber,54))</f>
        <v/>
      </c>
      <c r="G63" s="27"/>
      <c r="H63" s="1" t="str">
        <f>IF(AND(I.Facility.FacilityCount&gt;=54,F63=""),"Incomplete","Complete")</f>
        <v>Complete</v>
      </c>
      <c r="I63" s="48" t="s">
        <v>684</v>
      </c>
      <c r="K63" s="26" t="s">
        <v>1162</v>
      </c>
      <c r="L63" s="78" t="s">
        <v>3477</v>
      </c>
    </row>
    <row r="64" spans="2:12" ht="15" customHeight="1" x14ac:dyDescent="0.25">
      <c r="B64" s="26" t="s">
        <v>263</v>
      </c>
      <c r="C64" s="1">
        <v>55</v>
      </c>
      <c r="D64" s="27" t="s">
        <v>3031</v>
      </c>
      <c r="E64" s="27"/>
      <c r="F64" s="1" t="str">
        <f>IF(INDEX(I.Facility.IDNumber,55)="","",INDEX(I.Facility.IDNumber,55))</f>
        <v/>
      </c>
      <c r="G64" s="27"/>
      <c r="H64" s="1" t="str">
        <f>IF(AND(I.Facility.FacilityCount&gt;=55,F64=""),"Incomplete","Complete")</f>
        <v>Complete</v>
      </c>
      <c r="I64" s="48" t="s">
        <v>685</v>
      </c>
      <c r="K64" s="26" t="s">
        <v>1163</v>
      </c>
      <c r="L64" s="78" t="s">
        <v>3478</v>
      </c>
    </row>
    <row r="65" spans="2:12" ht="15" customHeight="1" x14ac:dyDescent="0.25">
      <c r="B65" s="26" t="s">
        <v>263</v>
      </c>
      <c r="C65" s="1">
        <v>56</v>
      </c>
      <c r="D65" s="27" t="s">
        <v>3031</v>
      </c>
      <c r="E65" s="27"/>
      <c r="F65" s="1" t="str">
        <f>IF(INDEX(I.Facility.IDNumber,56)="","",INDEX(I.Facility.IDNumber,56))</f>
        <v/>
      </c>
      <c r="G65" s="27"/>
      <c r="H65" s="1" t="str">
        <f>IF(AND(I.Facility.FacilityCount&gt;=56,F65=""),"Incomplete","Complete")</f>
        <v>Complete</v>
      </c>
      <c r="I65" s="48" t="s">
        <v>686</v>
      </c>
      <c r="K65" s="26" t="s">
        <v>1164</v>
      </c>
      <c r="L65" s="78" t="s">
        <v>3479</v>
      </c>
    </row>
    <row r="66" spans="2:12" ht="15" customHeight="1" x14ac:dyDescent="0.25">
      <c r="B66" s="26" t="s">
        <v>263</v>
      </c>
      <c r="C66" s="1">
        <v>57</v>
      </c>
      <c r="D66" s="27" t="s">
        <v>3031</v>
      </c>
      <c r="E66" s="27"/>
      <c r="F66" s="1" t="str">
        <f>IF(INDEX(I.Facility.IDNumber,57)="","",INDEX(I.Facility.IDNumber,57))</f>
        <v/>
      </c>
      <c r="G66" s="27"/>
      <c r="H66" s="1" t="str">
        <f>IF(AND(I.Facility.FacilityCount&gt;=57,F66=""),"Incomplete","Complete")</f>
        <v>Complete</v>
      </c>
      <c r="I66" s="48" t="s">
        <v>687</v>
      </c>
      <c r="K66" s="26" t="s">
        <v>1165</v>
      </c>
      <c r="L66" s="78" t="s">
        <v>3480</v>
      </c>
    </row>
    <row r="67" spans="2:12" ht="15" customHeight="1" x14ac:dyDescent="0.25">
      <c r="B67" s="26" t="s">
        <v>263</v>
      </c>
      <c r="C67" s="1">
        <v>58</v>
      </c>
      <c r="D67" s="27" t="s">
        <v>3031</v>
      </c>
      <c r="E67" s="27"/>
      <c r="F67" s="1" t="str">
        <f>IF(INDEX(I.Facility.IDNumber,58)="","",INDEX(I.Facility.IDNumber,58))</f>
        <v/>
      </c>
      <c r="G67" s="27"/>
      <c r="H67" s="1" t="str">
        <f>IF(AND(I.Facility.FacilityCount&gt;=58,F67=""),"Incomplete","Complete")</f>
        <v>Complete</v>
      </c>
      <c r="I67" s="48" t="s">
        <v>688</v>
      </c>
      <c r="K67" s="26" t="s">
        <v>1166</v>
      </c>
      <c r="L67" s="78" t="s">
        <v>3481</v>
      </c>
    </row>
    <row r="68" spans="2:12" ht="15" customHeight="1" x14ac:dyDescent="0.25">
      <c r="B68" s="26" t="s">
        <v>263</v>
      </c>
      <c r="C68" s="1">
        <v>59</v>
      </c>
      <c r="D68" s="27" t="s">
        <v>3031</v>
      </c>
      <c r="E68" s="27"/>
      <c r="F68" s="1" t="str">
        <f>IF(INDEX(I.Facility.IDNumber,59)="","",INDEX(I.Facility.IDNumber,59))</f>
        <v/>
      </c>
      <c r="G68" s="27"/>
      <c r="H68" s="1" t="str">
        <f>IF(AND(I.Facility.FacilityCount&gt;=59,F68=""),"Incomplete","Complete")</f>
        <v>Complete</v>
      </c>
      <c r="I68" s="48" t="s">
        <v>689</v>
      </c>
      <c r="K68" s="26" t="s">
        <v>1167</v>
      </c>
      <c r="L68" s="78" t="s">
        <v>3482</v>
      </c>
    </row>
    <row r="69" spans="2:12" ht="15" customHeight="1" x14ac:dyDescent="0.25">
      <c r="B69" s="26" t="s">
        <v>263</v>
      </c>
      <c r="C69" s="1">
        <v>60</v>
      </c>
      <c r="D69" s="27" t="s">
        <v>3031</v>
      </c>
      <c r="E69" s="27"/>
      <c r="F69" s="1" t="str">
        <f>IF(INDEX(I.Facility.IDNumber,60)="","",INDEX(I.Facility.IDNumber,60))</f>
        <v/>
      </c>
      <c r="G69" s="27"/>
      <c r="H69" s="1" t="str">
        <f>IF(AND(I.Facility.FacilityCount&gt;=60,F69=""),"Incomplete","Complete")</f>
        <v>Complete</v>
      </c>
      <c r="I69" s="48" t="s">
        <v>690</v>
      </c>
      <c r="K69" s="26" t="s">
        <v>1168</v>
      </c>
      <c r="L69" s="78" t="s">
        <v>3483</v>
      </c>
    </row>
    <row r="70" spans="2:12" ht="15" customHeight="1" x14ac:dyDescent="0.25">
      <c r="B70" s="26" t="s">
        <v>263</v>
      </c>
      <c r="C70" s="1">
        <v>61</v>
      </c>
      <c r="D70" s="27" t="s">
        <v>3031</v>
      </c>
      <c r="E70" s="27"/>
      <c r="F70" s="1" t="str">
        <f>IF(INDEX(I.Facility.IDNumber,61)="","",INDEX(I.Facility.IDNumber,61))</f>
        <v/>
      </c>
      <c r="G70" s="27"/>
      <c r="H70" s="1" t="str">
        <f>IF(AND(I.Facility.FacilityCount&gt;=61,F70=""),"Incomplete","Complete")</f>
        <v>Complete</v>
      </c>
      <c r="I70" s="48" t="s">
        <v>691</v>
      </c>
      <c r="K70" s="34" t="s">
        <v>1169</v>
      </c>
      <c r="L70" s="80" t="s">
        <v>3484</v>
      </c>
    </row>
    <row r="71" spans="2:12" ht="15" customHeight="1" x14ac:dyDescent="0.25">
      <c r="B71" s="26" t="s">
        <v>263</v>
      </c>
      <c r="C71" s="1">
        <v>62</v>
      </c>
      <c r="D71" s="27" t="s">
        <v>3031</v>
      </c>
      <c r="E71" s="27"/>
      <c r="F71" s="1" t="str">
        <f>IF(INDEX(I.Facility.IDNumber,62)="","",INDEX(I.Facility.IDNumber,62))</f>
        <v/>
      </c>
      <c r="G71" s="27"/>
      <c r="H71" s="1" t="str">
        <f>IF(AND(I.Facility.FacilityCount&gt;=62,F71=""),"Incomplete","Complete")</f>
        <v>Complete</v>
      </c>
      <c r="I71" s="48" t="s">
        <v>692</v>
      </c>
      <c r="K71" s="37" t="s">
        <v>612</v>
      </c>
      <c r="L71" s="78" t="s">
        <v>3485</v>
      </c>
    </row>
    <row r="72" spans="2:12" ht="15" customHeight="1" x14ac:dyDescent="0.25">
      <c r="B72" s="26" t="s">
        <v>263</v>
      </c>
      <c r="C72" s="1">
        <v>63</v>
      </c>
      <c r="D72" s="27" t="s">
        <v>3031</v>
      </c>
      <c r="E72" s="27"/>
      <c r="F72" s="1" t="str">
        <f>IF(INDEX(I.Facility.IDNumber,63)="","",INDEX(I.Facility.IDNumber,63))</f>
        <v/>
      </c>
      <c r="G72" s="27"/>
      <c r="H72" s="1" t="str">
        <f>IF(AND(I.Facility.FacilityCount&gt;=63,F72=""),"Incomplete","Complete")</f>
        <v>Complete</v>
      </c>
      <c r="I72" s="48" t="s">
        <v>693</v>
      </c>
      <c r="K72" s="26" t="s">
        <v>1170</v>
      </c>
      <c r="L72" s="78" t="s">
        <v>3486</v>
      </c>
    </row>
    <row r="73" spans="2:12" ht="15" customHeight="1" x14ac:dyDescent="0.25">
      <c r="B73" s="26" t="s">
        <v>263</v>
      </c>
      <c r="C73" s="1">
        <v>64</v>
      </c>
      <c r="D73" s="27" t="s">
        <v>3031</v>
      </c>
      <c r="E73" s="27"/>
      <c r="F73" s="1" t="str">
        <f>IF(INDEX(I.Facility.IDNumber,64)="","",INDEX(I.Facility.IDNumber,64))</f>
        <v/>
      </c>
      <c r="G73" s="27"/>
      <c r="H73" s="1" t="str">
        <f>IF(AND(I.Facility.FacilityCount&gt;=64,F73=""),"Incomplete","Complete")</f>
        <v>Complete</v>
      </c>
      <c r="I73" s="48" t="s">
        <v>694</v>
      </c>
      <c r="K73" s="26" t="s">
        <v>1171</v>
      </c>
      <c r="L73" s="78" t="s">
        <v>3487</v>
      </c>
    </row>
    <row r="74" spans="2:12" ht="15" customHeight="1" x14ac:dyDescent="0.25">
      <c r="B74" s="26" t="s">
        <v>263</v>
      </c>
      <c r="C74" s="1">
        <v>65</v>
      </c>
      <c r="D74" s="27" t="s">
        <v>3031</v>
      </c>
      <c r="E74" s="27"/>
      <c r="F74" s="1" t="str">
        <f>IF(INDEX(I.Facility.IDNumber,65)="","",INDEX(I.Facility.IDNumber,65))</f>
        <v/>
      </c>
      <c r="G74" s="27"/>
      <c r="H74" s="1" t="str">
        <f>IF(AND(I.Facility.FacilityCount&gt;=65,F74=""),"Incomplete","Complete")</f>
        <v>Complete</v>
      </c>
      <c r="I74" s="48" t="s">
        <v>695</v>
      </c>
      <c r="K74" s="26" t="s">
        <v>1172</v>
      </c>
      <c r="L74" s="78" t="s">
        <v>3488</v>
      </c>
    </row>
    <row r="75" spans="2:12" ht="15" customHeight="1" x14ac:dyDescent="0.25">
      <c r="B75" s="26" t="s">
        <v>263</v>
      </c>
      <c r="C75" s="1">
        <v>66</v>
      </c>
      <c r="D75" s="27" t="s">
        <v>3031</v>
      </c>
      <c r="E75" s="27"/>
      <c r="F75" s="1" t="str">
        <f>IF(INDEX(I.Facility.IDNumber,66)="","",INDEX(I.Facility.IDNumber,66))</f>
        <v/>
      </c>
      <c r="G75" s="27"/>
      <c r="H75" s="1" t="str">
        <f>IF(AND(I.Facility.FacilityCount&gt;=66,F75=""),"Incomplete","Complete")</f>
        <v>Complete</v>
      </c>
      <c r="I75" s="48" t="s">
        <v>696</v>
      </c>
      <c r="K75" s="26" t="s">
        <v>1173</v>
      </c>
      <c r="L75" s="78" t="s">
        <v>3489</v>
      </c>
    </row>
    <row r="76" spans="2:12" ht="15" customHeight="1" x14ac:dyDescent="0.25">
      <c r="B76" s="26" t="s">
        <v>263</v>
      </c>
      <c r="C76" s="1">
        <v>67</v>
      </c>
      <c r="D76" s="27" t="s">
        <v>3031</v>
      </c>
      <c r="E76" s="27"/>
      <c r="F76" s="1" t="str">
        <f>IF(INDEX(I.Facility.IDNumber,67)="","",INDEX(I.Facility.IDNumber,67))</f>
        <v/>
      </c>
      <c r="G76" s="27"/>
      <c r="H76" s="1" t="str">
        <f>IF(AND(I.Facility.FacilityCount&gt;=67,F76=""),"Incomplete","Complete")</f>
        <v>Complete</v>
      </c>
      <c r="I76" s="48" t="s">
        <v>697</v>
      </c>
      <c r="K76" s="26" t="s">
        <v>1174</v>
      </c>
      <c r="L76" s="78" t="s">
        <v>3490</v>
      </c>
    </row>
    <row r="77" spans="2:12" ht="15" customHeight="1" x14ac:dyDescent="0.25">
      <c r="B77" s="26" t="s">
        <v>263</v>
      </c>
      <c r="C77" s="1">
        <v>68</v>
      </c>
      <c r="D77" s="27" t="s">
        <v>3031</v>
      </c>
      <c r="E77" s="27"/>
      <c r="F77" s="1" t="str">
        <f>IF(INDEX(I.Facility.IDNumber,68)="","",INDEX(I.Facility.IDNumber,68))</f>
        <v/>
      </c>
      <c r="G77" s="27"/>
      <c r="H77" s="1" t="str">
        <f>IF(AND(I.Facility.FacilityCount&gt;=68,F77=""),"Incomplete","Complete")</f>
        <v>Complete</v>
      </c>
      <c r="I77" s="48" t="s">
        <v>698</v>
      </c>
      <c r="K77" s="26" t="s">
        <v>1175</v>
      </c>
      <c r="L77" s="78" t="s">
        <v>3491</v>
      </c>
    </row>
    <row r="78" spans="2:12" ht="15" customHeight="1" x14ac:dyDescent="0.25">
      <c r="B78" s="26" t="s">
        <v>263</v>
      </c>
      <c r="C78" s="1">
        <v>69</v>
      </c>
      <c r="D78" s="27" t="s">
        <v>3031</v>
      </c>
      <c r="E78" s="27"/>
      <c r="F78" s="1" t="str">
        <f>IF(INDEX(I.Facility.IDNumber,69)="","",INDEX(I.Facility.IDNumber,69))</f>
        <v/>
      </c>
      <c r="G78" s="27"/>
      <c r="H78" s="1" t="str">
        <f>IF(AND(I.Facility.FacilityCount&gt;=69,F78=""),"Incomplete","Complete")</f>
        <v>Complete</v>
      </c>
      <c r="I78" s="48" t="s">
        <v>699</v>
      </c>
      <c r="K78" s="26" t="s">
        <v>1176</v>
      </c>
      <c r="L78" s="78" t="s">
        <v>3492</v>
      </c>
    </row>
    <row r="79" spans="2:12" ht="15" customHeight="1" x14ac:dyDescent="0.25">
      <c r="B79" s="26" t="s">
        <v>263</v>
      </c>
      <c r="C79" s="1">
        <v>70</v>
      </c>
      <c r="D79" s="27" t="s">
        <v>3031</v>
      </c>
      <c r="E79" s="27"/>
      <c r="F79" s="1" t="str">
        <f>IF(INDEX(I.Facility.IDNumber,70)="","",INDEX(I.Facility.IDNumber,70))</f>
        <v/>
      </c>
      <c r="G79" s="27"/>
      <c r="H79" s="1" t="str">
        <f>IF(AND(I.Facility.FacilityCount&gt;=70,F79=""),"Incomplete","Complete")</f>
        <v>Complete</v>
      </c>
      <c r="I79" s="48" t="s">
        <v>700</v>
      </c>
      <c r="K79" s="26" t="s">
        <v>1177</v>
      </c>
      <c r="L79" s="78" t="s">
        <v>3493</v>
      </c>
    </row>
    <row r="80" spans="2:12" ht="15" customHeight="1" x14ac:dyDescent="0.25">
      <c r="B80" s="26" t="s">
        <v>263</v>
      </c>
      <c r="C80" s="1">
        <v>71</v>
      </c>
      <c r="D80" s="27" t="s">
        <v>3031</v>
      </c>
      <c r="E80" s="27"/>
      <c r="F80" s="1" t="str">
        <f>IF(INDEX(I.Facility.IDNumber,71)="","",INDEX(I.Facility.IDNumber,71))</f>
        <v/>
      </c>
      <c r="G80" s="27"/>
      <c r="H80" s="1" t="str">
        <f>IF(AND(I.Facility.FacilityCount&gt;=71,F80=""),"Incomplete","Complete")</f>
        <v>Complete</v>
      </c>
      <c r="I80" s="48" t="s">
        <v>701</v>
      </c>
      <c r="K80" s="34" t="s">
        <v>1178</v>
      </c>
      <c r="L80" s="80" t="s">
        <v>3494</v>
      </c>
    </row>
    <row r="81" spans="2:12" ht="15" customHeight="1" x14ac:dyDescent="0.25">
      <c r="B81" s="26" t="s">
        <v>263</v>
      </c>
      <c r="C81" s="1">
        <v>72</v>
      </c>
      <c r="D81" s="27" t="s">
        <v>3031</v>
      </c>
      <c r="E81" s="27"/>
      <c r="F81" s="1" t="str">
        <f>IF(INDEX(I.Facility.IDNumber,72)="","",INDEX(I.Facility.IDNumber,72))</f>
        <v/>
      </c>
      <c r="G81" s="27"/>
      <c r="H81" s="1" t="str">
        <f>IF(AND(I.Facility.FacilityCount&gt;=72,F81=""),"Incomplete","Complete")</f>
        <v>Complete</v>
      </c>
      <c r="I81" s="48" t="s">
        <v>702</v>
      </c>
      <c r="K81" s="37" t="s">
        <v>613</v>
      </c>
      <c r="L81" s="78" t="s">
        <v>3495</v>
      </c>
    </row>
    <row r="82" spans="2:12" ht="15" customHeight="1" x14ac:dyDescent="0.25">
      <c r="B82" s="26" t="s">
        <v>263</v>
      </c>
      <c r="C82" s="1">
        <v>73</v>
      </c>
      <c r="D82" s="27" t="s">
        <v>3031</v>
      </c>
      <c r="E82" s="27"/>
      <c r="F82" s="1" t="str">
        <f>IF(INDEX(I.Facility.IDNumber,73)="","",INDEX(I.Facility.IDNumber,73))</f>
        <v/>
      </c>
      <c r="G82" s="27"/>
      <c r="H82" s="1" t="str">
        <f>IF(AND(I.Facility.FacilityCount&gt;=73,F82=""),"Incomplete","Complete")</f>
        <v>Complete</v>
      </c>
      <c r="I82" s="48" t="s">
        <v>703</v>
      </c>
      <c r="K82" s="26" t="s">
        <v>1179</v>
      </c>
      <c r="L82" s="78" t="s">
        <v>3496</v>
      </c>
    </row>
    <row r="83" spans="2:12" ht="15" customHeight="1" x14ac:dyDescent="0.25">
      <c r="B83" s="26" t="s">
        <v>263</v>
      </c>
      <c r="C83" s="1">
        <v>74</v>
      </c>
      <c r="D83" s="27" t="s">
        <v>3031</v>
      </c>
      <c r="E83" s="27"/>
      <c r="F83" s="1" t="str">
        <f>IF(INDEX(I.Facility.IDNumber,74)="","",INDEX(I.Facility.IDNumber,74))</f>
        <v/>
      </c>
      <c r="G83" s="27"/>
      <c r="H83" s="1" t="str">
        <f>IF(AND(I.Facility.FacilityCount&gt;=74,F83=""),"Incomplete","Complete")</f>
        <v>Complete</v>
      </c>
      <c r="I83" s="48" t="s">
        <v>704</v>
      </c>
      <c r="K83" s="26" t="s">
        <v>1180</v>
      </c>
      <c r="L83" s="78" t="s">
        <v>3497</v>
      </c>
    </row>
    <row r="84" spans="2:12" ht="15" customHeight="1" x14ac:dyDescent="0.25">
      <c r="B84" s="26" t="s">
        <v>263</v>
      </c>
      <c r="C84" s="1">
        <v>75</v>
      </c>
      <c r="D84" s="27" t="s">
        <v>3031</v>
      </c>
      <c r="E84" s="27"/>
      <c r="F84" s="1" t="str">
        <f>IF(INDEX(I.Facility.IDNumber,75)="","",INDEX(I.Facility.IDNumber,75))</f>
        <v/>
      </c>
      <c r="G84" s="27"/>
      <c r="H84" s="1" t="str">
        <f>IF(AND(I.Facility.FacilityCount&gt;=75,F84=""),"Incomplete","Complete")</f>
        <v>Complete</v>
      </c>
      <c r="I84" s="48" t="s">
        <v>705</v>
      </c>
      <c r="K84" s="26" t="s">
        <v>1181</v>
      </c>
      <c r="L84" s="78" t="s">
        <v>3498</v>
      </c>
    </row>
    <row r="85" spans="2:12" ht="15" customHeight="1" x14ac:dyDescent="0.25">
      <c r="B85" s="26" t="s">
        <v>263</v>
      </c>
      <c r="C85" s="1">
        <v>76</v>
      </c>
      <c r="D85" s="27" t="s">
        <v>3031</v>
      </c>
      <c r="E85" s="27"/>
      <c r="F85" s="1" t="str">
        <f>IF(INDEX(I.Facility.IDNumber,76)="","",INDEX(I.Facility.IDNumber,76))</f>
        <v/>
      </c>
      <c r="G85" s="27"/>
      <c r="H85" s="1" t="str">
        <f>IF(AND(I.Facility.FacilityCount&gt;=76,F85=""),"Incomplete","Complete")</f>
        <v>Complete</v>
      </c>
      <c r="I85" s="48" t="s">
        <v>706</v>
      </c>
      <c r="K85" s="26" t="s">
        <v>1182</v>
      </c>
      <c r="L85" s="78" t="s">
        <v>3499</v>
      </c>
    </row>
    <row r="86" spans="2:12" ht="15" customHeight="1" x14ac:dyDescent="0.25">
      <c r="B86" s="26" t="s">
        <v>263</v>
      </c>
      <c r="C86" s="1">
        <v>77</v>
      </c>
      <c r="D86" s="27" t="s">
        <v>3031</v>
      </c>
      <c r="E86" s="27"/>
      <c r="F86" s="1" t="str">
        <f>IF(INDEX(I.Facility.IDNumber,77)="","",INDEX(I.Facility.IDNumber,77))</f>
        <v/>
      </c>
      <c r="G86" s="27"/>
      <c r="H86" s="1" t="str">
        <f>IF(AND(I.Facility.FacilityCount&gt;=77,F86=""),"Incomplete","Complete")</f>
        <v>Complete</v>
      </c>
      <c r="I86" s="48" t="s">
        <v>707</v>
      </c>
      <c r="K86" s="26" t="s">
        <v>1183</v>
      </c>
      <c r="L86" s="78" t="s">
        <v>3500</v>
      </c>
    </row>
    <row r="87" spans="2:12" ht="15" customHeight="1" x14ac:dyDescent="0.25">
      <c r="B87" s="26" t="s">
        <v>263</v>
      </c>
      <c r="C87" s="1">
        <v>78</v>
      </c>
      <c r="D87" s="27" t="s">
        <v>3031</v>
      </c>
      <c r="E87" s="27"/>
      <c r="F87" s="1" t="str">
        <f>IF(INDEX(I.Facility.IDNumber,78)="","",INDEX(I.Facility.IDNumber,78))</f>
        <v/>
      </c>
      <c r="G87" s="27"/>
      <c r="H87" s="1" t="str">
        <f>IF(AND(I.Facility.FacilityCount&gt;=78,F87=""),"Incomplete","Complete")</f>
        <v>Complete</v>
      </c>
      <c r="I87" s="48" t="s">
        <v>708</v>
      </c>
      <c r="K87" s="26" t="s">
        <v>1184</v>
      </c>
      <c r="L87" s="78" t="s">
        <v>3501</v>
      </c>
    </row>
    <row r="88" spans="2:12" ht="15" customHeight="1" x14ac:dyDescent="0.25">
      <c r="B88" s="26" t="s">
        <v>263</v>
      </c>
      <c r="C88" s="1">
        <v>79</v>
      </c>
      <c r="D88" s="27" t="s">
        <v>3031</v>
      </c>
      <c r="E88" s="27"/>
      <c r="F88" s="1" t="str">
        <f>IF(INDEX(I.Facility.IDNumber,79)="","",INDEX(I.Facility.IDNumber,79))</f>
        <v/>
      </c>
      <c r="G88" s="27"/>
      <c r="H88" s="1" t="str">
        <f>IF(AND(I.Facility.FacilityCount&gt;=79,F88=""),"Incomplete","Complete")</f>
        <v>Complete</v>
      </c>
      <c r="I88" s="48" t="s">
        <v>709</v>
      </c>
      <c r="K88" s="26" t="s">
        <v>1185</v>
      </c>
      <c r="L88" s="78" t="s">
        <v>3502</v>
      </c>
    </row>
    <row r="89" spans="2:12" ht="15" customHeight="1" x14ac:dyDescent="0.25">
      <c r="B89" s="26" t="s">
        <v>263</v>
      </c>
      <c r="C89" s="1">
        <v>80</v>
      </c>
      <c r="D89" s="27" t="s">
        <v>3031</v>
      </c>
      <c r="E89" s="27"/>
      <c r="F89" s="1" t="str">
        <f>IF(INDEX(I.Facility.IDNumber,80)="","",INDEX(I.Facility.IDNumber,80))</f>
        <v/>
      </c>
      <c r="G89" s="27"/>
      <c r="H89" s="1" t="str">
        <f>IF(AND(I.Facility.FacilityCount&gt;=80,F89=""),"Incomplete","Complete")</f>
        <v>Complete</v>
      </c>
      <c r="I89" s="48" t="s">
        <v>710</v>
      </c>
      <c r="K89" s="26" t="s">
        <v>1186</v>
      </c>
      <c r="L89" s="78" t="s">
        <v>3503</v>
      </c>
    </row>
    <row r="90" spans="2:12" ht="15" customHeight="1" x14ac:dyDescent="0.25">
      <c r="B90" s="26" t="s">
        <v>263</v>
      </c>
      <c r="C90" s="1">
        <v>81</v>
      </c>
      <c r="D90" s="27" t="s">
        <v>3031</v>
      </c>
      <c r="E90" s="27"/>
      <c r="F90" s="1" t="str">
        <f>IF(INDEX(I.Facility.IDNumber,81)="","",INDEX(I.Facility.IDNumber,81))</f>
        <v/>
      </c>
      <c r="G90" s="27"/>
      <c r="H90" s="1" t="str">
        <f>IF(AND(I.Facility.FacilityCount&gt;=81,F90=""),"Incomplete","Complete")</f>
        <v>Complete</v>
      </c>
      <c r="I90" s="48" t="s">
        <v>711</v>
      </c>
      <c r="K90" s="34" t="s">
        <v>1187</v>
      </c>
      <c r="L90" s="80" t="s">
        <v>3504</v>
      </c>
    </row>
    <row r="91" spans="2:12" ht="15" customHeight="1" x14ac:dyDescent="0.25">
      <c r="B91" s="26" t="s">
        <v>263</v>
      </c>
      <c r="C91" s="1">
        <v>82</v>
      </c>
      <c r="D91" s="27" t="s">
        <v>3031</v>
      </c>
      <c r="E91" s="27"/>
      <c r="F91" s="1" t="str">
        <f>IF(INDEX(I.Facility.IDNumber,82)="","",INDEX(I.Facility.IDNumber,82))</f>
        <v/>
      </c>
      <c r="G91" s="27"/>
      <c r="H91" s="1" t="str">
        <f>IF(AND(I.Facility.FacilityCount&gt;=82,F91=""),"Incomplete","Complete")</f>
        <v>Complete</v>
      </c>
      <c r="I91" s="48" t="s">
        <v>712</v>
      </c>
      <c r="K91" s="37" t="s">
        <v>614</v>
      </c>
      <c r="L91" s="78" t="s">
        <v>3505</v>
      </c>
    </row>
    <row r="92" spans="2:12" ht="15" customHeight="1" x14ac:dyDescent="0.25">
      <c r="B92" s="26" t="s">
        <v>263</v>
      </c>
      <c r="C92" s="1">
        <v>83</v>
      </c>
      <c r="D92" s="27" t="s">
        <v>3031</v>
      </c>
      <c r="E92" s="27"/>
      <c r="F92" s="1" t="str">
        <f>IF(INDEX(I.Facility.IDNumber,83)="","",INDEX(I.Facility.IDNumber,83))</f>
        <v/>
      </c>
      <c r="G92" s="27"/>
      <c r="H92" s="1" t="str">
        <f>IF(AND(I.Facility.FacilityCount&gt;=83,F92=""),"Incomplete","Complete")</f>
        <v>Complete</v>
      </c>
      <c r="I92" s="48" t="s">
        <v>713</v>
      </c>
      <c r="K92" s="26" t="s">
        <v>1188</v>
      </c>
      <c r="L92" s="78" t="s">
        <v>3506</v>
      </c>
    </row>
    <row r="93" spans="2:12" ht="15" customHeight="1" x14ac:dyDescent="0.25">
      <c r="B93" s="26" t="s">
        <v>263</v>
      </c>
      <c r="C93" s="1">
        <v>84</v>
      </c>
      <c r="D93" s="27" t="s">
        <v>3031</v>
      </c>
      <c r="E93" s="27"/>
      <c r="F93" s="1" t="str">
        <f>IF(INDEX(I.Facility.IDNumber,84)="","",INDEX(I.Facility.IDNumber,84))</f>
        <v/>
      </c>
      <c r="G93" s="27"/>
      <c r="H93" s="1" t="str">
        <f>IF(AND(I.Facility.FacilityCount&gt;=84,F93=""),"Incomplete","Complete")</f>
        <v>Complete</v>
      </c>
      <c r="I93" s="48" t="s">
        <v>714</v>
      </c>
      <c r="K93" s="26" t="s">
        <v>1189</v>
      </c>
      <c r="L93" s="78" t="s">
        <v>3507</v>
      </c>
    </row>
    <row r="94" spans="2:12" ht="15" customHeight="1" x14ac:dyDescent="0.25">
      <c r="B94" s="26" t="s">
        <v>263</v>
      </c>
      <c r="C94" s="1">
        <v>85</v>
      </c>
      <c r="D94" s="27" t="s">
        <v>3031</v>
      </c>
      <c r="E94" s="27"/>
      <c r="F94" s="1" t="str">
        <f>IF(INDEX(I.Facility.IDNumber,85)="","",INDEX(I.Facility.IDNumber,85))</f>
        <v/>
      </c>
      <c r="G94" s="27"/>
      <c r="H94" s="1" t="str">
        <f>IF(AND(I.Facility.FacilityCount&gt;=85,F94=""),"Incomplete","Complete")</f>
        <v>Complete</v>
      </c>
      <c r="I94" s="48" t="s">
        <v>715</v>
      </c>
      <c r="K94" s="26" t="s">
        <v>1190</v>
      </c>
      <c r="L94" s="78" t="s">
        <v>3508</v>
      </c>
    </row>
    <row r="95" spans="2:12" ht="15" customHeight="1" x14ac:dyDescent="0.25">
      <c r="B95" s="26" t="s">
        <v>263</v>
      </c>
      <c r="C95" s="1">
        <v>86</v>
      </c>
      <c r="D95" s="27" t="s">
        <v>3031</v>
      </c>
      <c r="E95" s="27"/>
      <c r="F95" s="1" t="str">
        <f>IF(INDEX(I.Facility.IDNumber,86)="","",INDEX(I.Facility.IDNumber,86))</f>
        <v/>
      </c>
      <c r="G95" s="27"/>
      <c r="H95" s="1" t="str">
        <f>IF(AND(I.Facility.FacilityCount&gt;=86,F95=""),"Incomplete","Complete")</f>
        <v>Complete</v>
      </c>
      <c r="I95" s="48" t="s">
        <v>716</v>
      </c>
      <c r="K95" s="26" t="s">
        <v>1191</v>
      </c>
      <c r="L95" s="78" t="s">
        <v>3509</v>
      </c>
    </row>
    <row r="96" spans="2:12" ht="15" customHeight="1" x14ac:dyDescent="0.25">
      <c r="B96" s="26" t="s">
        <v>263</v>
      </c>
      <c r="C96" s="1">
        <v>87</v>
      </c>
      <c r="D96" s="27" t="s">
        <v>3031</v>
      </c>
      <c r="E96" s="27"/>
      <c r="F96" s="1" t="str">
        <f>IF(INDEX(I.Facility.IDNumber,87)="","",INDEX(I.Facility.IDNumber,87))</f>
        <v/>
      </c>
      <c r="G96" s="27"/>
      <c r="H96" s="1" t="str">
        <f>IF(AND(I.Facility.FacilityCount&gt;=87,F96=""),"Incomplete","Complete")</f>
        <v>Complete</v>
      </c>
      <c r="I96" s="48" t="s">
        <v>717</v>
      </c>
      <c r="K96" s="26" t="s">
        <v>1192</v>
      </c>
      <c r="L96" s="78" t="s">
        <v>3510</v>
      </c>
    </row>
    <row r="97" spans="2:12" ht="15" customHeight="1" x14ac:dyDescent="0.25">
      <c r="B97" s="26" t="s">
        <v>263</v>
      </c>
      <c r="C97" s="1">
        <v>88</v>
      </c>
      <c r="D97" s="27" t="s">
        <v>3031</v>
      </c>
      <c r="E97" s="27"/>
      <c r="F97" s="1" t="str">
        <f>IF(INDEX(I.Facility.IDNumber,88)="","",INDEX(I.Facility.IDNumber,88))</f>
        <v/>
      </c>
      <c r="G97" s="27"/>
      <c r="H97" s="1" t="str">
        <f>IF(AND(I.Facility.FacilityCount&gt;=88,F97=""),"Incomplete","Complete")</f>
        <v>Complete</v>
      </c>
      <c r="I97" s="48" t="s">
        <v>718</v>
      </c>
      <c r="K97" s="26" t="s">
        <v>1193</v>
      </c>
      <c r="L97" s="78" t="s">
        <v>3511</v>
      </c>
    </row>
    <row r="98" spans="2:12" ht="15" customHeight="1" x14ac:dyDescent="0.25">
      <c r="B98" s="26" t="s">
        <v>263</v>
      </c>
      <c r="C98" s="1">
        <v>89</v>
      </c>
      <c r="D98" s="27" t="s">
        <v>3031</v>
      </c>
      <c r="E98" s="27"/>
      <c r="F98" s="1" t="str">
        <f>IF(INDEX(I.Facility.IDNumber,89)="","",INDEX(I.Facility.IDNumber,89))</f>
        <v/>
      </c>
      <c r="G98" s="27"/>
      <c r="H98" s="1" t="str">
        <f>IF(AND(I.Facility.FacilityCount&gt;=89,F98=""),"Incomplete","Complete")</f>
        <v>Complete</v>
      </c>
      <c r="I98" s="48" t="s">
        <v>719</v>
      </c>
      <c r="K98" s="26" t="s">
        <v>1194</v>
      </c>
      <c r="L98" s="78" t="s">
        <v>3512</v>
      </c>
    </row>
    <row r="99" spans="2:12" ht="15" customHeight="1" x14ac:dyDescent="0.25">
      <c r="B99" s="26" t="s">
        <v>263</v>
      </c>
      <c r="C99" s="1">
        <v>90</v>
      </c>
      <c r="D99" s="27" t="s">
        <v>3031</v>
      </c>
      <c r="E99" s="27"/>
      <c r="F99" s="1" t="str">
        <f>IF(INDEX(I.Facility.IDNumber,90)="","",INDEX(I.Facility.IDNumber,90))</f>
        <v/>
      </c>
      <c r="G99" s="27"/>
      <c r="H99" s="1" t="str">
        <f>IF(AND(I.Facility.FacilityCount&gt;=90,F99=""),"Incomplete","Complete")</f>
        <v>Complete</v>
      </c>
      <c r="I99" s="48" t="s">
        <v>720</v>
      </c>
      <c r="K99" s="26" t="s">
        <v>1195</v>
      </c>
      <c r="L99" s="78" t="s">
        <v>3513</v>
      </c>
    </row>
    <row r="100" spans="2:12" ht="15" customHeight="1" x14ac:dyDescent="0.25">
      <c r="B100" s="26" t="s">
        <v>263</v>
      </c>
      <c r="C100" s="1">
        <v>91</v>
      </c>
      <c r="D100" s="27" t="s">
        <v>3031</v>
      </c>
      <c r="E100" s="27"/>
      <c r="F100" s="1" t="str">
        <f>IF(INDEX(I.Facility.IDNumber,91)="","",INDEX(I.Facility.IDNumber,91))</f>
        <v/>
      </c>
      <c r="G100" s="27"/>
      <c r="H100" s="1" t="str">
        <f>IF(AND(I.Facility.FacilityCount&gt;=91,F100=""),"Incomplete","Complete")</f>
        <v>Complete</v>
      </c>
      <c r="I100" s="48" t="s">
        <v>721</v>
      </c>
      <c r="K100" s="34" t="s">
        <v>1196</v>
      </c>
      <c r="L100" s="80" t="s">
        <v>3514</v>
      </c>
    </row>
    <row r="101" spans="2:12" ht="15" customHeight="1" x14ac:dyDescent="0.25">
      <c r="B101" s="26" t="s">
        <v>263</v>
      </c>
      <c r="C101" s="1">
        <v>92</v>
      </c>
      <c r="D101" s="27" t="s">
        <v>3031</v>
      </c>
      <c r="E101" s="27"/>
      <c r="F101" s="1" t="str">
        <f>IF(INDEX(I.Facility.IDNumber,92)="","",INDEX(I.Facility.IDNumber,92))</f>
        <v/>
      </c>
      <c r="G101" s="27"/>
      <c r="H101" s="1" t="str">
        <f>IF(AND(I.Facility.FacilityCount&gt;=92,F101=""),"Incomplete","Complete")</f>
        <v>Complete</v>
      </c>
      <c r="I101" s="48" t="s">
        <v>722</v>
      </c>
      <c r="K101" s="37" t="s">
        <v>615</v>
      </c>
      <c r="L101" s="78" t="s">
        <v>3515</v>
      </c>
    </row>
    <row r="102" spans="2:12" ht="15" customHeight="1" x14ac:dyDescent="0.25">
      <c r="B102" s="26" t="s">
        <v>263</v>
      </c>
      <c r="C102" s="1">
        <v>93</v>
      </c>
      <c r="D102" s="27" t="s">
        <v>3031</v>
      </c>
      <c r="E102" s="27"/>
      <c r="F102" s="1" t="str">
        <f>IF(INDEX(I.Facility.IDNumber,93)="","",INDEX(I.Facility.IDNumber,93))</f>
        <v/>
      </c>
      <c r="G102" s="27"/>
      <c r="H102" s="1" t="str">
        <f>IF(AND(I.Facility.FacilityCount&gt;=93,F102=""),"Incomplete","Complete")</f>
        <v>Complete</v>
      </c>
      <c r="I102" s="48" t="s">
        <v>723</v>
      </c>
      <c r="K102" s="26" t="s">
        <v>1197</v>
      </c>
      <c r="L102" s="78" t="s">
        <v>3516</v>
      </c>
    </row>
    <row r="103" spans="2:12" ht="15" customHeight="1" x14ac:dyDescent="0.25">
      <c r="B103" s="26" t="s">
        <v>263</v>
      </c>
      <c r="C103" s="1">
        <v>94</v>
      </c>
      <c r="D103" s="27" t="s">
        <v>3031</v>
      </c>
      <c r="E103" s="27"/>
      <c r="F103" s="1" t="str">
        <f>IF(INDEX(I.Facility.IDNumber,94)="","",INDEX(I.Facility.IDNumber,94))</f>
        <v/>
      </c>
      <c r="G103" s="27"/>
      <c r="H103" s="1" t="str">
        <f>IF(AND(I.Facility.FacilityCount&gt;=94,F103=""),"Incomplete","Complete")</f>
        <v>Complete</v>
      </c>
      <c r="I103" s="48" t="s">
        <v>724</v>
      </c>
      <c r="K103" s="26" t="s">
        <v>1198</v>
      </c>
      <c r="L103" s="78" t="s">
        <v>3517</v>
      </c>
    </row>
    <row r="104" spans="2:12" ht="15" customHeight="1" x14ac:dyDescent="0.25">
      <c r="B104" s="26" t="s">
        <v>263</v>
      </c>
      <c r="C104" s="1">
        <v>95</v>
      </c>
      <c r="D104" s="27" t="s">
        <v>3031</v>
      </c>
      <c r="E104" s="27"/>
      <c r="F104" s="1" t="str">
        <f>IF(INDEX(I.Facility.IDNumber,95)="","",INDEX(I.Facility.IDNumber,95))</f>
        <v/>
      </c>
      <c r="G104" s="27"/>
      <c r="H104" s="1" t="str">
        <f>IF(AND(I.Facility.FacilityCount&gt;=95,F104=""),"Incomplete","Complete")</f>
        <v>Complete</v>
      </c>
      <c r="I104" s="48" t="s">
        <v>725</v>
      </c>
      <c r="K104" s="26" t="s">
        <v>1199</v>
      </c>
      <c r="L104" s="78" t="s">
        <v>3518</v>
      </c>
    </row>
    <row r="105" spans="2:12" ht="15" customHeight="1" x14ac:dyDescent="0.25">
      <c r="B105" s="26" t="s">
        <v>263</v>
      </c>
      <c r="C105" s="1">
        <v>96</v>
      </c>
      <c r="D105" s="27" t="s">
        <v>3031</v>
      </c>
      <c r="E105" s="27"/>
      <c r="F105" s="1" t="str">
        <f>IF(INDEX(I.Facility.IDNumber,96)="","",INDEX(I.Facility.IDNumber,96))</f>
        <v/>
      </c>
      <c r="G105" s="27"/>
      <c r="H105" s="1" t="str">
        <f>IF(AND(I.Facility.FacilityCount&gt;=96,F105=""),"Incomplete","Complete")</f>
        <v>Complete</v>
      </c>
      <c r="I105" s="48" t="s">
        <v>726</v>
      </c>
      <c r="K105" s="26" t="s">
        <v>1200</v>
      </c>
      <c r="L105" s="78" t="s">
        <v>3519</v>
      </c>
    </row>
    <row r="106" spans="2:12" ht="15" customHeight="1" x14ac:dyDescent="0.25">
      <c r="B106" s="26" t="s">
        <v>263</v>
      </c>
      <c r="C106" s="1">
        <v>97</v>
      </c>
      <c r="D106" s="27" t="s">
        <v>3031</v>
      </c>
      <c r="E106" s="27"/>
      <c r="F106" s="1" t="str">
        <f>IF(INDEX(I.Facility.IDNumber,97)="","",INDEX(I.Facility.IDNumber,97))</f>
        <v/>
      </c>
      <c r="G106" s="27"/>
      <c r="H106" s="1" t="str">
        <f>IF(AND(I.Facility.FacilityCount&gt;=97,F106=""),"Incomplete","Complete")</f>
        <v>Complete</v>
      </c>
      <c r="I106" s="48" t="s">
        <v>727</v>
      </c>
      <c r="K106" s="26" t="s">
        <v>1201</v>
      </c>
      <c r="L106" s="78" t="s">
        <v>3520</v>
      </c>
    </row>
    <row r="107" spans="2:12" ht="15" customHeight="1" x14ac:dyDescent="0.25">
      <c r="B107" s="26" t="s">
        <v>263</v>
      </c>
      <c r="C107" s="1">
        <v>98</v>
      </c>
      <c r="D107" s="27" t="s">
        <v>3031</v>
      </c>
      <c r="E107" s="27"/>
      <c r="F107" s="1" t="str">
        <f>IF(INDEX(I.Facility.IDNumber,98)="","",INDEX(I.Facility.IDNumber,98))</f>
        <v/>
      </c>
      <c r="G107" s="27"/>
      <c r="H107" s="1" t="str">
        <f>IF(AND(I.Facility.FacilityCount&gt;=98,F107=""),"Incomplete","Complete")</f>
        <v>Complete</v>
      </c>
      <c r="I107" s="48" t="s">
        <v>728</v>
      </c>
      <c r="K107" s="26" t="s">
        <v>1202</v>
      </c>
      <c r="L107" s="78" t="s">
        <v>3521</v>
      </c>
    </row>
    <row r="108" spans="2:12" ht="15" customHeight="1" x14ac:dyDescent="0.25">
      <c r="B108" s="26" t="s">
        <v>263</v>
      </c>
      <c r="C108" s="1">
        <v>99</v>
      </c>
      <c r="D108" s="27" t="s">
        <v>3031</v>
      </c>
      <c r="E108" s="27"/>
      <c r="F108" s="1" t="str">
        <f>IF(INDEX(I.Facility.IDNumber,99)="","",INDEX(I.Facility.IDNumber,99))</f>
        <v/>
      </c>
      <c r="G108" s="27"/>
      <c r="H108" s="1" t="str">
        <f>IF(AND(I.Facility.FacilityCount&gt;=99,F108=""),"Incomplete","Complete")</f>
        <v>Complete</v>
      </c>
      <c r="I108" s="48" t="s">
        <v>729</v>
      </c>
      <c r="K108" s="26" t="s">
        <v>1203</v>
      </c>
      <c r="L108" s="78" t="s">
        <v>3522</v>
      </c>
    </row>
    <row r="109" spans="2:12" ht="15" customHeight="1" x14ac:dyDescent="0.25">
      <c r="B109" s="26" t="s">
        <v>263</v>
      </c>
      <c r="C109" s="1">
        <v>100</v>
      </c>
      <c r="D109" s="27" t="s">
        <v>3031</v>
      </c>
      <c r="E109" s="27"/>
      <c r="F109" s="1" t="str">
        <f>IF(INDEX(I.Facility.IDNumber,100)="","",INDEX(I.Facility.IDNumber,100))</f>
        <v/>
      </c>
      <c r="G109" s="27"/>
      <c r="H109" s="1" t="str">
        <f>IF(AND(I.Facility.FacilityCount&gt;=100,F109=""),"Incomplete","Complete")</f>
        <v>Complete</v>
      </c>
      <c r="I109" s="48" t="s">
        <v>730</v>
      </c>
      <c r="K109" s="26" t="s">
        <v>1204</v>
      </c>
      <c r="L109" s="78" t="s">
        <v>3523</v>
      </c>
    </row>
    <row r="110" spans="2:12" ht="15" customHeight="1" x14ac:dyDescent="0.25">
      <c r="B110" s="26" t="s">
        <v>263</v>
      </c>
      <c r="C110" s="1">
        <v>101</v>
      </c>
      <c r="D110" s="27" t="s">
        <v>3031</v>
      </c>
      <c r="E110" s="27"/>
      <c r="F110" s="1" t="str">
        <f>IF(INDEX(I.Facility.IDNumber,101)="","",INDEX(I.Facility.IDNumber,101))</f>
        <v/>
      </c>
      <c r="G110" s="27"/>
      <c r="H110" s="1" t="str">
        <f>IF(AND(I.Facility.FacilityCount&gt;=101,F110=""),"Incomplete","Complete")</f>
        <v>Complete</v>
      </c>
      <c r="I110" s="48" t="s">
        <v>731</v>
      </c>
      <c r="K110" s="34" t="s">
        <v>1205</v>
      </c>
      <c r="L110" s="80" t="s">
        <v>3524</v>
      </c>
    </row>
    <row r="111" spans="2:12" ht="15" customHeight="1" x14ac:dyDescent="0.25">
      <c r="B111" s="26" t="s">
        <v>263</v>
      </c>
      <c r="C111" s="1">
        <v>102</v>
      </c>
      <c r="D111" s="27" t="s">
        <v>3031</v>
      </c>
      <c r="E111" s="27"/>
      <c r="F111" s="1" t="str">
        <f>IF(INDEX(I.Facility.IDNumber,102)="","",INDEX(I.Facility.IDNumber,102))</f>
        <v/>
      </c>
      <c r="G111" s="27"/>
      <c r="H111" s="1" t="str">
        <f>IF(AND(I.Facility.FacilityCount&gt;=102,F111=""),"Incomplete","Complete")</f>
        <v>Complete</v>
      </c>
      <c r="I111" s="48" t="s">
        <v>732</v>
      </c>
      <c r="K111" s="37" t="s">
        <v>1133</v>
      </c>
      <c r="L111" s="81" t="s">
        <v>3525</v>
      </c>
    </row>
    <row r="112" spans="2:12" ht="15" customHeight="1" x14ac:dyDescent="0.25">
      <c r="B112" s="26" t="s">
        <v>263</v>
      </c>
      <c r="C112" s="1">
        <v>103</v>
      </c>
      <c r="D112" s="27" t="s">
        <v>3031</v>
      </c>
      <c r="E112" s="27"/>
      <c r="F112" s="1" t="str">
        <f>IF(INDEX(I.Facility.IDNumber,103)="","",INDEX(I.Facility.IDNumber,103))</f>
        <v/>
      </c>
      <c r="G112" s="27"/>
      <c r="H112" s="1" t="str">
        <f>IF(AND(I.Facility.FacilityCount&gt;=103,F112=""),"Incomplete","Complete")</f>
        <v>Complete</v>
      </c>
      <c r="I112" s="48" t="s">
        <v>733</v>
      </c>
      <c r="K112" s="26" t="s">
        <v>616</v>
      </c>
      <c r="L112" s="78" t="s">
        <v>3526</v>
      </c>
    </row>
    <row r="113" spans="2:12" ht="15" customHeight="1" x14ac:dyDescent="0.25">
      <c r="B113" s="26" t="s">
        <v>263</v>
      </c>
      <c r="C113" s="1">
        <v>104</v>
      </c>
      <c r="D113" s="27" t="s">
        <v>3031</v>
      </c>
      <c r="E113" s="27"/>
      <c r="F113" s="1" t="str">
        <f>IF(INDEX(I.Facility.IDNumber,104)="","",INDEX(I.Facility.IDNumber,104))</f>
        <v/>
      </c>
      <c r="G113" s="27"/>
      <c r="H113" s="1" t="str">
        <f>IF(AND(I.Facility.FacilityCount&gt;=104,F113=""),"Incomplete","Complete")</f>
        <v>Complete</v>
      </c>
      <c r="I113" s="48" t="s">
        <v>734</v>
      </c>
      <c r="K113" s="34" t="s">
        <v>617</v>
      </c>
      <c r="L113" s="80" t="s">
        <v>3527</v>
      </c>
    </row>
    <row r="114" spans="2:12" ht="15" customHeight="1" x14ac:dyDescent="0.25">
      <c r="B114" s="26" t="s">
        <v>263</v>
      </c>
      <c r="C114" s="1">
        <v>105</v>
      </c>
      <c r="D114" s="27" t="s">
        <v>3031</v>
      </c>
      <c r="E114" s="27"/>
      <c r="F114" s="1" t="str">
        <f>IF(INDEX(I.Facility.IDNumber,105)="","",INDEX(I.Facility.IDNumber,105))</f>
        <v/>
      </c>
      <c r="G114" s="27"/>
      <c r="H114" s="1" t="str">
        <f>IF(AND(I.Facility.FacilityCount&gt;=105,F114=""),"Incomplete","Complete")</f>
        <v>Complete</v>
      </c>
      <c r="I114" s="48" t="s">
        <v>735</v>
      </c>
      <c r="K114" s="37" t="s">
        <v>618</v>
      </c>
      <c r="L114" s="81" t="s">
        <v>3528</v>
      </c>
    </row>
    <row r="115" spans="2:12" ht="15" customHeight="1" x14ac:dyDescent="0.25">
      <c r="B115" s="26" t="s">
        <v>263</v>
      </c>
      <c r="C115" s="1">
        <v>106</v>
      </c>
      <c r="D115" s="27" t="s">
        <v>3031</v>
      </c>
      <c r="E115" s="27"/>
      <c r="F115" s="1" t="str">
        <f>IF(INDEX(I.Facility.IDNumber,106)="","",INDEX(I.Facility.IDNumber,106))</f>
        <v/>
      </c>
      <c r="G115" s="27"/>
      <c r="H115" s="1" t="str">
        <f>IF(AND(I.Facility.FacilityCount&gt;=106,F115=""),"Incomplete","Complete")</f>
        <v>Complete</v>
      </c>
      <c r="I115" s="48" t="s">
        <v>736</v>
      </c>
      <c r="K115" s="26" t="s">
        <v>619</v>
      </c>
      <c r="L115" s="78" t="s">
        <v>3529</v>
      </c>
    </row>
    <row r="116" spans="2:12" ht="15" customHeight="1" x14ac:dyDescent="0.25">
      <c r="B116" s="26" t="s">
        <v>263</v>
      </c>
      <c r="C116" s="1">
        <v>107</v>
      </c>
      <c r="D116" s="27" t="s">
        <v>3031</v>
      </c>
      <c r="E116" s="27"/>
      <c r="F116" s="1" t="str">
        <f>IF(INDEX(I.Facility.IDNumber,107)="","",INDEX(I.Facility.IDNumber,107))</f>
        <v/>
      </c>
      <c r="G116" s="27"/>
      <c r="H116" s="1" t="str">
        <f>IF(AND(I.Facility.FacilityCount&gt;=107,F116=""),"Incomplete","Complete")</f>
        <v>Complete</v>
      </c>
      <c r="I116" s="48" t="s">
        <v>737</v>
      </c>
      <c r="K116" s="26" t="s">
        <v>620</v>
      </c>
      <c r="L116" s="78" t="s">
        <v>3530</v>
      </c>
    </row>
    <row r="117" spans="2:12" ht="15" customHeight="1" x14ac:dyDescent="0.25">
      <c r="B117" s="26" t="s">
        <v>263</v>
      </c>
      <c r="C117" s="1">
        <v>108</v>
      </c>
      <c r="D117" s="27" t="s">
        <v>3031</v>
      </c>
      <c r="E117" s="27"/>
      <c r="F117" s="1" t="str">
        <f>IF(INDEX(I.Facility.IDNumber,108)="","",INDEX(I.Facility.IDNumber,108))</f>
        <v/>
      </c>
      <c r="G117" s="27"/>
      <c r="H117" s="1" t="str">
        <f>IF(AND(I.Facility.FacilityCount&gt;=108,F117=""),"Incomplete","Complete")</f>
        <v>Complete</v>
      </c>
      <c r="I117" s="48" t="s">
        <v>738</v>
      </c>
      <c r="K117" s="26" t="s">
        <v>621</v>
      </c>
      <c r="L117" s="78" t="s">
        <v>3531</v>
      </c>
    </row>
    <row r="118" spans="2:12" ht="15" customHeight="1" x14ac:dyDescent="0.25">
      <c r="B118" s="26" t="s">
        <v>263</v>
      </c>
      <c r="C118" s="1">
        <v>109</v>
      </c>
      <c r="D118" s="27" t="s">
        <v>3031</v>
      </c>
      <c r="E118" s="27"/>
      <c r="F118" s="1" t="str">
        <f>IF(INDEX(I.Facility.IDNumber,109)="","",INDEX(I.Facility.IDNumber,109))</f>
        <v/>
      </c>
      <c r="G118" s="27"/>
      <c r="H118" s="1" t="str">
        <f>IF(AND(I.Facility.FacilityCount&gt;=109,F118=""),"Incomplete","Complete")</f>
        <v>Complete</v>
      </c>
      <c r="I118" s="48" t="s">
        <v>739</v>
      </c>
      <c r="K118" s="26" t="s">
        <v>622</v>
      </c>
      <c r="L118" s="78" t="s">
        <v>3532</v>
      </c>
    </row>
    <row r="119" spans="2:12" ht="15" customHeight="1" x14ac:dyDescent="0.25">
      <c r="B119" s="26" t="s">
        <v>263</v>
      </c>
      <c r="C119" s="1">
        <v>110</v>
      </c>
      <c r="D119" s="27" t="s">
        <v>3031</v>
      </c>
      <c r="E119" s="27"/>
      <c r="F119" s="1" t="str">
        <f>IF(INDEX(I.Facility.IDNumber,110)="","",INDEX(I.Facility.IDNumber,110))</f>
        <v/>
      </c>
      <c r="G119" s="27"/>
      <c r="H119" s="1" t="str">
        <f>IF(AND(I.Facility.FacilityCount&gt;=110,F119=""),"Incomplete","Complete")</f>
        <v>Complete</v>
      </c>
      <c r="I119" s="48" t="s">
        <v>740</v>
      </c>
      <c r="K119" s="34" t="s">
        <v>623</v>
      </c>
      <c r="L119" s="80" t="s">
        <v>3533</v>
      </c>
    </row>
    <row r="120" spans="2:12" ht="15" customHeight="1" x14ac:dyDescent="0.25">
      <c r="B120" s="26" t="s">
        <v>263</v>
      </c>
      <c r="C120" s="1">
        <v>111</v>
      </c>
      <c r="D120" s="27" t="s">
        <v>3031</v>
      </c>
      <c r="E120" s="27"/>
      <c r="F120" s="1" t="str">
        <f>IF(INDEX(I.Facility.IDNumber,111)="","",INDEX(I.Facility.IDNumber,111))</f>
        <v/>
      </c>
      <c r="G120" s="27"/>
      <c r="H120" s="1" t="str">
        <f>IF(AND(I.Facility.FacilityCount&gt;=111,F120=""),"Incomplete","Complete")</f>
        <v>Complete</v>
      </c>
      <c r="I120" s="48" t="s">
        <v>741</v>
      </c>
      <c r="K120" s="37" t="s">
        <v>624</v>
      </c>
      <c r="L120" s="78" t="s">
        <v>3534</v>
      </c>
    </row>
    <row r="121" spans="2:12" ht="15" customHeight="1" x14ac:dyDescent="0.25">
      <c r="B121" s="26" t="s">
        <v>263</v>
      </c>
      <c r="C121" s="1">
        <v>112</v>
      </c>
      <c r="D121" s="27" t="s">
        <v>3031</v>
      </c>
      <c r="E121" s="27"/>
      <c r="F121" s="1" t="str">
        <f>IF(INDEX(I.Facility.IDNumber,112)="","",INDEX(I.Facility.IDNumber,112))</f>
        <v/>
      </c>
      <c r="G121" s="27"/>
      <c r="H121" s="1" t="str">
        <f>IF(AND(I.Facility.FacilityCount&gt;=112,F121=""),"Incomplete","Complete")</f>
        <v>Complete</v>
      </c>
      <c r="I121" s="48" t="s">
        <v>742</v>
      </c>
      <c r="K121" s="26" t="s">
        <v>1346</v>
      </c>
      <c r="L121" s="78" t="s">
        <v>3064</v>
      </c>
    </row>
    <row r="122" spans="2:12" ht="15" customHeight="1" x14ac:dyDescent="0.25">
      <c r="B122" s="26" t="s">
        <v>263</v>
      </c>
      <c r="C122" s="1">
        <v>113</v>
      </c>
      <c r="D122" s="27" t="s">
        <v>3031</v>
      </c>
      <c r="E122" s="27"/>
      <c r="F122" s="1" t="str">
        <f>IF(INDEX(I.Facility.IDNumber,113)="","",INDEX(I.Facility.IDNumber,113))</f>
        <v/>
      </c>
      <c r="G122" s="27"/>
      <c r="H122" s="1" t="str">
        <f>IF(AND(I.Facility.FacilityCount&gt;=113,F122=""),"Incomplete","Complete")</f>
        <v>Complete</v>
      </c>
      <c r="I122" s="48" t="s">
        <v>743</v>
      </c>
      <c r="K122" s="26" t="s">
        <v>625</v>
      </c>
      <c r="L122" s="78" t="s">
        <v>3535</v>
      </c>
    </row>
    <row r="123" spans="2:12" ht="15" customHeight="1" x14ac:dyDescent="0.25">
      <c r="B123" s="26" t="s">
        <v>263</v>
      </c>
      <c r="C123" s="1">
        <v>114</v>
      </c>
      <c r="D123" s="27" t="s">
        <v>3031</v>
      </c>
      <c r="E123" s="27"/>
      <c r="F123" s="1" t="str">
        <f>IF(INDEX(I.Facility.IDNumber,114)="","",INDEX(I.Facility.IDNumber,114))</f>
        <v/>
      </c>
      <c r="G123" s="27"/>
      <c r="H123" s="1" t="str">
        <f>IF(AND(I.Facility.FacilityCount&gt;=114,F123=""),"Incomplete","Complete")</f>
        <v>Complete</v>
      </c>
      <c r="I123" s="48" t="s">
        <v>744</v>
      </c>
      <c r="K123" s="39" t="s">
        <v>626</v>
      </c>
      <c r="L123" s="82" t="s">
        <v>3559</v>
      </c>
    </row>
    <row r="124" spans="2:12" ht="15" customHeight="1" x14ac:dyDescent="0.25">
      <c r="B124" s="26" t="s">
        <v>263</v>
      </c>
      <c r="C124" s="1">
        <v>115</v>
      </c>
      <c r="D124" s="27" t="s">
        <v>3031</v>
      </c>
      <c r="E124" s="27"/>
      <c r="F124" s="1" t="str">
        <f>IF(INDEX(I.Facility.IDNumber,115)="","",INDEX(I.Facility.IDNumber,115))</f>
        <v/>
      </c>
      <c r="G124" s="27"/>
      <c r="H124" s="1" t="str">
        <f>IF(AND(I.Facility.FacilityCount&gt;=115,F124=""),"Incomplete","Complete")</f>
        <v>Complete</v>
      </c>
      <c r="I124" s="48" t="s">
        <v>745</v>
      </c>
    </row>
    <row r="125" spans="2:12" ht="15" customHeight="1" x14ac:dyDescent="0.25">
      <c r="B125" s="26" t="s">
        <v>263</v>
      </c>
      <c r="C125" s="1">
        <v>116</v>
      </c>
      <c r="D125" s="27" t="s">
        <v>3031</v>
      </c>
      <c r="E125" s="27"/>
      <c r="F125" s="1" t="str">
        <f>IF(INDEX(I.Facility.IDNumber,116)="","",INDEX(I.Facility.IDNumber,116))</f>
        <v/>
      </c>
      <c r="G125" s="27"/>
      <c r="H125" s="1" t="str">
        <f>IF(AND(I.Facility.FacilityCount&gt;=116,F125=""),"Incomplete","Complete")</f>
        <v>Complete</v>
      </c>
      <c r="I125" s="48" t="s">
        <v>746</v>
      </c>
    </row>
    <row r="126" spans="2:12" ht="15" customHeight="1" x14ac:dyDescent="0.25">
      <c r="B126" s="26" t="s">
        <v>263</v>
      </c>
      <c r="C126" s="1">
        <v>117</v>
      </c>
      <c r="D126" s="27" t="s">
        <v>3031</v>
      </c>
      <c r="E126" s="27"/>
      <c r="F126" s="1" t="str">
        <f>IF(INDEX(I.Facility.IDNumber,117)="","",INDEX(I.Facility.IDNumber,117))</f>
        <v/>
      </c>
      <c r="G126" s="27"/>
      <c r="H126" s="1" t="str">
        <f>IF(AND(I.Facility.FacilityCount&gt;=117,F126=""),"Incomplete","Complete")</f>
        <v>Complete</v>
      </c>
      <c r="I126" s="48" t="s">
        <v>747</v>
      </c>
    </row>
    <row r="127" spans="2:12" ht="15" customHeight="1" x14ac:dyDescent="0.25">
      <c r="B127" s="26" t="s">
        <v>263</v>
      </c>
      <c r="C127" s="1">
        <v>118</v>
      </c>
      <c r="D127" s="27" t="s">
        <v>3031</v>
      </c>
      <c r="E127" s="27"/>
      <c r="F127" s="1" t="str">
        <f>IF(INDEX(I.Facility.IDNumber,118)="","",INDEX(I.Facility.IDNumber,118))</f>
        <v/>
      </c>
      <c r="G127" s="27"/>
      <c r="H127" s="1" t="str">
        <f>IF(AND(I.Facility.FacilityCount&gt;=118,F127=""),"Incomplete","Complete")</f>
        <v>Complete</v>
      </c>
      <c r="I127" s="48" t="s">
        <v>748</v>
      </c>
    </row>
    <row r="128" spans="2:12" ht="15" customHeight="1" x14ac:dyDescent="0.25">
      <c r="B128" s="26" t="s">
        <v>263</v>
      </c>
      <c r="C128" s="1">
        <v>119</v>
      </c>
      <c r="D128" s="27" t="s">
        <v>3031</v>
      </c>
      <c r="E128" s="27"/>
      <c r="F128" s="1" t="str">
        <f>IF(INDEX(I.Facility.IDNumber,119)="","",INDEX(I.Facility.IDNumber,119))</f>
        <v/>
      </c>
      <c r="G128" s="27"/>
      <c r="H128" s="1" t="str">
        <f>IF(AND(I.Facility.FacilityCount&gt;=119,F128=""),"Incomplete","Complete")</f>
        <v>Complete</v>
      </c>
      <c r="I128" s="48" t="s">
        <v>749</v>
      </c>
    </row>
    <row r="129" spans="2:9" ht="15" customHeight="1" x14ac:dyDescent="0.25">
      <c r="B129" s="26" t="s">
        <v>263</v>
      </c>
      <c r="C129" s="1">
        <v>120</v>
      </c>
      <c r="D129" s="27" t="s">
        <v>3031</v>
      </c>
      <c r="E129" s="27"/>
      <c r="F129" s="1" t="str">
        <f>IF(INDEX(I.Facility.IDNumber,120)="","",INDEX(I.Facility.IDNumber,120))</f>
        <v/>
      </c>
      <c r="G129" s="27"/>
      <c r="H129" s="1" t="str">
        <f>IF(AND(I.Facility.FacilityCount&gt;=120,F129=""),"Incomplete","Complete")</f>
        <v>Complete</v>
      </c>
      <c r="I129" s="48" t="s">
        <v>750</v>
      </c>
    </row>
    <row r="130" spans="2:9" ht="15" customHeight="1" x14ac:dyDescent="0.25">
      <c r="B130" s="26" t="s">
        <v>263</v>
      </c>
      <c r="C130" s="1">
        <v>121</v>
      </c>
      <c r="D130" s="27" t="s">
        <v>3031</v>
      </c>
      <c r="E130" s="27"/>
      <c r="F130" s="1" t="str">
        <f>IF(INDEX(I.Facility.IDNumber,121)="","",INDEX(I.Facility.IDNumber,121))</f>
        <v/>
      </c>
      <c r="G130" s="27"/>
      <c r="H130" s="1" t="str">
        <f>IF(AND(I.Facility.FacilityCount&gt;=121,F130=""),"Incomplete","Complete")</f>
        <v>Complete</v>
      </c>
      <c r="I130" s="48" t="s">
        <v>751</v>
      </c>
    </row>
    <row r="131" spans="2:9" ht="15" customHeight="1" x14ac:dyDescent="0.25">
      <c r="B131" s="26" t="s">
        <v>263</v>
      </c>
      <c r="C131" s="1">
        <v>122</v>
      </c>
      <c r="D131" s="27" t="s">
        <v>3031</v>
      </c>
      <c r="E131" s="27"/>
      <c r="F131" s="1" t="str">
        <f>IF(INDEX(I.Facility.IDNumber,122)="","",INDEX(I.Facility.IDNumber,122))</f>
        <v/>
      </c>
      <c r="G131" s="27"/>
      <c r="H131" s="1" t="str">
        <f>IF(AND(I.Facility.FacilityCount&gt;=122,F131=""),"Incomplete","Complete")</f>
        <v>Complete</v>
      </c>
      <c r="I131" s="48" t="s">
        <v>752</v>
      </c>
    </row>
    <row r="132" spans="2:9" ht="15" customHeight="1" x14ac:dyDescent="0.25">
      <c r="B132" s="26" t="s">
        <v>263</v>
      </c>
      <c r="C132" s="1">
        <v>123</v>
      </c>
      <c r="D132" s="27" t="s">
        <v>3031</v>
      </c>
      <c r="E132" s="27"/>
      <c r="F132" s="1" t="str">
        <f>IF(INDEX(I.Facility.IDNumber,123)="","",INDEX(I.Facility.IDNumber,123))</f>
        <v/>
      </c>
      <c r="G132" s="27"/>
      <c r="H132" s="1" t="str">
        <f>IF(AND(I.Facility.FacilityCount&gt;=123,F132=""),"Incomplete","Complete")</f>
        <v>Complete</v>
      </c>
      <c r="I132" s="48" t="s">
        <v>753</v>
      </c>
    </row>
    <row r="133" spans="2:9" ht="15" customHeight="1" x14ac:dyDescent="0.25">
      <c r="B133" s="26" t="s">
        <v>263</v>
      </c>
      <c r="C133" s="1">
        <v>124</v>
      </c>
      <c r="D133" s="27" t="s">
        <v>3031</v>
      </c>
      <c r="E133" s="27"/>
      <c r="F133" s="1" t="str">
        <f>IF(INDEX(I.Facility.IDNumber,124)="","",INDEX(I.Facility.IDNumber,124))</f>
        <v/>
      </c>
      <c r="G133" s="27"/>
      <c r="H133" s="1" t="str">
        <f>IF(AND(I.Facility.FacilityCount&gt;=124,F133=""),"Incomplete","Complete")</f>
        <v>Complete</v>
      </c>
      <c r="I133" s="48" t="s">
        <v>754</v>
      </c>
    </row>
    <row r="134" spans="2:9" ht="15" customHeight="1" x14ac:dyDescent="0.25">
      <c r="B134" s="26" t="s">
        <v>263</v>
      </c>
      <c r="C134" s="1">
        <v>125</v>
      </c>
      <c r="D134" s="27" t="s">
        <v>3031</v>
      </c>
      <c r="E134" s="27"/>
      <c r="F134" s="1" t="str">
        <f>IF(INDEX(I.Facility.IDNumber,125)="","",INDEX(I.Facility.IDNumber,125))</f>
        <v/>
      </c>
      <c r="G134" s="27"/>
      <c r="H134" s="1" t="str">
        <f>IF(AND(I.Facility.FacilityCount&gt;=125,F134=""),"Incomplete","Complete")</f>
        <v>Complete</v>
      </c>
      <c r="I134" s="48" t="s">
        <v>755</v>
      </c>
    </row>
    <row r="135" spans="2:9" ht="15" customHeight="1" x14ac:dyDescent="0.25">
      <c r="B135" s="26" t="s">
        <v>263</v>
      </c>
      <c r="C135" s="1">
        <v>126</v>
      </c>
      <c r="D135" s="27" t="s">
        <v>3031</v>
      </c>
      <c r="E135" s="27"/>
      <c r="F135" s="1" t="str">
        <f>IF(INDEX(I.Facility.IDNumber,126)="","",INDEX(I.Facility.IDNumber,126))</f>
        <v/>
      </c>
      <c r="G135" s="27"/>
      <c r="H135" s="1" t="str">
        <f>IF(AND(I.Facility.FacilityCount&gt;=126,F135=""),"Incomplete","Complete")</f>
        <v>Complete</v>
      </c>
      <c r="I135" s="48" t="s">
        <v>756</v>
      </c>
    </row>
    <row r="136" spans="2:9" ht="15" customHeight="1" x14ac:dyDescent="0.25">
      <c r="B136" s="26" t="s">
        <v>263</v>
      </c>
      <c r="C136" s="1">
        <v>127</v>
      </c>
      <c r="D136" s="27" t="s">
        <v>3031</v>
      </c>
      <c r="E136" s="27"/>
      <c r="F136" s="1" t="str">
        <f>IF(INDEX(I.Facility.IDNumber,127)="","",INDEX(I.Facility.IDNumber,127))</f>
        <v/>
      </c>
      <c r="G136" s="27"/>
      <c r="H136" s="1" t="str">
        <f>IF(AND(I.Facility.FacilityCount&gt;=127,F136=""),"Incomplete","Complete")</f>
        <v>Complete</v>
      </c>
      <c r="I136" s="48" t="s">
        <v>757</v>
      </c>
    </row>
    <row r="137" spans="2:9" ht="15" customHeight="1" x14ac:dyDescent="0.25">
      <c r="B137" s="26" t="s">
        <v>263</v>
      </c>
      <c r="C137" s="1">
        <v>128</v>
      </c>
      <c r="D137" s="27" t="s">
        <v>3031</v>
      </c>
      <c r="E137" s="27"/>
      <c r="F137" s="1" t="str">
        <f>IF(INDEX(I.Facility.IDNumber,128)="","",INDEX(I.Facility.IDNumber,128))</f>
        <v/>
      </c>
      <c r="G137" s="27"/>
      <c r="H137" s="1" t="str">
        <f>IF(AND(I.Facility.FacilityCount&gt;=128,F137=""),"Incomplete","Complete")</f>
        <v>Complete</v>
      </c>
      <c r="I137" s="48" t="s">
        <v>758</v>
      </c>
    </row>
    <row r="138" spans="2:9" ht="15" customHeight="1" x14ac:dyDescent="0.25">
      <c r="B138" s="26" t="s">
        <v>263</v>
      </c>
      <c r="C138" s="1">
        <v>129</v>
      </c>
      <c r="D138" s="27" t="s">
        <v>3031</v>
      </c>
      <c r="E138" s="27"/>
      <c r="F138" s="1" t="str">
        <f>IF(INDEX(I.Facility.IDNumber,129)="","",INDEX(I.Facility.IDNumber,129))</f>
        <v/>
      </c>
      <c r="G138" s="27"/>
      <c r="H138" s="1" t="str">
        <f>IF(AND(I.Facility.FacilityCount&gt;=129,F138=""),"Incomplete","Complete")</f>
        <v>Complete</v>
      </c>
      <c r="I138" s="48" t="s">
        <v>759</v>
      </c>
    </row>
    <row r="139" spans="2:9" ht="15" customHeight="1" x14ac:dyDescent="0.25">
      <c r="B139" s="26" t="s">
        <v>263</v>
      </c>
      <c r="C139" s="1">
        <v>130</v>
      </c>
      <c r="D139" s="27" t="s">
        <v>3031</v>
      </c>
      <c r="E139" s="27"/>
      <c r="F139" s="1" t="str">
        <f>IF(INDEX(I.Facility.IDNumber,130)="","",INDEX(I.Facility.IDNumber,130))</f>
        <v/>
      </c>
      <c r="G139" s="27"/>
      <c r="H139" s="1" t="str">
        <f>IF(AND(I.Facility.FacilityCount&gt;=130,F139=""),"Incomplete","Complete")</f>
        <v>Complete</v>
      </c>
      <c r="I139" s="48" t="s">
        <v>760</v>
      </c>
    </row>
    <row r="140" spans="2:9" ht="15" customHeight="1" x14ac:dyDescent="0.25">
      <c r="B140" s="26" t="s">
        <v>263</v>
      </c>
      <c r="C140" s="1">
        <v>131</v>
      </c>
      <c r="D140" s="27" t="s">
        <v>3031</v>
      </c>
      <c r="E140" s="27"/>
      <c r="F140" s="1" t="str">
        <f>IF(INDEX(I.Facility.IDNumber,131)="","",INDEX(I.Facility.IDNumber,131))</f>
        <v/>
      </c>
      <c r="G140" s="27"/>
      <c r="H140" s="1" t="str">
        <f>IF(AND(I.Facility.FacilityCount&gt;=131,F140=""),"Incomplete","Complete")</f>
        <v>Complete</v>
      </c>
      <c r="I140" s="48" t="s">
        <v>761</v>
      </c>
    </row>
    <row r="141" spans="2:9" ht="15" customHeight="1" x14ac:dyDescent="0.25">
      <c r="B141" s="26" t="s">
        <v>263</v>
      </c>
      <c r="C141" s="1">
        <v>132</v>
      </c>
      <c r="D141" s="27" t="s">
        <v>3031</v>
      </c>
      <c r="E141" s="27"/>
      <c r="F141" s="1" t="str">
        <f>IF(INDEX(I.Facility.IDNumber,132)="","",INDEX(I.Facility.IDNumber,132))</f>
        <v/>
      </c>
      <c r="G141" s="27"/>
      <c r="H141" s="1" t="str">
        <f>IF(AND(I.Facility.FacilityCount&gt;=132,F141=""),"Incomplete","Complete")</f>
        <v>Complete</v>
      </c>
      <c r="I141" s="48" t="s">
        <v>762</v>
      </c>
    </row>
    <row r="142" spans="2:9" ht="15" customHeight="1" x14ac:dyDescent="0.25">
      <c r="B142" s="26" t="s">
        <v>263</v>
      </c>
      <c r="C142" s="1">
        <v>133</v>
      </c>
      <c r="D142" s="27" t="s">
        <v>3031</v>
      </c>
      <c r="E142" s="27"/>
      <c r="F142" s="1" t="str">
        <f>IF(INDEX(I.Facility.IDNumber,133)="","",INDEX(I.Facility.IDNumber,133))</f>
        <v/>
      </c>
      <c r="G142" s="27"/>
      <c r="H142" s="1" t="str">
        <f>IF(AND(I.Facility.FacilityCount&gt;=133,F142=""),"Incomplete","Complete")</f>
        <v>Complete</v>
      </c>
      <c r="I142" s="48" t="s">
        <v>763</v>
      </c>
    </row>
    <row r="143" spans="2:9" ht="15" customHeight="1" x14ac:dyDescent="0.25">
      <c r="B143" s="26" t="s">
        <v>263</v>
      </c>
      <c r="C143" s="1">
        <v>134</v>
      </c>
      <c r="D143" s="27" t="s">
        <v>3031</v>
      </c>
      <c r="E143" s="27"/>
      <c r="F143" s="1" t="str">
        <f>IF(INDEX(I.Facility.IDNumber,134)="","",INDEX(I.Facility.IDNumber,134))</f>
        <v/>
      </c>
      <c r="G143" s="27"/>
      <c r="H143" s="1" t="str">
        <f>IF(AND(I.Facility.FacilityCount&gt;=134,F143=""),"Incomplete","Complete")</f>
        <v>Complete</v>
      </c>
      <c r="I143" s="48" t="s">
        <v>764</v>
      </c>
    </row>
    <row r="144" spans="2:9" ht="15" customHeight="1" x14ac:dyDescent="0.25">
      <c r="B144" s="26" t="s">
        <v>263</v>
      </c>
      <c r="C144" s="1">
        <v>135</v>
      </c>
      <c r="D144" s="27" t="s">
        <v>3031</v>
      </c>
      <c r="E144" s="27"/>
      <c r="F144" s="1" t="str">
        <f>IF(INDEX(I.Facility.IDNumber,135)="","",INDEX(I.Facility.IDNumber,135))</f>
        <v/>
      </c>
      <c r="G144" s="27"/>
      <c r="H144" s="1" t="str">
        <f>IF(AND(I.Facility.FacilityCount&gt;=135,F144=""),"Incomplete","Complete")</f>
        <v>Complete</v>
      </c>
      <c r="I144" s="48" t="s">
        <v>765</v>
      </c>
    </row>
    <row r="145" spans="2:9" ht="15" customHeight="1" x14ac:dyDescent="0.25">
      <c r="B145" s="26" t="s">
        <v>263</v>
      </c>
      <c r="C145" s="1">
        <v>136</v>
      </c>
      <c r="D145" s="27" t="s">
        <v>3031</v>
      </c>
      <c r="E145" s="27"/>
      <c r="F145" s="1" t="str">
        <f>IF(INDEX(I.Facility.IDNumber,136)="","",INDEX(I.Facility.IDNumber,136))</f>
        <v/>
      </c>
      <c r="G145" s="27"/>
      <c r="H145" s="1" t="str">
        <f>IF(AND(I.Facility.FacilityCount&gt;=136,F145=""),"Incomplete","Complete")</f>
        <v>Complete</v>
      </c>
      <c r="I145" s="48" t="s">
        <v>766</v>
      </c>
    </row>
    <row r="146" spans="2:9" ht="15" customHeight="1" x14ac:dyDescent="0.25">
      <c r="B146" s="26" t="s">
        <v>263</v>
      </c>
      <c r="C146" s="1">
        <v>137</v>
      </c>
      <c r="D146" s="27" t="s">
        <v>3031</v>
      </c>
      <c r="E146" s="27"/>
      <c r="F146" s="1" t="str">
        <f>IF(INDEX(I.Facility.IDNumber,137)="","",INDEX(I.Facility.IDNumber,137))</f>
        <v/>
      </c>
      <c r="G146" s="27"/>
      <c r="H146" s="1" t="str">
        <f>IF(AND(I.Facility.FacilityCount&gt;=137,F146=""),"Incomplete","Complete")</f>
        <v>Complete</v>
      </c>
      <c r="I146" s="48" t="s">
        <v>767</v>
      </c>
    </row>
    <row r="147" spans="2:9" ht="15" customHeight="1" x14ac:dyDescent="0.25">
      <c r="B147" s="26" t="s">
        <v>263</v>
      </c>
      <c r="C147" s="1">
        <v>138</v>
      </c>
      <c r="D147" s="27" t="s">
        <v>3031</v>
      </c>
      <c r="E147" s="27"/>
      <c r="F147" s="1" t="str">
        <f>IF(INDEX(I.Facility.IDNumber,138)="","",INDEX(I.Facility.IDNumber,138))</f>
        <v/>
      </c>
      <c r="G147" s="27"/>
      <c r="H147" s="1" t="str">
        <f>IF(AND(I.Facility.FacilityCount&gt;=138,F147=""),"Incomplete","Complete")</f>
        <v>Complete</v>
      </c>
      <c r="I147" s="48" t="s">
        <v>768</v>
      </c>
    </row>
    <row r="148" spans="2:9" ht="15" customHeight="1" x14ac:dyDescent="0.25">
      <c r="B148" s="26" t="s">
        <v>263</v>
      </c>
      <c r="C148" s="1">
        <v>139</v>
      </c>
      <c r="D148" s="27" t="s">
        <v>3031</v>
      </c>
      <c r="E148" s="27"/>
      <c r="F148" s="1" t="str">
        <f>IF(INDEX(I.Facility.IDNumber,139)="","",INDEX(I.Facility.IDNumber,139))</f>
        <v/>
      </c>
      <c r="G148" s="27"/>
      <c r="H148" s="1" t="str">
        <f>IF(AND(I.Facility.FacilityCount&gt;=139,F148=""),"Incomplete","Complete")</f>
        <v>Complete</v>
      </c>
      <c r="I148" s="48" t="s">
        <v>769</v>
      </c>
    </row>
    <row r="149" spans="2:9" ht="15" customHeight="1" x14ac:dyDescent="0.25">
      <c r="B149" s="26" t="s">
        <v>263</v>
      </c>
      <c r="C149" s="1">
        <v>140</v>
      </c>
      <c r="D149" s="27" t="s">
        <v>3031</v>
      </c>
      <c r="E149" s="27"/>
      <c r="F149" s="1" t="str">
        <f>IF(INDEX(I.Facility.IDNumber,140)="","",INDEX(I.Facility.IDNumber,140))</f>
        <v/>
      </c>
      <c r="G149" s="27"/>
      <c r="H149" s="1" t="str">
        <f>IF(AND(I.Facility.FacilityCount&gt;=140,F149=""),"Incomplete","Complete")</f>
        <v>Complete</v>
      </c>
      <c r="I149" s="48" t="s">
        <v>770</v>
      </c>
    </row>
    <row r="150" spans="2:9" ht="15" customHeight="1" x14ac:dyDescent="0.25">
      <c r="B150" s="26" t="s">
        <v>263</v>
      </c>
      <c r="C150" s="1">
        <v>141</v>
      </c>
      <c r="D150" s="27" t="s">
        <v>3031</v>
      </c>
      <c r="E150" s="27"/>
      <c r="F150" s="1" t="str">
        <f>IF(INDEX(I.Facility.IDNumber,141)="","",INDEX(I.Facility.IDNumber,141))</f>
        <v/>
      </c>
      <c r="G150" s="27"/>
      <c r="H150" s="1" t="str">
        <f>IF(AND(I.Facility.FacilityCount&gt;=141,F150=""),"Incomplete","Complete")</f>
        <v>Complete</v>
      </c>
      <c r="I150" s="48" t="s">
        <v>771</v>
      </c>
    </row>
    <row r="151" spans="2:9" ht="15" customHeight="1" x14ac:dyDescent="0.25">
      <c r="B151" s="26" t="s">
        <v>263</v>
      </c>
      <c r="C151" s="1">
        <v>142</v>
      </c>
      <c r="D151" s="27" t="s">
        <v>3031</v>
      </c>
      <c r="E151" s="27"/>
      <c r="F151" s="1" t="str">
        <f>IF(INDEX(I.Facility.IDNumber,142)="","",INDEX(I.Facility.IDNumber,142))</f>
        <v/>
      </c>
      <c r="G151" s="27"/>
      <c r="H151" s="1" t="str">
        <f>IF(AND(I.Facility.FacilityCount&gt;=142,F151=""),"Incomplete","Complete")</f>
        <v>Complete</v>
      </c>
      <c r="I151" s="48" t="s">
        <v>772</v>
      </c>
    </row>
    <row r="152" spans="2:9" ht="15" customHeight="1" x14ac:dyDescent="0.25">
      <c r="B152" s="26" t="s">
        <v>263</v>
      </c>
      <c r="C152" s="1">
        <v>143</v>
      </c>
      <c r="D152" s="27" t="s">
        <v>3031</v>
      </c>
      <c r="E152" s="27"/>
      <c r="F152" s="1" t="str">
        <f>IF(INDEX(I.Facility.IDNumber,143)="","",INDEX(I.Facility.IDNumber,143))</f>
        <v/>
      </c>
      <c r="G152" s="27"/>
      <c r="H152" s="1" t="str">
        <f>IF(AND(I.Facility.FacilityCount&gt;=143,F152=""),"Incomplete","Complete")</f>
        <v>Complete</v>
      </c>
      <c r="I152" s="48" t="s">
        <v>773</v>
      </c>
    </row>
    <row r="153" spans="2:9" ht="15" customHeight="1" x14ac:dyDescent="0.25">
      <c r="B153" s="26" t="s">
        <v>263</v>
      </c>
      <c r="C153" s="1">
        <v>144</v>
      </c>
      <c r="D153" s="27" t="s">
        <v>3031</v>
      </c>
      <c r="E153" s="27"/>
      <c r="F153" s="1" t="str">
        <f>IF(INDEX(I.Facility.IDNumber,144)="","",INDEX(I.Facility.IDNumber,144))</f>
        <v/>
      </c>
      <c r="G153" s="27"/>
      <c r="H153" s="1" t="str">
        <f>IF(AND(I.Facility.FacilityCount&gt;=144,F153=""),"Incomplete","Complete")</f>
        <v>Complete</v>
      </c>
      <c r="I153" s="48" t="s">
        <v>774</v>
      </c>
    </row>
    <row r="154" spans="2:9" ht="15" customHeight="1" x14ac:dyDescent="0.25">
      <c r="B154" s="26" t="s">
        <v>263</v>
      </c>
      <c r="C154" s="1">
        <v>145</v>
      </c>
      <c r="D154" s="27" t="s">
        <v>3031</v>
      </c>
      <c r="E154" s="27"/>
      <c r="F154" s="1" t="str">
        <f>IF(INDEX(I.Facility.IDNumber,145)="","",INDEX(I.Facility.IDNumber,145))</f>
        <v/>
      </c>
      <c r="G154" s="27"/>
      <c r="H154" s="1" t="str">
        <f>IF(AND(I.Facility.FacilityCount&gt;=145,F154=""),"Incomplete","Complete")</f>
        <v>Complete</v>
      </c>
      <c r="I154" s="48" t="s">
        <v>775</v>
      </c>
    </row>
    <row r="155" spans="2:9" ht="15" customHeight="1" x14ac:dyDescent="0.25">
      <c r="B155" s="26" t="s">
        <v>263</v>
      </c>
      <c r="C155" s="1">
        <v>146</v>
      </c>
      <c r="D155" s="27" t="s">
        <v>3031</v>
      </c>
      <c r="E155" s="27"/>
      <c r="F155" s="1" t="str">
        <f>IF(INDEX(I.Facility.IDNumber,146)="","",INDEX(I.Facility.IDNumber,146))</f>
        <v/>
      </c>
      <c r="G155" s="27"/>
      <c r="H155" s="1" t="str">
        <f>IF(AND(I.Facility.FacilityCount&gt;=146,F155=""),"Incomplete","Complete")</f>
        <v>Complete</v>
      </c>
      <c r="I155" s="48" t="s">
        <v>776</v>
      </c>
    </row>
    <row r="156" spans="2:9" ht="15" customHeight="1" x14ac:dyDescent="0.25">
      <c r="B156" s="26" t="s">
        <v>263</v>
      </c>
      <c r="C156" s="1">
        <v>147</v>
      </c>
      <c r="D156" s="27" t="s">
        <v>3031</v>
      </c>
      <c r="E156" s="27"/>
      <c r="F156" s="1" t="str">
        <f>IF(INDEX(I.Facility.IDNumber,147)="","",INDEX(I.Facility.IDNumber,147))</f>
        <v/>
      </c>
      <c r="G156" s="27"/>
      <c r="H156" s="1" t="str">
        <f>IF(AND(I.Facility.FacilityCount&gt;=147,F156=""),"Incomplete","Complete")</f>
        <v>Complete</v>
      </c>
      <c r="I156" s="48" t="s">
        <v>777</v>
      </c>
    </row>
    <row r="157" spans="2:9" ht="15" customHeight="1" x14ac:dyDescent="0.25">
      <c r="B157" s="26" t="s">
        <v>263</v>
      </c>
      <c r="C157" s="1">
        <v>148</v>
      </c>
      <c r="D157" s="27" t="s">
        <v>3031</v>
      </c>
      <c r="E157" s="27"/>
      <c r="F157" s="1" t="str">
        <f>IF(INDEX(I.Facility.IDNumber,148)="","",INDEX(I.Facility.IDNumber,148))</f>
        <v/>
      </c>
      <c r="G157" s="27"/>
      <c r="H157" s="1" t="str">
        <f>IF(AND(I.Facility.FacilityCount&gt;=148,F157=""),"Incomplete","Complete")</f>
        <v>Complete</v>
      </c>
      <c r="I157" s="48" t="s">
        <v>778</v>
      </c>
    </row>
    <row r="158" spans="2:9" ht="15" customHeight="1" x14ac:dyDescent="0.25">
      <c r="B158" s="26" t="s">
        <v>263</v>
      </c>
      <c r="C158" s="1">
        <v>149</v>
      </c>
      <c r="D158" s="27" t="s">
        <v>3031</v>
      </c>
      <c r="E158" s="27"/>
      <c r="F158" s="1" t="str">
        <f>IF(INDEX(I.Facility.IDNumber,149)="","",INDEX(I.Facility.IDNumber,149))</f>
        <v/>
      </c>
      <c r="G158" s="27"/>
      <c r="H158" s="1" t="str">
        <f>IF(AND(I.Facility.FacilityCount&gt;=149,F158=""),"Incomplete","Complete")</f>
        <v>Complete</v>
      </c>
      <c r="I158" s="48" t="s">
        <v>779</v>
      </c>
    </row>
    <row r="159" spans="2:9" ht="15" customHeight="1" x14ac:dyDescent="0.25">
      <c r="B159" s="26" t="s">
        <v>263</v>
      </c>
      <c r="C159" s="1">
        <v>150</v>
      </c>
      <c r="D159" s="27" t="s">
        <v>3031</v>
      </c>
      <c r="E159" s="27"/>
      <c r="F159" s="1" t="str">
        <f>IF(INDEX(I.Facility.IDNumber,150)="","",INDEX(I.Facility.IDNumber,150))</f>
        <v/>
      </c>
      <c r="G159" s="27"/>
      <c r="H159" s="1" t="str">
        <f>IF(AND(I.Facility.FacilityCount&gt;=150,F159=""),"Incomplete","Complete")</f>
        <v>Complete</v>
      </c>
      <c r="I159" s="48" t="s">
        <v>780</v>
      </c>
    </row>
    <row r="160" spans="2:9" ht="15" customHeight="1" x14ac:dyDescent="0.25">
      <c r="B160" s="26" t="s">
        <v>263</v>
      </c>
      <c r="C160" s="1">
        <v>151</v>
      </c>
      <c r="D160" s="27" t="s">
        <v>3031</v>
      </c>
      <c r="E160" s="27"/>
      <c r="F160" s="1" t="str">
        <f>IF(INDEX(I.Facility.IDNumber,151)="","",INDEX(I.Facility.IDNumber,151))</f>
        <v/>
      </c>
      <c r="G160" s="27"/>
      <c r="H160" s="1" t="str">
        <f>IF(AND(I.Facility.FacilityCount&gt;=151,F160=""),"Incomplete","Complete")</f>
        <v>Complete</v>
      </c>
      <c r="I160" s="48" t="s">
        <v>781</v>
      </c>
    </row>
    <row r="161" spans="2:9" ht="15" customHeight="1" x14ac:dyDescent="0.25">
      <c r="B161" s="26" t="s">
        <v>263</v>
      </c>
      <c r="C161" s="1">
        <v>152</v>
      </c>
      <c r="D161" s="27" t="s">
        <v>3031</v>
      </c>
      <c r="E161" s="27"/>
      <c r="F161" s="1" t="str">
        <f>IF(INDEX(I.Facility.IDNumber,152)="","",INDEX(I.Facility.IDNumber,152))</f>
        <v/>
      </c>
      <c r="G161" s="27"/>
      <c r="H161" s="1" t="str">
        <f>IF(AND(I.Facility.FacilityCount&gt;=152,F161=""),"Incomplete","Complete")</f>
        <v>Complete</v>
      </c>
      <c r="I161" s="48" t="s">
        <v>782</v>
      </c>
    </row>
    <row r="162" spans="2:9" ht="15" customHeight="1" x14ac:dyDescent="0.25">
      <c r="B162" s="26" t="s">
        <v>263</v>
      </c>
      <c r="C162" s="1">
        <v>153</v>
      </c>
      <c r="D162" s="27" t="s">
        <v>3031</v>
      </c>
      <c r="E162" s="27"/>
      <c r="F162" s="1" t="str">
        <f>IF(INDEX(I.Facility.IDNumber,153)="","",INDEX(I.Facility.IDNumber,153))</f>
        <v/>
      </c>
      <c r="G162" s="27"/>
      <c r="H162" s="1" t="str">
        <f>IF(AND(I.Facility.FacilityCount&gt;=153,F162=""),"Incomplete","Complete")</f>
        <v>Complete</v>
      </c>
      <c r="I162" s="48" t="s">
        <v>783</v>
      </c>
    </row>
    <row r="163" spans="2:9" ht="15" customHeight="1" x14ac:dyDescent="0.25">
      <c r="B163" s="26" t="s">
        <v>263</v>
      </c>
      <c r="C163" s="1">
        <v>154</v>
      </c>
      <c r="D163" s="27" t="s">
        <v>3031</v>
      </c>
      <c r="E163" s="27"/>
      <c r="F163" s="1" t="str">
        <f>IF(INDEX(I.Facility.IDNumber,154)="","",INDEX(I.Facility.IDNumber,154))</f>
        <v/>
      </c>
      <c r="G163" s="27"/>
      <c r="H163" s="1" t="str">
        <f>IF(AND(I.Facility.FacilityCount&gt;=154,F163=""),"Incomplete","Complete")</f>
        <v>Complete</v>
      </c>
      <c r="I163" s="48" t="s">
        <v>784</v>
      </c>
    </row>
    <row r="164" spans="2:9" ht="15" customHeight="1" x14ac:dyDescent="0.25">
      <c r="B164" s="26" t="s">
        <v>263</v>
      </c>
      <c r="C164" s="1">
        <v>155</v>
      </c>
      <c r="D164" s="27" t="s">
        <v>3031</v>
      </c>
      <c r="E164" s="27"/>
      <c r="F164" s="1" t="str">
        <f>IF(INDEX(I.Facility.IDNumber,155)="","",INDEX(I.Facility.IDNumber,155))</f>
        <v/>
      </c>
      <c r="G164" s="27"/>
      <c r="H164" s="1" t="str">
        <f>IF(AND(I.Facility.FacilityCount&gt;=155,F164=""),"Incomplete","Complete")</f>
        <v>Complete</v>
      </c>
      <c r="I164" s="48" t="s">
        <v>785</v>
      </c>
    </row>
    <row r="165" spans="2:9" ht="15" customHeight="1" x14ac:dyDescent="0.25">
      <c r="B165" s="26" t="s">
        <v>263</v>
      </c>
      <c r="C165" s="1">
        <v>156</v>
      </c>
      <c r="D165" s="27" t="s">
        <v>3031</v>
      </c>
      <c r="E165" s="27"/>
      <c r="F165" s="1" t="str">
        <f>IF(INDEX(I.Facility.IDNumber,156)="","",INDEX(I.Facility.IDNumber,156))</f>
        <v/>
      </c>
      <c r="G165" s="27"/>
      <c r="H165" s="1" t="str">
        <f>IF(AND(I.Facility.FacilityCount&gt;=156,F165=""),"Incomplete","Complete")</f>
        <v>Complete</v>
      </c>
      <c r="I165" s="48" t="s">
        <v>786</v>
      </c>
    </row>
    <row r="166" spans="2:9" ht="15" customHeight="1" x14ac:dyDescent="0.25">
      <c r="B166" s="26" t="s">
        <v>263</v>
      </c>
      <c r="C166" s="1">
        <v>157</v>
      </c>
      <c r="D166" s="27" t="s">
        <v>3031</v>
      </c>
      <c r="E166" s="27"/>
      <c r="F166" s="1" t="str">
        <f>IF(INDEX(I.Facility.IDNumber,157)="","",INDEX(I.Facility.IDNumber,157))</f>
        <v/>
      </c>
      <c r="G166" s="27"/>
      <c r="H166" s="1" t="str">
        <f>IF(AND(I.Facility.FacilityCount&gt;=157,F166=""),"Incomplete","Complete")</f>
        <v>Complete</v>
      </c>
      <c r="I166" s="48" t="s">
        <v>787</v>
      </c>
    </row>
    <row r="167" spans="2:9" ht="15" customHeight="1" x14ac:dyDescent="0.25">
      <c r="B167" s="26" t="s">
        <v>263</v>
      </c>
      <c r="C167" s="1">
        <v>158</v>
      </c>
      <c r="D167" s="27" t="s">
        <v>3031</v>
      </c>
      <c r="E167" s="27"/>
      <c r="F167" s="1" t="str">
        <f>IF(INDEX(I.Facility.IDNumber,158)="","",INDEX(I.Facility.IDNumber,158))</f>
        <v/>
      </c>
      <c r="G167" s="27"/>
      <c r="H167" s="1" t="str">
        <f>IF(AND(I.Facility.FacilityCount&gt;=158,F167=""),"Incomplete","Complete")</f>
        <v>Complete</v>
      </c>
      <c r="I167" s="48" t="s">
        <v>788</v>
      </c>
    </row>
    <row r="168" spans="2:9" ht="15" customHeight="1" x14ac:dyDescent="0.25">
      <c r="B168" s="26" t="s">
        <v>263</v>
      </c>
      <c r="C168" s="1">
        <v>159</v>
      </c>
      <c r="D168" s="27" t="s">
        <v>3031</v>
      </c>
      <c r="E168" s="27"/>
      <c r="F168" s="1" t="str">
        <f>IF(INDEX(I.Facility.IDNumber,159)="","",INDEX(I.Facility.IDNumber,159))</f>
        <v/>
      </c>
      <c r="G168" s="27"/>
      <c r="H168" s="1" t="str">
        <f>IF(AND(I.Facility.FacilityCount&gt;=159,F168=""),"Incomplete","Complete")</f>
        <v>Complete</v>
      </c>
      <c r="I168" s="48" t="s">
        <v>789</v>
      </c>
    </row>
    <row r="169" spans="2:9" ht="15" customHeight="1" x14ac:dyDescent="0.25">
      <c r="B169" s="26" t="s">
        <v>263</v>
      </c>
      <c r="C169" s="1">
        <v>160</v>
      </c>
      <c r="D169" s="27" t="s">
        <v>3031</v>
      </c>
      <c r="E169" s="27"/>
      <c r="F169" s="1" t="str">
        <f>IF(INDEX(I.Facility.IDNumber,160)="","",INDEX(I.Facility.IDNumber,160))</f>
        <v/>
      </c>
      <c r="G169" s="27"/>
      <c r="H169" s="1" t="str">
        <f>IF(AND(I.Facility.FacilityCount&gt;=160,F169=""),"Incomplete","Complete")</f>
        <v>Complete</v>
      </c>
      <c r="I169" s="48" t="s">
        <v>790</v>
      </c>
    </row>
    <row r="170" spans="2:9" ht="15" customHeight="1" x14ac:dyDescent="0.25">
      <c r="B170" s="26" t="s">
        <v>263</v>
      </c>
      <c r="C170" s="1">
        <v>161</v>
      </c>
      <c r="D170" s="27" t="s">
        <v>3031</v>
      </c>
      <c r="E170" s="27"/>
      <c r="F170" s="1" t="str">
        <f>IF(INDEX(I.Facility.IDNumber,161)="","",INDEX(I.Facility.IDNumber,161))</f>
        <v/>
      </c>
      <c r="G170" s="27"/>
      <c r="H170" s="1" t="str">
        <f>IF(AND(I.Facility.FacilityCount&gt;=161,F170=""),"Incomplete","Complete")</f>
        <v>Complete</v>
      </c>
      <c r="I170" s="48" t="s">
        <v>791</v>
      </c>
    </row>
    <row r="171" spans="2:9" ht="15" customHeight="1" x14ac:dyDescent="0.25">
      <c r="B171" s="26" t="s">
        <v>263</v>
      </c>
      <c r="C171" s="1">
        <v>162</v>
      </c>
      <c r="D171" s="27" t="s">
        <v>3031</v>
      </c>
      <c r="E171" s="27"/>
      <c r="F171" s="1" t="str">
        <f>IF(INDEX(I.Facility.IDNumber,162)="","",INDEX(I.Facility.IDNumber,162))</f>
        <v/>
      </c>
      <c r="G171" s="27"/>
      <c r="H171" s="1" t="str">
        <f>IF(AND(I.Facility.FacilityCount&gt;=162,F171=""),"Incomplete","Complete")</f>
        <v>Complete</v>
      </c>
      <c r="I171" s="48" t="s">
        <v>792</v>
      </c>
    </row>
    <row r="172" spans="2:9" ht="15" customHeight="1" x14ac:dyDescent="0.25">
      <c r="B172" s="26" t="s">
        <v>263</v>
      </c>
      <c r="C172" s="1">
        <v>163</v>
      </c>
      <c r="D172" s="27" t="s">
        <v>3031</v>
      </c>
      <c r="E172" s="27"/>
      <c r="F172" s="1" t="str">
        <f>IF(INDEX(I.Facility.IDNumber,163)="","",INDEX(I.Facility.IDNumber,163))</f>
        <v/>
      </c>
      <c r="G172" s="27"/>
      <c r="H172" s="1" t="str">
        <f>IF(AND(I.Facility.FacilityCount&gt;=163,F172=""),"Incomplete","Complete")</f>
        <v>Complete</v>
      </c>
      <c r="I172" s="48" t="s">
        <v>793</v>
      </c>
    </row>
    <row r="173" spans="2:9" ht="15" customHeight="1" x14ac:dyDescent="0.25">
      <c r="B173" s="26" t="s">
        <v>263</v>
      </c>
      <c r="C173" s="1">
        <v>164</v>
      </c>
      <c r="D173" s="27" t="s">
        <v>3031</v>
      </c>
      <c r="E173" s="27"/>
      <c r="F173" s="1" t="str">
        <f>IF(INDEX(I.Facility.IDNumber,164)="","",INDEX(I.Facility.IDNumber,164))</f>
        <v/>
      </c>
      <c r="G173" s="27"/>
      <c r="H173" s="1" t="str">
        <f>IF(AND(I.Facility.FacilityCount&gt;=164,F173=""),"Incomplete","Complete")</f>
        <v>Complete</v>
      </c>
      <c r="I173" s="48" t="s">
        <v>794</v>
      </c>
    </row>
    <row r="174" spans="2:9" ht="15" customHeight="1" x14ac:dyDescent="0.25">
      <c r="B174" s="26" t="s">
        <v>263</v>
      </c>
      <c r="C174" s="1">
        <v>165</v>
      </c>
      <c r="D174" s="27" t="s">
        <v>3031</v>
      </c>
      <c r="E174" s="27"/>
      <c r="F174" s="1" t="str">
        <f>IF(INDEX(I.Facility.IDNumber,165)="","",INDEX(I.Facility.IDNumber,165))</f>
        <v/>
      </c>
      <c r="G174" s="27"/>
      <c r="H174" s="1" t="str">
        <f>IF(AND(I.Facility.FacilityCount&gt;=165,F174=""),"Incomplete","Complete")</f>
        <v>Complete</v>
      </c>
      <c r="I174" s="48" t="s">
        <v>795</v>
      </c>
    </row>
    <row r="175" spans="2:9" ht="15" customHeight="1" x14ac:dyDescent="0.25">
      <c r="B175" s="26" t="s">
        <v>263</v>
      </c>
      <c r="C175" s="1">
        <v>166</v>
      </c>
      <c r="D175" s="27" t="s">
        <v>3031</v>
      </c>
      <c r="E175" s="27"/>
      <c r="F175" s="1" t="str">
        <f>IF(INDEX(I.Facility.IDNumber,166)="","",INDEX(I.Facility.IDNumber,166))</f>
        <v/>
      </c>
      <c r="G175" s="27"/>
      <c r="H175" s="1" t="str">
        <f>IF(AND(I.Facility.FacilityCount&gt;=166,F175=""),"Incomplete","Complete")</f>
        <v>Complete</v>
      </c>
      <c r="I175" s="48" t="s">
        <v>796</v>
      </c>
    </row>
    <row r="176" spans="2:9" ht="15" customHeight="1" x14ac:dyDescent="0.25">
      <c r="B176" s="26" t="s">
        <v>263</v>
      </c>
      <c r="C176" s="1">
        <v>167</v>
      </c>
      <c r="D176" s="27" t="s">
        <v>3031</v>
      </c>
      <c r="E176" s="27"/>
      <c r="F176" s="1" t="str">
        <f>IF(INDEX(I.Facility.IDNumber,167)="","",INDEX(I.Facility.IDNumber,167))</f>
        <v/>
      </c>
      <c r="G176" s="27"/>
      <c r="H176" s="1" t="str">
        <f>IF(AND(I.Facility.FacilityCount&gt;=167,F176=""),"Incomplete","Complete")</f>
        <v>Complete</v>
      </c>
      <c r="I176" s="48" t="s">
        <v>797</v>
      </c>
    </row>
    <row r="177" spans="2:9" ht="15" customHeight="1" x14ac:dyDescent="0.25">
      <c r="B177" s="26" t="s">
        <v>263</v>
      </c>
      <c r="C177" s="1">
        <v>168</v>
      </c>
      <c r="D177" s="27" t="s">
        <v>3031</v>
      </c>
      <c r="E177" s="27"/>
      <c r="F177" s="1" t="str">
        <f>IF(INDEX(I.Facility.IDNumber,168)="","",INDEX(I.Facility.IDNumber,168))</f>
        <v/>
      </c>
      <c r="G177" s="27"/>
      <c r="H177" s="1" t="str">
        <f>IF(AND(I.Facility.FacilityCount&gt;=168,F177=""),"Incomplete","Complete")</f>
        <v>Complete</v>
      </c>
      <c r="I177" s="48" t="s">
        <v>798</v>
      </c>
    </row>
    <row r="178" spans="2:9" ht="15" customHeight="1" x14ac:dyDescent="0.25">
      <c r="B178" s="26" t="s">
        <v>263</v>
      </c>
      <c r="C178" s="1">
        <v>169</v>
      </c>
      <c r="D178" s="27" t="s">
        <v>3031</v>
      </c>
      <c r="E178" s="27"/>
      <c r="F178" s="1" t="str">
        <f>IF(INDEX(I.Facility.IDNumber,169)="","",INDEX(I.Facility.IDNumber,169))</f>
        <v/>
      </c>
      <c r="G178" s="27"/>
      <c r="H178" s="1" t="str">
        <f>IF(AND(I.Facility.FacilityCount&gt;=169,F178=""),"Incomplete","Complete")</f>
        <v>Complete</v>
      </c>
      <c r="I178" s="48" t="s">
        <v>799</v>
      </c>
    </row>
    <row r="179" spans="2:9" ht="15" customHeight="1" x14ac:dyDescent="0.25">
      <c r="B179" s="26" t="s">
        <v>263</v>
      </c>
      <c r="C179" s="1">
        <v>170</v>
      </c>
      <c r="D179" s="27" t="s">
        <v>3031</v>
      </c>
      <c r="E179" s="27"/>
      <c r="F179" s="1" t="str">
        <f>IF(INDEX(I.Facility.IDNumber,170)="","",INDEX(I.Facility.IDNumber,170))</f>
        <v/>
      </c>
      <c r="G179" s="27"/>
      <c r="H179" s="1" t="str">
        <f>IF(AND(I.Facility.FacilityCount&gt;=170,F179=""),"Incomplete","Complete")</f>
        <v>Complete</v>
      </c>
      <c r="I179" s="48" t="s">
        <v>800</v>
      </c>
    </row>
    <row r="180" spans="2:9" ht="15" customHeight="1" x14ac:dyDescent="0.25">
      <c r="B180" s="26" t="s">
        <v>263</v>
      </c>
      <c r="C180" s="1">
        <v>171</v>
      </c>
      <c r="D180" s="27" t="s">
        <v>3031</v>
      </c>
      <c r="E180" s="27"/>
      <c r="F180" s="1" t="str">
        <f>IF(INDEX(I.Facility.IDNumber,171)="","",INDEX(I.Facility.IDNumber,171))</f>
        <v/>
      </c>
      <c r="G180" s="27"/>
      <c r="H180" s="1" t="str">
        <f>IF(AND(I.Facility.FacilityCount&gt;=171,F180=""),"Incomplete","Complete")</f>
        <v>Complete</v>
      </c>
      <c r="I180" s="48" t="s">
        <v>801</v>
      </c>
    </row>
    <row r="181" spans="2:9" ht="15" customHeight="1" x14ac:dyDescent="0.25">
      <c r="B181" s="26" t="s">
        <v>263</v>
      </c>
      <c r="C181" s="1">
        <v>172</v>
      </c>
      <c r="D181" s="27" t="s">
        <v>3031</v>
      </c>
      <c r="E181" s="27"/>
      <c r="F181" s="1" t="str">
        <f>IF(INDEX(I.Facility.IDNumber,172)="","",INDEX(I.Facility.IDNumber,172))</f>
        <v/>
      </c>
      <c r="G181" s="27"/>
      <c r="H181" s="1" t="str">
        <f>IF(AND(I.Facility.FacilityCount&gt;=172,F181=""),"Incomplete","Complete")</f>
        <v>Complete</v>
      </c>
      <c r="I181" s="48" t="s">
        <v>802</v>
      </c>
    </row>
    <row r="182" spans="2:9" ht="15" customHeight="1" x14ac:dyDescent="0.25">
      <c r="B182" s="26" t="s">
        <v>263</v>
      </c>
      <c r="C182" s="1">
        <v>173</v>
      </c>
      <c r="D182" s="27" t="s">
        <v>3031</v>
      </c>
      <c r="E182" s="27"/>
      <c r="F182" s="1" t="str">
        <f>IF(INDEX(I.Facility.IDNumber,173)="","",INDEX(I.Facility.IDNumber,173))</f>
        <v/>
      </c>
      <c r="G182" s="27"/>
      <c r="H182" s="1" t="str">
        <f>IF(AND(I.Facility.FacilityCount&gt;=173,F182=""),"Incomplete","Complete")</f>
        <v>Complete</v>
      </c>
      <c r="I182" s="48" t="s">
        <v>803</v>
      </c>
    </row>
    <row r="183" spans="2:9" ht="15" customHeight="1" x14ac:dyDescent="0.25">
      <c r="B183" s="26" t="s">
        <v>263</v>
      </c>
      <c r="C183" s="1">
        <v>174</v>
      </c>
      <c r="D183" s="27" t="s">
        <v>3031</v>
      </c>
      <c r="E183" s="27"/>
      <c r="F183" s="1" t="str">
        <f>IF(INDEX(I.Facility.IDNumber,174)="","",INDEX(I.Facility.IDNumber,174))</f>
        <v/>
      </c>
      <c r="G183" s="27"/>
      <c r="H183" s="1" t="str">
        <f>IF(AND(I.Facility.FacilityCount&gt;=174,F183=""),"Incomplete","Complete")</f>
        <v>Complete</v>
      </c>
      <c r="I183" s="48" t="s">
        <v>804</v>
      </c>
    </row>
    <row r="184" spans="2:9" ht="15" customHeight="1" x14ac:dyDescent="0.25">
      <c r="B184" s="26" t="s">
        <v>263</v>
      </c>
      <c r="C184" s="1">
        <v>175</v>
      </c>
      <c r="D184" s="27" t="s">
        <v>3031</v>
      </c>
      <c r="E184" s="27"/>
      <c r="F184" s="1" t="str">
        <f>IF(INDEX(I.Facility.IDNumber,175)="","",INDEX(I.Facility.IDNumber,175))</f>
        <v/>
      </c>
      <c r="G184" s="27"/>
      <c r="H184" s="1" t="str">
        <f>IF(AND(I.Facility.FacilityCount&gt;=175,F184=""),"Incomplete","Complete")</f>
        <v>Complete</v>
      </c>
      <c r="I184" s="48" t="s">
        <v>805</v>
      </c>
    </row>
    <row r="185" spans="2:9" ht="15" customHeight="1" x14ac:dyDescent="0.25">
      <c r="B185" s="26" t="s">
        <v>263</v>
      </c>
      <c r="C185" s="1">
        <v>176</v>
      </c>
      <c r="D185" s="27" t="s">
        <v>3031</v>
      </c>
      <c r="E185" s="27"/>
      <c r="F185" s="1" t="str">
        <f>IF(INDEX(I.Facility.IDNumber,176)="","",INDEX(I.Facility.IDNumber,176))</f>
        <v/>
      </c>
      <c r="G185" s="27"/>
      <c r="H185" s="1" t="str">
        <f>IF(AND(I.Facility.FacilityCount&gt;=176,F185=""),"Incomplete","Complete")</f>
        <v>Complete</v>
      </c>
      <c r="I185" s="48" t="s">
        <v>806</v>
      </c>
    </row>
    <row r="186" spans="2:9" ht="15" customHeight="1" x14ac:dyDescent="0.25">
      <c r="B186" s="26" t="s">
        <v>263</v>
      </c>
      <c r="C186" s="1">
        <v>177</v>
      </c>
      <c r="D186" s="27" t="s">
        <v>3031</v>
      </c>
      <c r="E186" s="27"/>
      <c r="F186" s="1" t="str">
        <f>IF(INDEX(I.Facility.IDNumber,177)="","",INDEX(I.Facility.IDNumber,177))</f>
        <v/>
      </c>
      <c r="G186" s="27"/>
      <c r="H186" s="1" t="str">
        <f>IF(AND(I.Facility.FacilityCount&gt;=177,F186=""),"Incomplete","Complete")</f>
        <v>Complete</v>
      </c>
      <c r="I186" s="48" t="s">
        <v>807</v>
      </c>
    </row>
    <row r="187" spans="2:9" ht="15" customHeight="1" x14ac:dyDescent="0.25">
      <c r="B187" s="26" t="s">
        <v>263</v>
      </c>
      <c r="C187" s="1">
        <v>178</v>
      </c>
      <c r="D187" s="27" t="s">
        <v>3031</v>
      </c>
      <c r="E187" s="27"/>
      <c r="F187" s="1" t="str">
        <f>IF(INDEX(I.Facility.IDNumber,178)="","",INDEX(I.Facility.IDNumber,178))</f>
        <v/>
      </c>
      <c r="G187" s="27"/>
      <c r="H187" s="1" t="str">
        <f>IF(AND(I.Facility.FacilityCount&gt;=178,F187=""),"Incomplete","Complete")</f>
        <v>Complete</v>
      </c>
      <c r="I187" s="48" t="s">
        <v>808</v>
      </c>
    </row>
    <row r="188" spans="2:9" ht="15" customHeight="1" x14ac:dyDescent="0.25">
      <c r="B188" s="26" t="s">
        <v>263</v>
      </c>
      <c r="C188" s="1">
        <v>179</v>
      </c>
      <c r="D188" s="27" t="s">
        <v>3031</v>
      </c>
      <c r="E188" s="27"/>
      <c r="F188" s="1" t="str">
        <f>IF(INDEX(I.Facility.IDNumber,179)="","",INDEX(I.Facility.IDNumber,179))</f>
        <v/>
      </c>
      <c r="G188" s="27"/>
      <c r="H188" s="1" t="str">
        <f>IF(AND(I.Facility.FacilityCount&gt;=179,F188=""),"Incomplete","Complete")</f>
        <v>Complete</v>
      </c>
      <c r="I188" s="48" t="s">
        <v>809</v>
      </c>
    </row>
    <row r="189" spans="2:9" ht="15" customHeight="1" x14ac:dyDescent="0.25">
      <c r="B189" s="26" t="s">
        <v>263</v>
      </c>
      <c r="C189" s="1">
        <v>180</v>
      </c>
      <c r="D189" s="27" t="s">
        <v>3031</v>
      </c>
      <c r="E189" s="27"/>
      <c r="F189" s="1" t="str">
        <f>IF(INDEX(I.Facility.IDNumber,180)="","",INDEX(I.Facility.IDNumber,180))</f>
        <v/>
      </c>
      <c r="G189" s="27"/>
      <c r="H189" s="1" t="str">
        <f>IF(AND(I.Facility.FacilityCount&gt;=180,F189=""),"Incomplete","Complete")</f>
        <v>Complete</v>
      </c>
      <c r="I189" s="48" t="s">
        <v>810</v>
      </c>
    </row>
    <row r="190" spans="2:9" ht="15" customHeight="1" x14ac:dyDescent="0.25">
      <c r="B190" s="26" t="s">
        <v>263</v>
      </c>
      <c r="C190" s="1">
        <v>181</v>
      </c>
      <c r="D190" s="27" t="s">
        <v>3031</v>
      </c>
      <c r="E190" s="27"/>
      <c r="F190" s="1" t="str">
        <f>IF(INDEX(I.Facility.IDNumber,181)="","",INDEX(I.Facility.IDNumber,181))</f>
        <v/>
      </c>
      <c r="G190" s="27"/>
      <c r="H190" s="1" t="str">
        <f>IF(AND(I.Facility.FacilityCount&gt;=181,F190=""),"Incomplete","Complete")</f>
        <v>Complete</v>
      </c>
      <c r="I190" s="48" t="s">
        <v>811</v>
      </c>
    </row>
    <row r="191" spans="2:9" ht="15" customHeight="1" x14ac:dyDescent="0.25">
      <c r="B191" s="26" t="s">
        <v>263</v>
      </c>
      <c r="C191" s="1">
        <v>182</v>
      </c>
      <c r="D191" s="27" t="s">
        <v>3031</v>
      </c>
      <c r="E191" s="27"/>
      <c r="F191" s="1" t="str">
        <f>IF(INDEX(I.Facility.IDNumber,182)="","",INDEX(I.Facility.IDNumber,182))</f>
        <v/>
      </c>
      <c r="G191" s="27"/>
      <c r="H191" s="1" t="str">
        <f>IF(AND(I.Facility.FacilityCount&gt;=182,F191=""),"Incomplete","Complete")</f>
        <v>Complete</v>
      </c>
      <c r="I191" s="48" t="s">
        <v>812</v>
      </c>
    </row>
    <row r="192" spans="2:9" ht="15" customHeight="1" x14ac:dyDescent="0.25">
      <c r="B192" s="26" t="s">
        <v>263</v>
      </c>
      <c r="C192" s="1">
        <v>183</v>
      </c>
      <c r="D192" s="27" t="s">
        <v>3031</v>
      </c>
      <c r="E192" s="27"/>
      <c r="F192" s="1" t="str">
        <f>IF(INDEX(I.Facility.IDNumber,183)="","",INDEX(I.Facility.IDNumber,183))</f>
        <v/>
      </c>
      <c r="G192" s="27"/>
      <c r="H192" s="1" t="str">
        <f>IF(AND(I.Facility.FacilityCount&gt;=183,F192=""),"Incomplete","Complete")</f>
        <v>Complete</v>
      </c>
      <c r="I192" s="48" t="s">
        <v>813</v>
      </c>
    </row>
    <row r="193" spans="2:9" ht="15" customHeight="1" x14ac:dyDescent="0.25">
      <c r="B193" s="26" t="s">
        <v>263</v>
      </c>
      <c r="C193" s="1">
        <v>184</v>
      </c>
      <c r="D193" s="27" t="s">
        <v>3031</v>
      </c>
      <c r="E193" s="27"/>
      <c r="F193" s="1" t="str">
        <f>IF(INDEX(I.Facility.IDNumber,184)="","",INDEX(I.Facility.IDNumber,184))</f>
        <v/>
      </c>
      <c r="G193" s="27"/>
      <c r="H193" s="1" t="str">
        <f>IF(AND(I.Facility.FacilityCount&gt;=184,F193=""),"Incomplete","Complete")</f>
        <v>Complete</v>
      </c>
      <c r="I193" s="48" t="s">
        <v>814</v>
      </c>
    </row>
    <row r="194" spans="2:9" ht="15" customHeight="1" x14ac:dyDescent="0.25">
      <c r="B194" s="26" t="s">
        <v>263</v>
      </c>
      <c r="C194" s="1">
        <v>185</v>
      </c>
      <c r="D194" s="27" t="s">
        <v>3031</v>
      </c>
      <c r="E194" s="27"/>
      <c r="F194" s="1" t="str">
        <f>IF(INDEX(I.Facility.IDNumber,185)="","",INDEX(I.Facility.IDNumber,185))</f>
        <v/>
      </c>
      <c r="G194" s="27"/>
      <c r="H194" s="1" t="str">
        <f>IF(AND(I.Facility.FacilityCount&gt;=185,F194=""),"Incomplete","Complete")</f>
        <v>Complete</v>
      </c>
      <c r="I194" s="48" t="s">
        <v>815</v>
      </c>
    </row>
    <row r="195" spans="2:9" ht="15" customHeight="1" x14ac:dyDescent="0.25">
      <c r="B195" s="26" t="s">
        <v>263</v>
      </c>
      <c r="C195" s="1">
        <v>186</v>
      </c>
      <c r="D195" s="27" t="s">
        <v>3031</v>
      </c>
      <c r="E195" s="27"/>
      <c r="F195" s="1" t="str">
        <f>IF(INDEX(I.Facility.IDNumber,186)="","",INDEX(I.Facility.IDNumber,186))</f>
        <v/>
      </c>
      <c r="G195" s="27"/>
      <c r="H195" s="1" t="str">
        <f>IF(AND(I.Facility.FacilityCount&gt;=186,F195=""),"Incomplete","Complete")</f>
        <v>Complete</v>
      </c>
      <c r="I195" s="48" t="s">
        <v>816</v>
      </c>
    </row>
    <row r="196" spans="2:9" ht="15" customHeight="1" x14ac:dyDescent="0.25">
      <c r="B196" s="26" t="s">
        <v>263</v>
      </c>
      <c r="C196" s="1">
        <v>187</v>
      </c>
      <c r="D196" s="27" t="s">
        <v>3031</v>
      </c>
      <c r="E196" s="27"/>
      <c r="F196" s="1" t="str">
        <f>IF(INDEX(I.Facility.IDNumber,187)="","",INDEX(I.Facility.IDNumber,187))</f>
        <v/>
      </c>
      <c r="G196" s="27"/>
      <c r="H196" s="1" t="str">
        <f>IF(AND(I.Facility.FacilityCount&gt;=187,F196=""),"Incomplete","Complete")</f>
        <v>Complete</v>
      </c>
      <c r="I196" s="48" t="s">
        <v>817</v>
      </c>
    </row>
    <row r="197" spans="2:9" ht="15" customHeight="1" x14ac:dyDescent="0.25">
      <c r="B197" s="26" t="s">
        <v>263</v>
      </c>
      <c r="C197" s="1">
        <v>188</v>
      </c>
      <c r="D197" s="27" t="s">
        <v>3031</v>
      </c>
      <c r="E197" s="27"/>
      <c r="F197" s="1" t="str">
        <f>IF(INDEX(I.Facility.IDNumber,188)="","",INDEX(I.Facility.IDNumber,188))</f>
        <v/>
      </c>
      <c r="G197" s="27"/>
      <c r="H197" s="1" t="str">
        <f>IF(AND(I.Facility.FacilityCount&gt;=188,F197=""),"Incomplete","Complete")</f>
        <v>Complete</v>
      </c>
      <c r="I197" s="48" t="s">
        <v>818</v>
      </c>
    </row>
    <row r="198" spans="2:9" ht="15" customHeight="1" x14ac:dyDescent="0.25">
      <c r="B198" s="26" t="s">
        <v>263</v>
      </c>
      <c r="C198" s="1">
        <v>189</v>
      </c>
      <c r="D198" s="27" t="s">
        <v>3031</v>
      </c>
      <c r="E198" s="27"/>
      <c r="F198" s="1" t="str">
        <f>IF(INDEX(I.Facility.IDNumber,189)="","",INDEX(I.Facility.IDNumber,189))</f>
        <v/>
      </c>
      <c r="G198" s="27"/>
      <c r="H198" s="1" t="str">
        <f>IF(AND(I.Facility.FacilityCount&gt;=189,F198=""),"Incomplete","Complete")</f>
        <v>Complete</v>
      </c>
      <c r="I198" s="48" t="s">
        <v>819</v>
      </c>
    </row>
    <row r="199" spans="2:9" ht="15" customHeight="1" x14ac:dyDescent="0.25">
      <c r="B199" s="26" t="s">
        <v>263</v>
      </c>
      <c r="C199" s="1">
        <v>190</v>
      </c>
      <c r="D199" s="27" t="s">
        <v>3031</v>
      </c>
      <c r="E199" s="27"/>
      <c r="F199" s="1" t="str">
        <f>IF(INDEX(I.Facility.IDNumber,190)="","",INDEX(I.Facility.IDNumber,190))</f>
        <v/>
      </c>
      <c r="G199" s="27"/>
      <c r="H199" s="1" t="str">
        <f>IF(AND(I.Facility.FacilityCount&gt;=190,F199=""),"Incomplete","Complete")</f>
        <v>Complete</v>
      </c>
      <c r="I199" s="48" t="s">
        <v>820</v>
      </c>
    </row>
    <row r="200" spans="2:9" ht="15" customHeight="1" x14ac:dyDescent="0.25">
      <c r="B200" s="26" t="s">
        <v>263</v>
      </c>
      <c r="C200" s="1">
        <v>191</v>
      </c>
      <c r="D200" s="27" t="s">
        <v>3031</v>
      </c>
      <c r="E200" s="27"/>
      <c r="F200" s="1" t="str">
        <f>IF(INDEX(I.Facility.IDNumber,191)="","",INDEX(I.Facility.IDNumber,191))</f>
        <v/>
      </c>
      <c r="G200" s="27"/>
      <c r="H200" s="1" t="str">
        <f>IF(AND(I.Facility.FacilityCount&gt;=191,F200=""),"Incomplete","Complete")</f>
        <v>Complete</v>
      </c>
      <c r="I200" s="48" t="s">
        <v>821</v>
      </c>
    </row>
    <row r="201" spans="2:9" ht="15" customHeight="1" x14ac:dyDescent="0.25">
      <c r="B201" s="26" t="s">
        <v>263</v>
      </c>
      <c r="C201" s="1">
        <v>192</v>
      </c>
      <c r="D201" s="27" t="s">
        <v>3031</v>
      </c>
      <c r="E201" s="27"/>
      <c r="F201" s="1" t="str">
        <f>IF(INDEX(I.Facility.IDNumber,192)="","",INDEX(I.Facility.IDNumber,192))</f>
        <v/>
      </c>
      <c r="G201" s="27"/>
      <c r="H201" s="1" t="str">
        <f>IF(AND(I.Facility.FacilityCount&gt;=192,F201=""),"Incomplete","Complete")</f>
        <v>Complete</v>
      </c>
      <c r="I201" s="48" t="s">
        <v>822</v>
      </c>
    </row>
    <row r="202" spans="2:9" ht="15" customHeight="1" x14ac:dyDescent="0.25">
      <c r="B202" s="26" t="s">
        <v>263</v>
      </c>
      <c r="C202" s="1">
        <v>193</v>
      </c>
      <c r="D202" s="27" t="s">
        <v>3031</v>
      </c>
      <c r="E202" s="27"/>
      <c r="F202" s="1" t="str">
        <f>IF(INDEX(I.Facility.IDNumber,193)="","",INDEX(I.Facility.IDNumber,193))</f>
        <v/>
      </c>
      <c r="G202" s="27"/>
      <c r="H202" s="1" t="str">
        <f>IF(AND(I.Facility.FacilityCount&gt;=193,F202=""),"Incomplete","Complete")</f>
        <v>Complete</v>
      </c>
      <c r="I202" s="48" t="s">
        <v>823</v>
      </c>
    </row>
    <row r="203" spans="2:9" ht="15" customHeight="1" x14ac:dyDescent="0.25">
      <c r="B203" s="26" t="s">
        <v>263</v>
      </c>
      <c r="C203" s="1">
        <v>194</v>
      </c>
      <c r="D203" s="27" t="s">
        <v>3031</v>
      </c>
      <c r="E203" s="27"/>
      <c r="F203" s="1" t="str">
        <f>IF(INDEX(I.Facility.IDNumber,194)="","",INDEX(I.Facility.IDNumber,194))</f>
        <v/>
      </c>
      <c r="G203" s="27"/>
      <c r="H203" s="1" t="str">
        <f>IF(AND(I.Facility.FacilityCount&gt;=194,F203=""),"Incomplete","Complete")</f>
        <v>Complete</v>
      </c>
      <c r="I203" s="48" t="s">
        <v>824</v>
      </c>
    </row>
    <row r="204" spans="2:9" ht="15" customHeight="1" x14ac:dyDescent="0.25">
      <c r="B204" s="26" t="s">
        <v>263</v>
      </c>
      <c r="C204" s="1">
        <v>195</v>
      </c>
      <c r="D204" s="27" t="s">
        <v>3031</v>
      </c>
      <c r="E204" s="27"/>
      <c r="F204" s="1" t="str">
        <f>IF(INDEX(I.Facility.IDNumber,195)="","",INDEX(I.Facility.IDNumber,195))</f>
        <v/>
      </c>
      <c r="G204" s="27"/>
      <c r="H204" s="1" t="str">
        <f>IF(AND(I.Facility.FacilityCount&gt;=195,F204=""),"Incomplete","Complete")</f>
        <v>Complete</v>
      </c>
      <c r="I204" s="48" t="s">
        <v>825</v>
      </c>
    </row>
    <row r="205" spans="2:9" ht="15" customHeight="1" x14ac:dyDescent="0.25">
      <c r="B205" s="26" t="s">
        <v>263</v>
      </c>
      <c r="C205" s="1">
        <v>196</v>
      </c>
      <c r="D205" s="27" t="s">
        <v>3031</v>
      </c>
      <c r="E205" s="27"/>
      <c r="F205" s="1" t="str">
        <f>IF(INDEX(I.Facility.IDNumber,196)="","",INDEX(I.Facility.IDNumber,196))</f>
        <v/>
      </c>
      <c r="G205" s="27"/>
      <c r="H205" s="1" t="str">
        <f>IF(AND(I.Facility.FacilityCount&gt;=196,F205=""),"Incomplete","Complete")</f>
        <v>Complete</v>
      </c>
      <c r="I205" s="48" t="s">
        <v>826</v>
      </c>
    </row>
    <row r="206" spans="2:9" ht="15" customHeight="1" x14ac:dyDescent="0.25">
      <c r="B206" s="26" t="s">
        <v>263</v>
      </c>
      <c r="C206" s="1">
        <v>197</v>
      </c>
      <c r="D206" s="27" t="s">
        <v>3031</v>
      </c>
      <c r="E206" s="27"/>
      <c r="F206" s="1" t="str">
        <f>IF(INDEX(I.Facility.IDNumber,197)="","",INDEX(I.Facility.IDNumber,197))</f>
        <v/>
      </c>
      <c r="G206" s="27"/>
      <c r="H206" s="1" t="str">
        <f>IF(AND(I.Facility.FacilityCount&gt;=197,F206=""),"Incomplete","Complete")</f>
        <v>Complete</v>
      </c>
      <c r="I206" s="48" t="s">
        <v>827</v>
      </c>
    </row>
    <row r="207" spans="2:9" ht="15" customHeight="1" x14ac:dyDescent="0.25">
      <c r="B207" s="26" t="s">
        <v>263</v>
      </c>
      <c r="C207" s="1">
        <v>198</v>
      </c>
      <c r="D207" s="27" t="s">
        <v>3031</v>
      </c>
      <c r="E207" s="27"/>
      <c r="F207" s="1" t="str">
        <f>IF(INDEX(I.Facility.IDNumber,198)="","",INDEX(I.Facility.IDNumber,198))</f>
        <v/>
      </c>
      <c r="G207" s="27"/>
      <c r="H207" s="1" t="str">
        <f>IF(AND(I.Facility.FacilityCount&gt;=198,F207=""),"Incomplete","Complete")</f>
        <v>Complete</v>
      </c>
      <c r="I207" s="48" t="s">
        <v>828</v>
      </c>
    </row>
    <row r="208" spans="2:9" ht="15" customHeight="1" x14ac:dyDescent="0.25">
      <c r="B208" s="26" t="s">
        <v>263</v>
      </c>
      <c r="C208" s="1">
        <v>199</v>
      </c>
      <c r="D208" s="27" t="s">
        <v>3031</v>
      </c>
      <c r="E208" s="27"/>
      <c r="F208" s="1" t="str">
        <f>IF(INDEX(I.Facility.IDNumber,199)="","",INDEX(I.Facility.IDNumber,199))</f>
        <v/>
      </c>
      <c r="G208" s="27"/>
      <c r="H208" s="1" t="str">
        <f>IF(AND(I.Facility.FacilityCount&gt;=199,F208=""),"Incomplete","Complete")</f>
        <v>Complete</v>
      </c>
      <c r="I208" s="48" t="s">
        <v>829</v>
      </c>
    </row>
    <row r="209" spans="2:9" ht="15" customHeight="1" x14ac:dyDescent="0.25">
      <c r="B209" s="26" t="s">
        <v>263</v>
      </c>
      <c r="C209" s="1">
        <v>200</v>
      </c>
      <c r="D209" s="27" t="s">
        <v>3031</v>
      </c>
      <c r="E209" s="27"/>
      <c r="F209" s="1" t="str">
        <f>IF(INDEX(I.Facility.IDNumber,200)="","",INDEX(I.Facility.IDNumber,200))</f>
        <v/>
      </c>
      <c r="G209" s="27"/>
      <c r="H209" s="1" t="str">
        <f>IF(AND(I.Facility.FacilityCount&gt;=200,F209=""),"Incomplete","Complete")</f>
        <v>Complete</v>
      </c>
      <c r="I209" s="48" t="s">
        <v>830</v>
      </c>
    </row>
    <row r="210" spans="2:9" ht="15" customHeight="1" x14ac:dyDescent="0.25">
      <c r="B210" s="26" t="s">
        <v>263</v>
      </c>
      <c r="C210" s="1">
        <v>201</v>
      </c>
      <c r="D210" s="27" t="s">
        <v>3031</v>
      </c>
      <c r="E210" s="27"/>
      <c r="F210" s="1" t="str">
        <f>IF(INDEX(I.Facility.IDNumber,201)="","",INDEX(I.Facility.IDNumber,201))</f>
        <v/>
      </c>
      <c r="G210" s="27"/>
      <c r="H210" s="1" t="str">
        <f>IF(AND(I.Facility.FacilityCount&gt;=201,F210=""),"Incomplete","Complete")</f>
        <v>Complete</v>
      </c>
      <c r="I210" s="48" t="s">
        <v>831</v>
      </c>
    </row>
    <row r="211" spans="2:9" ht="15" customHeight="1" x14ac:dyDescent="0.25">
      <c r="B211" s="26" t="s">
        <v>263</v>
      </c>
      <c r="C211" s="1">
        <v>202</v>
      </c>
      <c r="D211" s="27" t="s">
        <v>3031</v>
      </c>
      <c r="E211" s="27"/>
      <c r="F211" s="1" t="str">
        <f>IF(INDEX(I.Facility.IDNumber,202)="","",INDEX(I.Facility.IDNumber,202))</f>
        <v/>
      </c>
      <c r="G211" s="27"/>
      <c r="H211" s="1" t="str">
        <f>IF(AND(I.Facility.FacilityCount&gt;=202,F211=""),"Incomplete","Complete")</f>
        <v>Complete</v>
      </c>
      <c r="I211" s="48" t="s">
        <v>832</v>
      </c>
    </row>
    <row r="212" spans="2:9" ht="15" customHeight="1" x14ac:dyDescent="0.25">
      <c r="B212" s="26" t="s">
        <v>263</v>
      </c>
      <c r="C212" s="1">
        <v>203</v>
      </c>
      <c r="D212" s="27" t="s">
        <v>3031</v>
      </c>
      <c r="E212" s="27"/>
      <c r="F212" s="1" t="str">
        <f>IF(INDEX(I.Facility.IDNumber,203)="","",INDEX(I.Facility.IDNumber,203))</f>
        <v/>
      </c>
      <c r="G212" s="27"/>
      <c r="H212" s="1" t="str">
        <f>IF(AND(I.Facility.FacilityCount&gt;=203,F212=""),"Incomplete","Complete")</f>
        <v>Complete</v>
      </c>
      <c r="I212" s="48" t="s">
        <v>833</v>
      </c>
    </row>
    <row r="213" spans="2:9" ht="15" customHeight="1" x14ac:dyDescent="0.25">
      <c r="B213" s="26" t="s">
        <v>263</v>
      </c>
      <c r="C213" s="1">
        <v>204</v>
      </c>
      <c r="D213" s="27" t="s">
        <v>3031</v>
      </c>
      <c r="E213" s="27"/>
      <c r="F213" s="1" t="str">
        <f>IF(INDEX(I.Facility.IDNumber,204)="","",INDEX(I.Facility.IDNumber,204))</f>
        <v/>
      </c>
      <c r="G213" s="27"/>
      <c r="H213" s="1" t="str">
        <f>IF(AND(I.Facility.FacilityCount&gt;=204,F213=""),"Incomplete","Complete")</f>
        <v>Complete</v>
      </c>
      <c r="I213" s="48" t="s">
        <v>834</v>
      </c>
    </row>
    <row r="214" spans="2:9" ht="15" customHeight="1" x14ac:dyDescent="0.25">
      <c r="B214" s="26" t="s">
        <v>263</v>
      </c>
      <c r="C214" s="1">
        <v>205</v>
      </c>
      <c r="D214" s="27" t="s">
        <v>3031</v>
      </c>
      <c r="E214" s="27"/>
      <c r="F214" s="1" t="str">
        <f>IF(INDEX(I.Facility.IDNumber,205)="","",INDEX(I.Facility.IDNumber,205))</f>
        <v/>
      </c>
      <c r="G214" s="27"/>
      <c r="H214" s="1" t="str">
        <f>IF(AND(I.Facility.FacilityCount&gt;=205,F214=""),"Incomplete","Complete")</f>
        <v>Complete</v>
      </c>
      <c r="I214" s="48" t="s">
        <v>835</v>
      </c>
    </row>
    <row r="215" spans="2:9" ht="15" customHeight="1" x14ac:dyDescent="0.25">
      <c r="B215" s="26" t="s">
        <v>263</v>
      </c>
      <c r="C215" s="1">
        <v>206</v>
      </c>
      <c r="D215" s="27" t="s">
        <v>3031</v>
      </c>
      <c r="E215" s="27"/>
      <c r="F215" s="1" t="str">
        <f>IF(INDEX(I.Facility.IDNumber,206)="","",INDEX(I.Facility.IDNumber,206))</f>
        <v/>
      </c>
      <c r="G215" s="27"/>
      <c r="H215" s="1" t="str">
        <f>IF(AND(I.Facility.FacilityCount&gt;=206,F215=""),"Incomplete","Complete")</f>
        <v>Complete</v>
      </c>
      <c r="I215" s="48" t="s">
        <v>836</v>
      </c>
    </row>
    <row r="216" spans="2:9" ht="15" customHeight="1" x14ac:dyDescent="0.25">
      <c r="B216" s="26" t="s">
        <v>263</v>
      </c>
      <c r="C216" s="1">
        <v>207</v>
      </c>
      <c r="D216" s="27" t="s">
        <v>3031</v>
      </c>
      <c r="E216" s="27"/>
      <c r="F216" s="1" t="str">
        <f>IF(INDEX(I.Facility.IDNumber,207)="","",INDEX(I.Facility.IDNumber,207))</f>
        <v/>
      </c>
      <c r="G216" s="27"/>
      <c r="H216" s="1" t="str">
        <f>IF(AND(I.Facility.FacilityCount&gt;=207,F216=""),"Incomplete","Complete")</f>
        <v>Complete</v>
      </c>
      <c r="I216" s="48" t="s">
        <v>837</v>
      </c>
    </row>
    <row r="217" spans="2:9" ht="15" customHeight="1" x14ac:dyDescent="0.25">
      <c r="B217" s="26" t="s">
        <v>263</v>
      </c>
      <c r="C217" s="1">
        <v>208</v>
      </c>
      <c r="D217" s="27" t="s">
        <v>3031</v>
      </c>
      <c r="E217" s="27"/>
      <c r="F217" s="1" t="str">
        <f>IF(INDEX(I.Facility.IDNumber,208)="","",INDEX(I.Facility.IDNumber,208))</f>
        <v/>
      </c>
      <c r="G217" s="27"/>
      <c r="H217" s="1" t="str">
        <f>IF(AND(I.Facility.FacilityCount&gt;=208,F217=""),"Incomplete","Complete")</f>
        <v>Complete</v>
      </c>
      <c r="I217" s="48" t="s">
        <v>838</v>
      </c>
    </row>
    <row r="218" spans="2:9" ht="15" customHeight="1" x14ac:dyDescent="0.25">
      <c r="B218" s="26" t="s">
        <v>263</v>
      </c>
      <c r="C218" s="1">
        <v>209</v>
      </c>
      <c r="D218" s="27" t="s">
        <v>3031</v>
      </c>
      <c r="E218" s="27"/>
      <c r="F218" s="1" t="str">
        <f>IF(INDEX(I.Facility.IDNumber,209)="","",INDEX(I.Facility.IDNumber,209))</f>
        <v/>
      </c>
      <c r="G218" s="27"/>
      <c r="H218" s="1" t="str">
        <f>IF(AND(I.Facility.FacilityCount&gt;=209,F218=""),"Incomplete","Complete")</f>
        <v>Complete</v>
      </c>
      <c r="I218" s="48" t="s">
        <v>839</v>
      </c>
    </row>
    <row r="219" spans="2:9" ht="15" customHeight="1" x14ac:dyDescent="0.25">
      <c r="B219" s="26" t="s">
        <v>263</v>
      </c>
      <c r="C219" s="1">
        <v>210</v>
      </c>
      <c r="D219" s="27" t="s">
        <v>3031</v>
      </c>
      <c r="E219" s="27"/>
      <c r="F219" s="1" t="str">
        <f>IF(INDEX(I.Facility.IDNumber,210)="","",INDEX(I.Facility.IDNumber,210))</f>
        <v/>
      </c>
      <c r="G219" s="27"/>
      <c r="H219" s="1" t="str">
        <f>IF(AND(I.Facility.FacilityCount&gt;=210,F219=""),"Incomplete","Complete")</f>
        <v>Complete</v>
      </c>
      <c r="I219" s="48" t="s">
        <v>840</v>
      </c>
    </row>
    <row r="220" spans="2:9" ht="15" customHeight="1" x14ac:dyDescent="0.25">
      <c r="B220" s="26" t="s">
        <v>263</v>
      </c>
      <c r="C220" s="1">
        <v>211</v>
      </c>
      <c r="D220" s="27" t="s">
        <v>3031</v>
      </c>
      <c r="E220" s="27"/>
      <c r="F220" s="1" t="str">
        <f>IF(INDEX(I.Facility.IDNumber,211)="","",INDEX(I.Facility.IDNumber,211))</f>
        <v/>
      </c>
      <c r="G220" s="27"/>
      <c r="H220" s="1" t="str">
        <f>IF(AND(I.Facility.FacilityCount&gt;=211,F220=""),"Incomplete","Complete")</f>
        <v>Complete</v>
      </c>
      <c r="I220" s="48" t="s">
        <v>841</v>
      </c>
    </row>
    <row r="221" spans="2:9" ht="15" customHeight="1" x14ac:dyDescent="0.25">
      <c r="B221" s="26" t="s">
        <v>263</v>
      </c>
      <c r="C221" s="1">
        <v>212</v>
      </c>
      <c r="D221" s="27" t="s">
        <v>3031</v>
      </c>
      <c r="E221" s="27"/>
      <c r="F221" s="1" t="str">
        <f>IF(INDEX(I.Facility.IDNumber,212)="","",INDEX(I.Facility.IDNumber,212))</f>
        <v/>
      </c>
      <c r="G221" s="27"/>
      <c r="H221" s="1" t="str">
        <f>IF(AND(I.Facility.FacilityCount&gt;=212,F221=""),"Incomplete","Complete")</f>
        <v>Complete</v>
      </c>
      <c r="I221" s="48" t="s">
        <v>842</v>
      </c>
    </row>
    <row r="222" spans="2:9" ht="15" customHeight="1" x14ac:dyDescent="0.25">
      <c r="B222" s="26" t="s">
        <v>263</v>
      </c>
      <c r="C222" s="1">
        <v>213</v>
      </c>
      <c r="D222" s="27" t="s">
        <v>3031</v>
      </c>
      <c r="E222" s="27"/>
      <c r="F222" s="1" t="str">
        <f>IF(INDEX(I.Facility.IDNumber,213)="","",INDEX(I.Facility.IDNumber,213))</f>
        <v/>
      </c>
      <c r="G222" s="27"/>
      <c r="H222" s="1" t="str">
        <f>IF(AND(I.Facility.FacilityCount&gt;=213,F222=""),"Incomplete","Complete")</f>
        <v>Complete</v>
      </c>
      <c r="I222" s="48" t="s">
        <v>843</v>
      </c>
    </row>
    <row r="223" spans="2:9" ht="15" customHeight="1" x14ac:dyDescent="0.25">
      <c r="B223" s="26" t="s">
        <v>263</v>
      </c>
      <c r="C223" s="1">
        <v>214</v>
      </c>
      <c r="D223" s="27" t="s">
        <v>3031</v>
      </c>
      <c r="E223" s="27"/>
      <c r="F223" s="1" t="str">
        <f>IF(INDEX(I.Facility.IDNumber,214)="","",INDEX(I.Facility.IDNumber,214))</f>
        <v/>
      </c>
      <c r="G223" s="27"/>
      <c r="H223" s="1" t="str">
        <f>IF(AND(I.Facility.FacilityCount&gt;=214,F223=""),"Incomplete","Complete")</f>
        <v>Complete</v>
      </c>
      <c r="I223" s="48" t="s">
        <v>844</v>
      </c>
    </row>
    <row r="224" spans="2:9" ht="15" customHeight="1" x14ac:dyDescent="0.25">
      <c r="B224" s="26" t="s">
        <v>263</v>
      </c>
      <c r="C224" s="1">
        <v>215</v>
      </c>
      <c r="D224" s="27" t="s">
        <v>3031</v>
      </c>
      <c r="E224" s="27"/>
      <c r="F224" s="1" t="str">
        <f>IF(INDEX(I.Facility.IDNumber,215)="","",INDEX(I.Facility.IDNumber,215))</f>
        <v/>
      </c>
      <c r="G224" s="27"/>
      <c r="H224" s="1" t="str">
        <f>IF(AND(I.Facility.FacilityCount&gt;=215,F224=""),"Incomplete","Complete")</f>
        <v>Complete</v>
      </c>
      <c r="I224" s="48" t="s">
        <v>845</v>
      </c>
    </row>
    <row r="225" spans="2:9" ht="15" customHeight="1" x14ac:dyDescent="0.25">
      <c r="B225" s="26" t="s">
        <v>263</v>
      </c>
      <c r="C225" s="1">
        <v>216</v>
      </c>
      <c r="D225" s="27" t="s">
        <v>3031</v>
      </c>
      <c r="E225" s="27"/>
      <c r="F225" s="1" t="str">
        <f>IF(INDEX(I.Facility.IDNumber,216)="","",INDEX(I.Facility.IDNumber,216))</f>
        <v/>
      </c>
      <c r="G225" s="27"/>
      <c r="H225" s="1" t="str">
        <f>IF(AND(I.Facility.FacilityCount&gt;=216,F225=""),"Incomplete","Complete")</f>
        <v>Complete</v>
      </c>
      <c r="I225" s="48" t="s">
        <v>846</v>
      </c>
    </row>
    <row r="226" spans="2:9" ht="15" customHeight="1" x14ac:dyDescent="0.25">
      <c r="B226" s="26" t="s">
        <v>263</v>
      </c>
      <c r="C226" s="1">
        <v>217</v>
      </c>
      <c r="D226" s="27" t="s">
        <v>3031</v>
      </c>
      <c r="E226" s="27"/>
      <c r="F226" s="1" t="str">
        <f>IF(INDEX(I.Facility.IDNumber,217)="","",INDEX(I.Facility.IDNumber,217))</f>
        <v/>
      </c>
      <c r="G226" s="27"/>
      <c r="H226" s="1" t="str">
        <f>IF(AND(I.Facility.FacilityCount&gt;=217,F226=""),"Incomplete","Complete")</f>
        <v>Complete</v>
      </c>
      <c r="I226" s="48" t="s">
        <v>847</v>
      </c>
    </row>
    <row r="227" spans="2:9" ht="15" customHeight="1" x14ac:dyDescent="0.25">
      <c r="B227" s="26" t="s">
        <v>263</v>
      </c>
      <c r="C227" s="1">
        <v>218</v>
      </c>
      <c r="D227" s="27" t="s">
        <v>3031</v>
      </c>
      <c r="E227" s="27"/>
      <c r="F227" s="1" t="str">
        <f>IF(INDEX(I.Facility.IDNumber,218)="","",INDEX(I.Facility.IDNumber,218))</f>
        <v/>
      </c>
      <c r="G227" s="27"/>
      <c r="H227" s="1" t="str">
        <f>IF(AND(I.Facility.FacilityCount&gt;=218,F227=""),"Incomplete","Complete")</f>
        <v>Complete</v>
      </c>
      <c r="I227" s="48" t="s">
        <v>848</v>
      </c>
    </row>
    <row r="228" spans="2:9" ht="15" customHeight="1" x14ac:dyDescent="0.25">
      <c r="B228" s="26" t="s">
        <v>263</v>
      </c>
      <c r="C228" s="1">
        <v>219</v>
      </c>
      <c r="D228" s="27" t="s">
        <v>3031</v>
      </c>
      <c r="E228" s="27"/>
      <c r="F228" s="1" t="str">
        <f>IF(INDEX(I.Facility.IDNumber,219)="","",INDEX(I.Facility.IDNumber,219))</f>
        <v/>
      </c>
      <c r="G228" s="27"/>
      <c r="H228" s="1" t="str">
        <f>IF(AND(I.Facility.FacilityCount&gt;=219,F228=""),"Incomplete","Complete")</f>
        <v>Complete</v>
      </c>
      <c r="I228" s="48" t="s">
        <v>849</v>
      </c>
    </row>
    <row r="229" spans="2:9" ht="15" customHeight="1" x14ac:dyDescent="0.25">
      <c r="B229" s="26" t="s">
        <v>263</v>
      </c>
      <c r="C229" s="1">
        <v>220</v>
      </c>
      <c r="D229" s="27" t="s">
        <v>3031</v>
      </c>
      <c r="E229" s="27"/>
      <c r="F229" s="1" t="str">
        <f>IF(INDEX(I.Facility.IDNumber,220)="","",INDEX(I.Facility.IDNumber,220))</f>
        <v/>
      </c>
      <c r="G229" s="27"/>
      <c r="H229" s="1" t="str">
        <f>IF(AND(I.Facility.FacilityCount&gt;=220,F229=""),"Incomplete","Complete")</f>
        <v>Complete</v>
      </c>
      <c r="I229" s="48" t="s">
        <v>850</v>
      </c>
    </row>
    <row r="230" spans="2:9" ht="15" customHeight="1" x14ac:dyDescent="0.25">
      <c r="B230" s="26" t="s">
        <v>263</v>
      </c>
      <c r="C230" s="1">
        <v>221</v>
      </c>
      <c r="D230" s="27" t="s">
        <v>3031</v>
      </c>
      <c r="E230" s="27"/>
      <c r="F230" s="1" t="str">
        <f>IF(INDEX(I.Facility.IDNumber,221)="","",INDEX(I.Facility.IDNumber,221))</f>
        <v/>
      </c>
      <c r="G230" s="27"/>
      <c r="H230" s="1" t="str">
        <f>IF(AND(I.Facility.FacilityCount&gt;=221,F230=""),"Incomplete","Complete")</f>
        <v>Complete</v>
      </c>
      <c r="I230" s="48" t="s">
        <v>851</v>
      </c>
    </row>
    <row r="231" spans="2:9" ht="15" customHeight="1" x14ac:dyDescent="0.25">
      <c r="B231" s="26" t="s">
        <v>263</v>
      </c>
      <c r="C231" s="1">
        <v>222</v>
      </c>
      <c r="D231" s="27" t="s">
        <v>3031</v>
      </c>
      <c r="E231" s="27"/>
      <c r="F231" s="1" t="str">
        <f>IF(INDEX(I.Facility.IDNumber,222)="","",INDEX(I.Facility.IDNumber,222))</f>
        <v/>
      </c>
      <c r="G231" s="27"/>
      <c r="H231" s="1" t="str">
        <f>IF(AND(I.Facility.FacilityCount&gt;=222,F231=""),"Incomplete","Complete")</f>
        <v>Complete</v>
      </c>
      <c r="I231" s="48" t="s">
        <v>852</v>
      </c>
    </row>
    <row r="232" spans="2:9" ht="15" customHeight="1" x14ac:dyDescent="0.25">
      <c r="B232" s="26" t="s">
        <v>263</v>
      </c>
      <c r="C232" s="1">
        <v>223</v>
      </c>
      <c r="D232" s="27" t="s">
        <v>3031</v>
      </c>
      <c r="E232" s="27"/>
      <c r="F232" s="1" t="str">
        <f>IF(INDEX(I.Facility.IDNumber,223)="","",INDEX(I.Facility.IDNumber,223))</f>
        <v/>
      </c>
      <c r="G232" s="27"/>
      <c r="H232" s="1" t="str">
        <f>IF(AND(I.Facility.FacilityCount&gt;=223,F232=""),"Incomplete","Complete")</f>
        <v>Complete</v>
      </c>
      <c r="I232" s="48" t="s">
        <v>853</v>
      </c>
    </row>
    <row r="233" spans="2:9" ht="15" customHeight="1" x14ac:dyDescent="0.25">
      <c r="B233" s="26" t="s">
        <v>263</v>
      </c>
      <c r="C233" s="1">
        <v>224</v>
      </c>
      <c r="D233" s="27" t="s">
        <v>3031</v>
      </c>
      <c r="E233" s="27"/>
      <c r="F233" s="1" t="str">
        <f>IF(INDEX(I.Facility.IDNumber,224)="","",INDEX(I.Facility.IDNumber,224))</f>
        <v/>
      </c>
      <c r="G233" s="27"/>
      <c r="H233" s="1" t="str">
        <f>IF(AND(I.Facility.FacilityCount&gt;=224,F233=""),"Incomplete","Complete")</f>
        <v>Complete</v>
      </c>
      <c r="I233" s="48" t="s">
        <v>854</v>
      </c>
    </row>
    <row r="234" spans="2:9" ht="15" customHeight="1" x14ac:dyDescent="0.25">
      <c r="B234" s="26" t="s">
        <v>263</v>
      </c>
      <c r="C234" s="1">
        <v>225</v>
      </c>
      <c r="D234" s="27" t="s">
        <v>3031</v>
      </c>
      <c r="E234" s="27"/>
      <c r="F234" s="1" t="str">
        <f>IF(INDEX(I.Facility.IDNumber,225)="","",INDEX(I.Facility.IDNumber,225))</f>
        <v/>
      </c>
      <c r="G234" s="27"/>
      <c r="H234" s="1" t="str">
        <f>IF(AND(I.Facility.FacilityCount&gt;=225,F234=""),"Incomplete","Complete")</f>
        <v>Complete</v>
      </c>
      <c r="I234" s="48" t="s">
        <v>855</v>
      </c>
    </row>
    <row r="235" spans="2:9" ht="15" customHeight="1" x14ac:dyDescent="0.25">
      <c r="B235" s="26" t="s">
        <v>263</v>
      </c>
      <c r="C235" s="1">
        <v>226</v>
      </c>
      <c r="D235" s="27" t="s">
        <v>3031</v>
      </c>
      <c r="E235" s="27"/>
      <c r="F235" s="1" t="str">
        <f>IF(INDEX(I.Facility.IDNumber,226)="","",INDEX(I.Facility.IDNumber,226))</f>
        <v/>
      </c>
      <c r="G235" s="27"/>
      <c r="H235" s="1" t="str">
        <f>IF(AND(I.Facility.FacilityCount&gt;=226,F235=""),"Incomplete","Complete")</f>
        <v>Complete</v>
      </c>
      <c r="I235" s="48" t="s">
        <v>856</v>
      </c>
    </row>
    <row r="236" spans="2:9" ht="15" customHeight="1" x14ac:dyDescent="0.25">
      <c r="B236" s="26" t="s">
        <v>263</v>
      </c>
      <c r="C236" s="1">
        <v>227</v>
      </c>
      <c r="D236" s="27" t="s">
        <v>3031</v>
      </c>
      <c r="E236" s="27"/>
      <c r="F236" s="1" t="str">
        <f>IF(INDEX(I.Facility.IDNumber,227)="","",INDEX(I.Facility.IDNumber,227))</f>
        <v/>
      </c>
      <c r="G236" s="27"/>
      <c r="H236" s="1" t="str">
        <f>IF(AND(I.Facility.FacilityCount&gt;=227,F236=""),"Incomplete","Complete")</f>
        <v>Complete</v>
      </c>
      <c r="I236" s="48" t="s">
        <v>857</v>
      </c>
    </row>
    <row r="237" spans="2:9" ht="15" customHeight="1" x14ac:dyDescent="0.25">
      <c r="B237" s="26" t="s">
        <v>263</v>
      </c>
      <c r="C237" s="1">
        <v>228</v>
      </c>
      <c r="D237" s="27" t="s">
        <v>3031</v>
      </c>
      <c r="E237" s="27"/>
      <c r="F237" s="1" t="str">
        <f>IF(INDEX(I.Facility.IDNumber,228)="","",INDEX(I.Facility.IDNumber,228))</f>
        <v/>
      </c>
      <c r="G237" s="27"/>
      <c r="H237" s="1" t="str">
        <f>IF(AND(I.Facility.FacilityCount&gt;=228,F237=""),"Incomplete","Complete")</f>
        <v>Complete</v>
      </c>
      <c r="I237" s="48" t="s">
        <v>858</v>
      </c>
    </row>
    <row r="238" spans="2:9" ht="15" customHeight="1" x14ac:dyDescent="0.25">
      <c r="B238" s="26" t="s">
        <v>263</v>
      </c>
      <c r="C238" s="1">
        <v>229</v>
      </c>
      <c r="D238" s="27" t="s">
        <v>3031</v>
      </c>
      <c r="E238" s="27"/>
      <c r="F238" s="1" t="str">
        <f>IF(INDEX(I.Facility.IDNumber,229)="","",INDEX(I.Facility.IDNumber,229))</f>
        <v/>
      </c>
      <c r="G238" s="27"/>
      <c r="H238" s="1" t="str">
        <f>IF(AND(I.Facility.FacilityCount&gt;=229,F238=""),"Incomplete","Complete")</f>
        <v>Complete</v>
      </c>
      <c r="I238" s="48" t="s">
        <v>859</v>
      </c>
    </row>
    <row r="239" spans="2:9" ht="15" customHeight="1" x14ac:dyDescent="0.25">
      <c r="B239" s="26" t="s">
        <v>263</v>
      </c>
      <c r="C239" s="1">
        <v>230</v>
      </c>
      <c r="D239" s="27" t="s">
        <v>3031</v>
      </c>
      <c r="E239" s="27"/>
      <c r="F239" s="1" t="str">
        <f>IF(INDEX(I.Facility.IDNumber,230)="","",INDEX(I.Facility.IDNumber,230))</f>
        <v/>
      </c>
      <c r="G239" s="27"/>
      <c r="H239" s="1" t="str">
        <f>IF(AND(I.Facility.FacilityCount&gt;=230,F239=""),"Incomplete","Complete")</f>
        <v>Complete</v>
      </c>
      <c r="I239" s="48" t="s">
        <v>860</v>
      </c>
    </row>
    <row r="240" spans="2:9" ht="15" customHeight="1" x14ac:dyDescent="0.25">
      <c r="B240" s="26" t="s">
        <v>263</v>
      </c>
      <c r="C240" s="1">
        <v>231</v>
      </c>
      <c r="D240" s="27" t="s">
        <v>3031</v>
      </c>
      <c r="E240" s="27"/>
      <c r="F240" s="1" t="str">
        <f>IF(INDEX(I.Facility.IDNumber,231)="","",INDEX(I.Facility.IDNumber,231))</f>
        <v/>
      </c>
      <c r="G240" s="27"/>
      <c r="H240" s="1" t="str">
        <f>IF(AND(I.Facility.FacilityCount&gt;=231,F240=""),"Incomplete","Complete")</f>
        <v>Complete</v>
      </c>
      <c r="I240" s="48" t="s">
        <v>861</v>
      </c>
    </row>
    <row r="241" spans="2:9" ht="15" customHeight="1" x14ac:dyDescent="0.25">
      <c r="B241" s="26" t="s">
        <v>263</v>
      </c>
      <c r="C241" s="1">
        <v>232</v>
      </c>
      <c r="D241" s="27" t="s">
        <v>3031</v>
      </c>
      <c r="E241" s="27"/>
      <c r="F241" s="1" t="str">
        <f>IF(INDEX(I.Facility.IDNumber,232)="","",INDEX(I.Facility.IDNumber,232))</f>
        <v/>
      </c>
      <c r="G241" s="27"/>
      <c r="H241" s="1" t="str">
        <f>IF(AND(I.Facility.FacilityCount&gt;=232,F241=""),"Incomplete","Complete")</f>
        <v>Complete</v>
      </c>
      <c r="I241" s="48" t="s">
        <v>862</v>
      </c>
    </row>
    <row r="242" spans="2:9" ht="15" customHeight="1" x14ac:dyDescent="0.25">
      <c r="B242" s="26" t="s">
        <v>263</v>
      </c>
      <c r="C242" s="1">
        <v>233</v>
      </c>
      <c r="D242" s="27" t="s">
        <v>3031</v>
      </c>
      <c r="E242" s="27"/>
      <c r="F242" s="1" t="str">
        <f>IF(INDEX(I.Facility.IDNumber,233)="","",INDEX(I.Facility.IDNumber,233))</f>
        <v/>
      </c>
      <c r="G242" s="27"/>
      <c r="H242" s="1" t="str">
        <f>IF(AND(I.Facility.FacilityCount&gt;=233,F242=""),"Incomplete","Complete")</f>
        <v>Complete</v>
      </c>
      <c r="I242" s="48" t="s">
        <v>863</v>
      </c>
    </row>
    <row r="243" spans="2:9" ht="15" customHeight="1" x14ac:dyDescent="0.25">
      <c r="B243" s="26" t="s">
        <v>263</v>
      </c>
      <c r="C243" s="1">
        <v>234</v>
      </c>
      <c r="D243" s="27" t="s">
        <v>3031</v>
      </c>
      <c r="E243" s="27"/>
      <c r="F243" s="1" t="str">
        <f>IF(INDEX(I.Facility.IDNumber,234)="","",INDEX(I.Facility.IDNumber,234))</f>
        <v/>
      </c>
      <c r="G243" s="27"/>
      <c r="H243" s="1" t="str">
        <f>IF(AND(I.Facility.FacilityCount&gt;=234,F243=""),"Incomplete","Complete")</f>
        <v>Complete</v>
      </c>
      <c r="I243" s="48" t="s">
        <v>864</v>
      </c>
    </row>
    <row r="244" spans="2:9" ht="15" customHeight="1" x14ac:dyDescent="0.25">
      <c r="B244" s="26" t="s">
        <v>263</v>
      </c>
      <c r="C244" s="1">
        <v>235</v>
      </c>
      <c r="D244" s="27" t="s">
        <v>3031</v>
      </c>
      <c r="E244" s="27"/>
      <c r="F244" s="1" t="str">
        <f>IF(INDEX(I.Facility.IDNumber,235)="","",INDEX(I.Facility.IDNumber,235))</f>
        <v/>
      </c>
      <c r="G244" s="27"/>
      <c r="H244" s="1" t="str">
        <f>IF(AND(I.Facility.FacilityCount&gt;=235,F244=""),"Incomplete","Complete")</f>
        <v>Complete</v>
      </c>
      <c r="I244" s="48" t="s">
        <v>865</v>
      </c>
    </row>
    <row r="245" spans="2:9" ht="15" customHeight="1" x14ac:dyDescent="0.25">
      <c r="B245" s="26" t="s">
        <v>263</v>
      </c>
      <c r="C245" s="1">
        <v>236</v>
      </c>
      <c r="D245" s="27" t="s">
        <v>3031</v>
      </c>
      <c r="E245" s="27"/>
      <c r="F245" s="1" t="str">
        <f>IF(INDEX(I.Facility.IDNumber,236)="","",INDEX(I.Facility.IDNumber,236))</f>
        <v/>
      </c>
      <c r="G245" s="27"/>
      <c r="H245" s="1" t="str">
        <f>IF(AND(I.Facility.FacilityCount&gt;=236,F245=""),"Incomplete","Complete")</f>
        <v>Complete</v>
      </c>
      <c r="I245" s="48" t="s">
        <v>866</v>
      </c>
    </row>
    <row r="246" spans="2:9" ht="15" customHeight="1" x14ac:dyDescent="0.25">
      <c r="B246" s="26" t="s">
        <v>263</v>
      </c>
      <c r="C246" s="1">
        <v>237</v>
      </c>
      <c r="D246" s="27" t="s">
        <v>3031</v>
      </c>
      <c r="E246" s="27"/>
      <c r="F246" s="1" t="str">
        <f>IF(INDEX(I.Facility.IDNumber,237)="","",INDEX(I.Facility.IDNumber,237))</f>
        <v/>
      </c>
      <c r="G246" s="27"/>
      <c r="H246" s="1" t="str">
        <f>IF(AND(I.Facility.FacilityCount&gt;=237,F246=""),"Incomplete","Complete")</f>
        <v>Complete</v>
      </c>
      <c r="I246" s="48" t="s">
        <v>867</v>
      </c>
    </row>
    <row r="247" spans="2:9" ht="15" customHeight="1" x14ac:dyDescent="0.25">
      <c r="B247" s="26" t="s">
        <v>263</v>
      </c>
      <c r="C247" s="1">
        <v>238</v>
      </c>
      <c r="D247" s="27" t="s">
        <v>3031</v>
      </c>
      <c r="E247" s="27"/>
      <c r="F247" s="1" t="str">
        <f>IF(INDEX(I.Facility.IDNumber,238)="","",INDEX(I.Facility.IDNumber,238))</f>
        <v/>
      </c>
      <c r="G247" s="27"/>
      <c r="H247" s="1" t="str">
        <f>IF(AND(I.Facility.FacilityCount&gt;=238,F247=""),"Incomplete","Complete")</f>
        <v>Complete</v>
      </c>
      <c r="I247" s="48" t="s">
        <v>868</v>
      </c>
    </row>
    <row r="248" spans="2:9" ht="15" customHeight="1" x14ac:dyDescent="0.25">
      <c r="B248" s="26" t="s">
        <v>263</v>
      </c>
      <c r="C248" s="1">
        <v>239</v>
      </c>
      <c r="D248" s="27" t="s">
        <v>3031</v>
      </c>
      <c r="E248" s="27"/>
      <c r="F248" s="1" t="str">
        <f>IF(INDEX(I.Facility.IDNumber,239)="","",INDEX(I.Facility.IDNumber,239))</f>
        <v/>
      </c>
      <c r="G248" s="27"/>
      <c r="H248" s="1" t="str">
        <f>IF(AND(I.Facility.FacilityCount&gt;=239,F248=""),"Incomplete","Complete")</f>
        <v>Complete</v>
      </c>
      <c r="I248" s="48" t="s">
        <v>869</v>
      </c>
    </row>
    <row r="249" spans="2:9" ht="15" customHeight="1" x14ac:dyDescent="0.25">
      <c r="B249" s="26" t="s">
        <v>263</v>
      </c>
      <c r="C249" s="1">
        <v>240</v>
      </c>
      <c r="D249" s="27" t="s">
        <v>3031</v>
      </c>
      <c r="E249" s="27"/>
      <c r="F249" s="1" t="str">
        <f>IF(INDEX(I.Facility.IDNumber,240)="","",INDEX(I.Facility.IDNumber,240))</f>
        <v/>
      </c>
      <c r="G249" s="27"/>
      <c r="H249" s="1" t="str">
        <f>IF(AND(I.Facility.FacilityCount&gt;=240,F249=""),"Incomplete","Complete")</f>
        <v>Complete</v>
      </c>
      <c r="I249" s="48" t="s">
        <v>870</v>
      </c>
    </row>
    <row r="250" spans="2:9" ht="15" customHeight="1" x14ac:dyDescent="0.25">
      <c r="B250" s="26" t="s">
        <v>263</v>
      </c>
      <c r="C250" s="1">
        <v>241</v>
      </c>
      <c r="D250" s="27" t="s">
        <v>3031</v>
      </c>
      <c r="E250" s="27"/>
      <c r="F250" s="1" t="str">
        <f>IF(INDEX(I.Facility.IDNumber,241)="","",INDEX(I.Facility.IDNumber,241))</f>
        <v/>
      </c>
      <c r="G250" s="27"/>
      <c r="H250" s="1" t="str">
        <f>IF(AND(I.Facility.FacilityCount&gt;=241,F250=""),"Incomplete","Complete")</f>
        <v>Complete</v>
      </c>
      <c r="I250" s="48" t="s">
        <v>871</v>
      </c>
    </row>
    <row r="251" spans="2:9" ht="15" customHeight="1" x14ac:dyDescent="0.25">
      <c r="B251" s="26" t="s">
        <v>263</v>
      </c>
      <c r="C251" s="1">
        <v>242</v>
      </c>
      <c r="D251" s="27" t="s">
        <v>3031</v>
      </c>
      <c r="E251" s="27"/>
      <c r="F251" s="1" t="str">
        <f>IF(INDEX(I.Facility.IDNumber,242)="","",INDEX(I.Facility.IDNumber,242))</f>
        <v/>
      </c>
      <c r="G251" s="27"/>
      <c r="H251" s="1" t="str">
        <f>IF(AND(I.Facility.FacilityCount&gt;=242,F251=""),"Incomplete","Complete")</f>
        <v>Complete</v>
      </c>
      <c r="I251" s="48" t="s">
        <v>872</v>
      </c>
    </row>
    <row r="252" spans="2:9" ht="15" customHeight="1" x14ac:dyDescent="0.25">
      <c r="B252" s="26" t="s">
        <v>263</v>
      </c>
      <c r="C252" s="1">
        <v>243</v>
      </c>
      <c r="D252" s="27" t="s">
        <v>3031</v>
      </c>
      <c r="E252" s="27"/>
      <c r="F252" s="1" t="str">
        <f>IF(INDEX(I.Facility.IDNumber,243)="","",INDEX(I.Facility.IDNumber,243))</f>
        <v/>
      </c>
      <c r="G252" s="27"/>
      <c r="H252" s="1" t="str">
        <f>IF(AND(I.Facility.FacilityCount&gt;=243,F252=""),"Incomplete","Complete")</f>
        <v>Complete</v>
      </c>
      <c r="I252" s="48" t="s">
        <v>873</v>
      </c>
    </row>
    <row r="253" spans="2:9" ht="15" customHeight="1" x14ac:dyDescent="0.25">
      <c r="B253" s="26" t="s">
        <v>263</v>
      </c>
      <c r="C253" s="1">
        <v>244</v>
      </c>
      <c r="D253" s="27" t="s">
        <v>3031</v>
      </c>
      <c r="E253" s="27"/>
      <c r="F253" s="1" t="str">
        <f>IF(INDEX(I.Facility.IDNumber,244)="","",INDEX(I.Facility.IDNumber,244))</f>
        <v/>
      </c>
      <c r="G253" s="27"/>
      <c r="H253" s="1" t="str">
        <f>IF(AND(I.Facility.FacilityCount&gt;=244,F253=""),"Incomplete","Complete")</f>
        <v>Complete</v>
      </c>
      <c r="I253" s="48" t="s">
        <v>874</v>
      </c>
    </row>
    <row r="254" spans="2:9" ht="15" customHeight="1" x14ac:dyDescent="0.25">
      <c r="B254" s="26" t="s">
        <v>263</v>
      </c>
      <c r="C254" s="1">
        <v>245</v>
      </c>
      <c r="D254" s="27" t="s">
        <v>3031</v>
      </c>
      <c r="E254" s="27"/>
      <c r="F254" s="1" t="str">
        <f>IF(INDEX(I.Facility.IDNumber,245)="","",INDEX(I.Facility.IDNumber,245))</f>
        <v/>
      </c>
      <c r="G254" s="27"/>
      <c r="H254" s="1" t="str">
        <f>IF(AND(I.Facility.FacilityCount&gt;=245,F254=""),"Incomplete","Complete")</f>
        <v>Complete</v>
      </c>
      <c r="I254" s="48" t="s">
        <v>875</v>
      </c>
    </row>
    <row r="255" spans="2:9" ht="15" customHeight="1" x14ac:dyDescent="0.25">
      <c r="B255" s="26" t="s">
        <v>263</v>
      </c>
      <c r="C255" s="1">
        <v>246</v>
      </c>
      <c r="D255" s="27" t="s">
        <v>3031</v>
      </c>
      <c r="E255" s="27"/>
      <c r="F255" s="1" t="str">
        <f>IF(INDEX(I.Facility.IDNumber,246)="","",INDEX(I.Facility.IDNumber,246))</f>
        <v/>
      </c>
      <c r="G255" s="27"/>
      <c r="H255" s="1" t="str">
        <f>IF(AND(I.Facility.FacilityCount&gt;=246,F255=""),"Incomplete","Complete")</f>
        <v>Complete</v>
      </c>
      <c r="I255" s="48" t="s">
        <v>876</v>
      </c>
    </row>
    <row r="256" spans="2:9" ht="15" customHeight="1" x14ac:dyDescent="0.25">
      <c r="B256" s="26" t="s">
        <v>263</v>
      </c>
      <c r="C256" s="1">
        <v>247</v>
      </c>
      <c r="D256" s="27" t="s">
        <v>3031</v>
      </c>
      <c r="E256" s="27"/>
      <c r="F256" s="1" t="str">
        <f>IF(INDEX(I.Facility.IDNumber,247)="","",INDEX(I.Facility.IDNumber,247))</f>
        <v/>
      </c>
      <c r="G256" s="27"/>
      <c r="H256" s="1" t="str">
        <f>IF(AND(I.Facility.FacilityCount&gt;=247,F256=""),"Incomplete","Complete")</f>
        <v>Complete</v>
      </c>
      <c r="I256" s="48" t="s">
        <v>877</v>
      </c>
    </row>
    <row r="257" spans="2:9" ht="15" customHeight="1" x14ac:dyDescent="0.25">
      <c r="B257" s="26" t="s">
        <v>263</v>
      </c>
      <c r="C257" s="1">
        <v>248</v>
      </c>
      <c r="D257" s="27" t="s">
        <v>3031</v>
      </c>
      <c r="E257" s="27"/>
      <c r="F257" s="1" t="str">
        <f>IF(INDEX(I.Facility.IDNumber,248)="","",INDEX(I.Facility.IDNumber,248))</f>
        <v/>
      </c>
      <c r="G257" s="27"/>
      <c r="H257" s="1" t="str">
        <f>IF(AND(I.Facility.FacilityCount&gt;=248,F257=""),"Incomplete","Complete")</f>
        <v>Complete</v>
      </c>
      <c r="I257" s="48" t="s">
        <v>878</v>
      </c>
    </row>
    <row r="258" spans="2:9" ht="15" customHeight="1" x14ac:dyDescent="0.25">
      <c r="B258" s="26" t="s">
        <v>263</v>
      </c>
      <c r="C258" s="1">
        <v>249</v>
      </c>
      <c r="D258" s="27" t="s">
        <v>3031</v>
      </c>
      <c r="E258" s="27"/>
      <c r="F258" s="1" t="str">
        <f>IF(INDEX(I.Facility.IDNumber,249)="","",INDEX(I.Facility.IDNumber,249))</f>
        <v/>
      </c>
      <c r="G258" s="27"/>
      <c r="H258" s="1" t="str">
        <f>IF(AND(I.Facility.FacilityCount&gt;=249,F258=""),"Incomplete","Complete")</f>
        <v>Complete</v>
      </c>
      <c r="I258" s="48" t="s">
        <v>879</v>
      </c>
    </row>
    <row r="259" spans="2:9" ht="15" customHeight="1" x14ac:dyDescent="0.25">
      <c r="B259" s="26" t="s">
        <v>263</v>
      </c>
      <c r="C259" s="1">
        <v>250</v>
      </c>
      <c r="D259" s="27" t="s">
        <v>3031</v>
      </c>
      <c r="E259" s="27"/>
      <c r="F259" s="1" t="str">
        <f>IF(INDEX(I.Facility.IDNumber,250)="","",INDEX(I.Facility.IDNumber,250))</f>
        <v/>
      </c>
      <c r="G259" s="27"/>
      <c r="H259" s="1" t="str">
        <f>IF(AND(I.Facility.FacilityCount&gt;=250,F259=""),"Incomplete","Complete")</f>
        <v>Complete</v>
      </c>
      <c r="I259" s="48" t="s">
        <v>880</v>
      </c>
    </row>
    <row r="260" spans="2:9" ht="15" customHeight="1" x14ac:dyDescent="0.25">
      <c r="B260" s="26" t="s">
        <v>263</v>
      </c>
      <c r="C260" s="1">
        <v>251</v>
      </c>
      <c r="D260" s="27" t="s">
        <v>3031</v>
      </c>
      <c r="E260" s="27"/>
      <c r="F260" s="1" t="str">
        <f>IF(INDEX(I.Facility.IDNumber,251)="","",INDEX(I.Facility.IDNumber,251))</f>
        <v/>
      </c>
      <c r="G260" s="27"/>
      <c r="H260" s="1" t="str">
        <f>IF(AND(I.Facility.FacilityCount&gt;=251,F260=""),"Incomplete","Complete")</f>
        <v>Complete</v>
      </c>
      <c r="I260" s="48" t="s">
        <v>881</v>
      </c>
    </row>
    <row r="261" spans="2:9" ht="15" customHeight="1" x14ac:dyDescent="0.25">
      <c r="B261" s="26" t="s">
        <v>263</v>
      </c>
      <c r="C261" s="1">
        <v>252</v>
      </c>
      <c r="D261" s="27" t="s">
        <v>3031</v>
      </c>
      <c r="E261" s="27"/>
      <c r="F261" s="1" t="str">
        <f>IF(INDEX(I.Facility.IDNumber,252)="","",INDEX(I.Facility.IDNumber,252))</f>
        <v/>
      </c>
      <c r="G261" s="27"/>
      <c r="H261" s="1" t="str">
        <f>IF(AND(I.Facility.FacilityCount&gt;=252,F261=""),"Incomplete","Complete")</f>
        <v>Complete</v>
      </c>
      <c r="I261" s="48" t="s">
        <v>882</v>
      </c>
    </row>
    <row r="262" spans="2:9" ht="15" customHeight="1" x14ac:dyDescent="0.25">
      <c r="B262" s="26" t="s">
        <v>263</v>
      </c>
      <c r="C262" s="1">
        <v>253</v>
      </c>
      <c r="D262" s="27" t="s">
        <v>3031</v>
      </c>
      <c r="E262" s="27"/>
      <c r="F262" s="1" t="str">
        <f>IF(INDEX(I.Facility.IDNumber,253)="","",INDEX(I.Facility.IDNumber,253))</f>
        <v/>
      </c>
      <c r="G262" s="27"/>
      <c r="H262" s="1" t="str">
        <f>IF(AND(I.Facility.FacilityCount&gt;=253,F262=""),"Incomplete","Complete")</f>
        <v>Complete</v>
      </c>
      <c r="I262" s="48" t="s">
        <v>883</v>
      </c>
    </row>
    <row r="263" spans="2:9" ht="15" customHeight="1" x14ac:dyDescent="0.25">
      <c r="B263" s="26" t="s">
        <v>263</v>
      </c>
      <c r="C263" s="1">
        <v>254</v>
      </c>
      <c r="D263" s="27" t="s">
        <v>3031</v>
      </c>
      <c r="E263" s="27"/>
      <c r="F263" s="1" t="str">
        <f>IF(INDEX(I.Facility.IDNumber,254)="","",INDEX(I.Facility.IDNumber,254))</f>
        <v/>
      </c>
      <c r="G263" s="27"/>
      <c r="H263" s="1" t="str">
        <f>IF(AND(I.Facility.FacilityCount&gt;=254,F263=""),"Incomplete","Complete")</f>
        <v>Complete</v>
      </c>
      <c r="I263" s="48" t="s">
        <v>884</v>
      </c>
    </row>
    <row r="264" spans="2:9" ht="15" customHeight="1" x14ac:dyDescent="0.25">
      <c r="B264" s="26" t="s">
        <v>263</v>
      </c>
      <c r="C264" s="1">
        <v>255</v>
      </c>
      <c r="D264" s="27" t="s">
        <v>3031</v>
      </c>
      <c r="E264" s="27"/>
      <c r="F264" s="1" t="str">
        <f>IF(INDEX(I.Facility.IDNumber,255)="","",INDEX(I.Facility.IDNumber,255))</f>
        <v/>
      </c>
      <c r="G264" s="27"/>
      <c r="H264" s="1" t="str">
        <f>IF(AND(I.Facility.FacilityCount&gt;=255,F264=""),"Incomplete","Complete")</f>
        <v>Complete</v>
      </c>
      <c r="I264" s="48" t="s">
        <v>885</v>
      </c>
    </row>
    <row r="265" spans="2:9" ht="15" customHeight="1" x14ac:dyDescent="0.25">
      <c r="B265" s="26" t="s">
        <v>263</v>
      </c>
      <c r="C265" s="1">
        <v>256</v>
      </c>
      <c r="D265" s="27" t="s">
        <v>3031</v>
      </c>
      <c r="E265" s="27"/>
      <c r="F265" s="1" t="str">
        <f>IF(INDEX(I.Facility.IDNumber,256)="","",INDEX(I.Facility.IDNumber,256))</f>
        <v/>
      </c>
      <c r="G265" s="27"/>
      <c r="H265" s="1" t="str">
        <f>IF(AND(I.Facility.FacilityCount&gt;=256,F265=""),"Incomplete","Complete")</f>
        <v>Complete</v>
      </c>
      <c r="I265" s="48" t="s">
        <v>886</v>
      </c>
    </row>
    <row r="266" spans="2:9" ht="15" customHeight="1" x14ac:dyDescent="0.25">
      <c r="B266" s="26" t="s">
        <v>263</v>
      </c>
      <c r="C266" s="1">
        <v>257</v>
      </c>
      <c r="D266" s="27" t="s">
        <v>3031</v>
      </c>
      <c r="E266" s="27"/>
      <c r="F266" s="1" t="str">
        <f>IF(INDEX(I.Facility.IDNumber,257)="","",INDEX(I.Facility.IDNumber,257))</f>
        <v/>
      </c>
      <c r="G266" s="27"/>
      <c r="H266" s="1" t="str">
        <f>IF(AND(I.Facility.FacilityCount&gt;=257,F266=""),"Incomplete","Complete")</f>
        <v>Complete</v>
      </c>
      <c r="I266" s="48" t="s">
        <v>887</v>
      </c>
    </row>
    <row r="267" spans="2:9" ht="15" customHeight="1" x14ac:dyDescent="0.25">
      <c r="B267" s="26" t="s">
        <v>263</v>
      </c>
      <c r="C267" s="1">
        <v>258</v>
      </c>
      <c r="D267" s="27" t="s">
        <v>3031</v>
      </c>
      <c r="E267" s="27"/>
      <c r="F267" s="1" t="str">
        <f>IF(INDEX(I.Facility.IDNumber,258)="","",INDEX(I.Facility.IDNumber,258))</f>
        <v/>
      </c>
      <c r="G267" s="27"/>
      <c r="H267" s="1" t="str">
        <f>IF(AND(I.Facility.FacilityCount&gt;=258,F267=""),"Incomplete","Complete")</f>
        <v>Complete</v>
      </c>
      <c r="I267" s="48" t="s">
        <v>888</v>
      </c>
    </row>
    <row r="268" spans="2:9" ht="15" customHeight="1" x14ac:dyDescent="0.25">
      <c r="B268" s="26" t="s">
        <v>263</v>
      </c>
      <c r="C268" s="1">
        <v>259</v>
      </c>
      <c r="D268" s="27" t="s">
        <v>3031</v>
      </c>
      <c r="E268" s="27"/>
      <c r="F268" s="1" t="str">
        <f>IF(INDEX(I.Facility.IDNumber,259)="","",INDEX(I.Facility.IDNumber,259))</f>
        <v/>
      </c>
      <c r="G268" s="27"/>
      <c r="H268" s="1" t="str">
        <f>IF(AND(I.Facility.FacilityCount&gt;=259,F268=""),"Incomplete","Complete")</f>
        <v>Complete</v>
      </c>
      <c r="I268" s="48" t="s">
        <v>889</v>
      </c>
    </row>
    <row r="269" spans="2:9" ht="15" customHeight="1" x14ac:dyDescent="0.25">
      <c r="B269" s="26" t="s">
        <v>263</v>
      </c>
      <c r="C269" s="1">
        <v>260</v>
      </c>
      <c r="D269" s="27" t="s">
        <v>3031</v>
      </c>
      <c r="E269" s="27"/>
      <c r="F269" s="1" t="str">
        <f>IF(INDEX(I.Facility.IDNumber,260)="","",INDEX(I.Facility.IDNumber,260))</f>
        <v/>
      </c>
      <c r="G269" s="27"/>
      <c r="H269" s="1" t="str">
        <f>IF(AND(I.Facility.FacilityCount&gt;=260,F269=""),"Incomplete","Complete")</f>
        <v>Complete</v>
      </c>
      <c r="I269" s="48" t="s">
        <v>890</v>
      </c>
    </row>
    <row r="270" spans="2:9" ht="15" customHeight="1" x14ac:dyDescent="0.25">
      <c r="B270" s="26" t="s">
        <v>263</v>
      </c>
      <c r="C270" s="1">
        <v>261</v>
      </c>
      <c r="D270" s="27" t="s">
        <v>3031</v>
      </c>
      <c r="E270" s="27"/>
      <c r="F270" s="1" t="str">
        <f>IF(INDEX(I.Facility.IDNumber,261)="","",INDEX(I.Facility.IDNumber,261))</f>
        <v/>
      </c>
      <c r="G270" s="27"/>
      <c r="H270" s="1" t="str">
        <f>IF(AND(I.Facility.FacilityCount&gt;=261,F270=""),"Incomplete","Complete")</f>
        <v>Complete</v>
      </c>
      <c r="I270" s="48" t="s">
        <v>891</v>
      </c>
    </row>
    <row r="271" spans="2:9" ht="15" customHeight="1" x14ac:dyDescent="0.25">
      <c r="B271" s="26" t="s">
        <v>263</v>
      </c>
      <c r="C271" s="1">
        <v>262</v>
      </c>
      <c r="D271" s="27" t="s">
        <v>3031</v>
      </c>
      <c r="E271" s="27"/>
      <c r="F271" s="1" t="str">
        <f>IF(INDEX(I.Facility.IDNumber,262)="","",INDEX(I.Facility.IDNumber,262))</f>
        <v/>
      </c>
      <c r="G271" s="27"/>
      <c r="H271" s="1" t="str">
        <f>IF(AND(I.Facility.FacilityCount&gt;=262,F271=""),"Incomplete","Complete")</f>
        <v>Complete</v>
      </c>
      <c r="I271" s="48" t="s">
        <v>892</v>
      </c>
    </row>
    <row r="272" spans="2:9" ht="15" customHeight="1" x14ac:dyDescent="0.25">
      <c r="B272" s="26" t="s">
        <v>263</v>
      </c>
      <c r="C272" s="1">
        <v>263</v>
      </c>
      <c r="D272" s="27" t="s">
        <v>3031</v>
      </c>
      <c r="E272" s="27"/>
      <c r="F272" s="1" t="str">
        <f>IF(INDEX(I.Facility.IDNumber,263)="","",INDEX(I.Facility.IDNumber,263))</f>
        <v/>
      </c>
      <c r="G272" s="27"/>
      <c r="H272" s="1" t="str">
        <f>IF(AND(I.Facility.FacilityCount&gt;=263,F272=""),"Incomplete","Complete")</f>
        <v>Complete</v>
      </c>
      <c r="I272" s="48" t="s">
        <v>893</v>
      </c>
    </row>
    <row r="273" spans="2:9" ht="15" customHeight="1" x14ac:dyDescent="0.25">
      <c r="B273" s="26" t="s">
        <v>263</v>
      </c>
      <c r="C273" s="1">
        <v>264</v>
      </c>
      <c r="D273" s="27" t="s">
        <v>3031</v>
      </c>
      <c r="E273" s="27"/>
      <c r="F273" s="1" t="str">
        <f>IF(INDEX(I.Facility.IDNumber,264)="","",INDEX(I.Facility.IDNumber,264))</f>
        <v/>
      </c>
      <c r="G273" s="27"/>
      <c r="H273" s="1" t="str">
        <f>IF(AND(I.Facility.FacilityCount&gt;=264,F273=""),"Incomplete","Complete")</f>
        <v>Complete</v>
      </c>
      <c r="I273" s="48" t="s">
        <v>894</v>
      </c>
    </row>
    <row r="274" spans="2:9" ht="15" customHeight="1" x14ac:dyDescent="0.25">
      <c r="B274" s="26" t="s">
        <v>263</v>
      </c>
      <c r="C274" s="1">
        <v>265</v>
      </c>
      <c r="D274" s="27" t="s">
        <v>3031</v>
      </c>
      <c r="E274" s="27"/>
      <c r="F274" s="1" t="str">
        <f>IF(INDEX(I.Facility.IDNumber,265)="","",INDEX(I.Facility.IDNumber,265))</f>
        <v/>
      </c>
      <c r="G274" s="27"/>
      <c r="H274" s="1" t="str">
        <f>IF(AND(I.Facility.FacilityCount&gt;=265,F274=""),"Incomplete","Complete")</f>
        <v>Complete</v>
      </c>
      <c r="I274" s="48" t="s">
        <v>895</v>
      </c>
    </row>
    <row r="275" spans="2:9" ht="15" customHeight="1" x14ac:dyDescent="0.25">
      <c r="B275" s="26" t="s">
        <v>263</v>
      </c>
      <c r="C275" s="1">
        <v>266</v>
      </c>
      <c r="D275" s="27" t="s">
        <v>3031</v>
      </c>
      <c r="E275" s="27"/>
      <c r="F275" s="1" t="str">
        <f>IF(INDEX(I.Facility.IDNumber,266)="","",INDEX(I.Facility.IDNumber,266))</f>
        <v/>
      </c>
      <c r="G275" s="27"/>
      <c r="H275" s="1" t="str">
        <f>IF(AND(I.Facility.FacilityCount&gt;=266,F275=""),"Incomplete","Complete")</f>
        <v>Complete</v>
      </c>
      <c r="I275" s="48" t="s">
        <v>896</v>
      </c>
    </row>
    <row r="276" spans="2:9" ht="15" customHeight="1" x14ac:dyDescent="0.25">
      <c r="B276" s="26" t="s">
        <v>263</v>
      </c>
      <c r="C276" s="1">
        <v>267</v>
      </c>
      <c r="D276" s="27" t="s">
        <v>3031</v>
      </c>
      <c r="E276" s="27"/>
      <c r="F276" s="1" t="str">
        <f>IF(INDEX(I.Facility.IDNumber,267)="","",INDEX(I.Facility.IDNumber,267))</f>
        <v/>
      </c>
      <c r="G276" s="27"/>
      <c r="H276" s="1" t="str">
        <f>IF(AND(I.Facility.FacilityCount&gt;=267,F276=""),"Incomplete","Complete")</f>
        <v>Complete</v>
      </c>
      <c r="I276" s="48" t="s">
        <v>897</v>
      </c>
    </row>
    <row r="277" spans="2:9" ht="15" customHeight="1" x14ac:dyDescent="0.25">
      <c r="B277" s="26" t="s">
        <v>263</v>
      </c>
      <c r="C277" s="1">
        <v>268</v>
      </c>
      <c r="D277" s="27" t="s">
        <v>3031</v>
      </c>
      <c r="E277" s="27"/>
      <c r="F277" s="1" t="str">
        <f>IF(INDEX(I.Facility.IDNumber,268)="","",INDEX(I.Facility.IDNumber,268))</f>
        <v/>
      </c>
      <c r="G277" s="27"/>
      <c r="H277" s="1" t="str">
        <f>IF(AND(I.Facility.FacilityCount&gt;=268,F277=""),"Incomplete","Complete")</f>
        <v>Complete</v>
      </c>
      <c r="I277" s="48" t="s">
        <v>898</v>
      </c>
    </row>
    <row r="278" spans="2:9" ht="15" customHeight="1" x14ac:dyDescent="0.25">
      <c r="B278" s="26" t="s">
        <v>263</v>
      </c>
      <c r="C278" s="1">
        <v>269</v>
      </c>
      <c r="D278" s="27" t="s">
        <v>3031</v>
      </c>
      <c r="E278" s="27"/>
      <c r="F278" s="1" t="str">
        <f>IF(INDEX(I.Facility.IDNumber,269)="","",INDEX(I.Facility.IDNumber,269))</f>
        <v/>
      </c>
      <c r="G278" s="27"/>
      <c r="H278" s="1" t="str">
        <f>IF(AND(I.Facility.FacilityCount&gt;=269,F278=""),"Incomplete","Complete")</f>
        <v>Complete</v>
      </c>
      <c r="I278" s="48" t="s">
        <v>899</v>
      </c>
    </row>
    <row r="279" spans="2:9" ht="15" customHeight="1" x14ac:dyDescent="0.25">
      <c r="B279" s="26" t="s">
        <v>263</v>
      </c>
      <c r="C279" s="1">
        <v>270</v>
      </c>
      <c r="D279" s="27" t="s">
        <v>3031</v>
      </c>
      <c r="E279" s="27"/>
      <c r="F279" s="1" t="str">
        <f>IF(INDEX(I.Facility.IDNumber,270)="","",INDEX(I.Facility.IDNumber,270))</f>
        <v/>
      </c>
      <c r="G279" s="27"/>
      <c r="H279" s="1" t="str">
        <f>IF(AND(I.Facility.FacilityCount&gt;=270,F279=""),"Incomplete","Complete")</f>
        <v>Complete</v>
      </c>
      <c r="I279" s="48" t="s">
        <v>900</v>
      </c>
    </row>
    <row r="280" spans="2:9" ht="15" customHeight="1" x14ac:dyDescent="0.25">
      <c r="B280" s="26" t="s">
        <v>263</v>
      </c>
      <c r="C280" s="1">
        <v>271</v>
      </c>
      <c r="D280" s="27" t="s">
        <v>3031</v>
      </c>
      <c r="E280" s="27"/>
      <c r="F280" s="1" t="str">
        <f>IF(INDEX(I.Facility.IDNumber,271)="","",INDEX(I.Facility.IDNumber,271))</f>
        <v/>
      </c>
      <c r="G280" s="27"/>
      <c r="H280" s="1" t="str">
        <f>IF(AND(I.Facility.FacilityCount&gt;=271,F280=""),"Incomplete","Complete")</f>
        <v>Complete</v>
      </c>
      <c r="I280" s="48" t="s">
        <v>901</v>
      </c>
    </row>
    <row r="281" spans="2:9" ht="15" customHeight="1" x14ac:dyDescent="0.25">
      <c r="B281" s="26" t="s">
        <v>263</v>
      </c>
      <c r="C281" s="1">
        <v>272</v>
      </c>
      <c r="D281" s="27" t="s">
        <v>3031</v>
      </c>
      <c r="E281" s="27"/>
      <c r="F281" s="1" t="str">
        <f>IF(INDEX(I.Facility.IDNumber,272)="","",INDEX(I.Facility.IDNumber,272))</f>
        <v/>
      </c>
      <c r="G281" s="27"/>
      <c r="H281" s="1" t="str">
        <f>IF(AND(I.Facility.FacilityCount&gt;=272,F281=""),"Incomplete","Complete")</f>
        <v>Complete</v>
      </c>
      <c r="I281" s="48" t="s">
        <v>902</v>
      </c>
    </row>
    <row r="282" spans="2:9" ht="15" customHeight="1" x14ac:dyDescent="0.25">
      <c r="B282" s="26" t="s">
        <v>263</v>
      </c>
      <c r="C282" s="1">
        <v>273</v>
      </c>
      <c r="D282" s="27" t="s">
        <v>3031</v>
      </c>
      <c r="E282" s="27"/>
      <c r="F282" s="1" t="str">
        <f>IF(INDEX(I.Facility.IDNumber,273)="","",INDEX(I.Facility.IDNumber,273))</f>
        <v/>
      </c>
      <c r="G282" s="27"/>
      <c r="H282" s="1" t="str">
        <f>IF(AND(I.Facility.FacilityCount&gt;=273,F282=""),"Incomplete","Complete")</f>
        <v>Complete</v>
      </c>
      <c r="I282" s="48" t="s">
        <v>903</v>
      </c>
    </row>
    <row r="283" spans="2:9" ht="15" customHeight="1" x14ac:dyDescent="0.25">
      <c r="B283" s="26" t="s">
        <v>263</v>
      </c>
      <c r="C283" s="1">
        <v>274</v>
      </c>
      <c r="D283" s="27" t="s">
        <v>3031</v>
      </c>
      <c r="E283" s="27"/>
      <c r="F283" s="1" t="str">
        <f>IF(INDEX(I.Facility.IDNumber,274)="","",INDEX(I.Facility.IDNumber,274))</f>
        <v/>
      </c>
      <c r="G283" s="27"/>
      <c r="H283" s="1" t="str">
        <f>IF(AND(I.Facility.FacilityCount&gt;=274,F283=""),"Incomplete","Complete")</f>
        <v>Complete</v>
      </c>
      <c r="I283" s="48" t="s">
        <v>904</v>
      </c>
    </row>
    <row r="284" spans="2:9" ht="15" customHeight="1" x14ac:dyDescent="0.25">
      <c r="B284" s="26" t="s">
        <v>263</v>
      </c>
      <c r="C284" s="1">
        <v>275</v>
      </c>
      <c r="D284" s="27" t="s">
        <v>3031</v>
      </c>
      <c r="E284" s="27"/>
      <c r="F284" s="1" t="str">
        <f>IF(INDEX(I.Facility.IDNumber,275)="","",INDEX(I.Facility.IDNumber,275))</f>
        <v/>
      </c>
      <c r="G284" s="27"/>
      <c r="H284" s="1" t="str">
        <f>IF(AND(I.Facility.FacilityCount&gt;=275,F284=""),"Incomplete","Complete")</f>
        <v>Complete</v>
      </c>
      <c r="I284" s="48" t="s">
        <v>905</v>
      </c>
    </row>
    <row r="285" spans="2:9" ht="15" customHeight="1" x14ac:dyDescent="0.25">
      <c r="B285" s="26" t="s">
        <v>263</v>
      </c>
      <c r="C285" s="1">
        <v>276</v>
      </c>
      <c r="D285" s="27" t="s">
        <v>3031</v>
      </c>
      <c r="E285" s="27"/>
      <c r="F285" s="1" t="str">
        <f>IF(INDEX(I.Facility.IDNumber,276)="","",INDEX(I.Facility.IDNumber,276))</f>
        <v/>
      </c>
      <c r="G285" s="27"/>
      <c r="H285" s="1" t="str">
        <f>IF(AND(I.Facility.FacilityCount&gt;=276,F285=""),"Incomplete","Complete")</f>
        <v>Complete</v>
      </c>
      <c r="I285" s="48" t="s">
        <v>906</v>
      </c>
    </row>
    <row r="286" spans="2:9" ht="15" customHeight="1" x14ac:dyDescent="0.25">
      <c r="B286" s="26" t="s">
        <v>263</v>
      </c>
      <c r="C286" s="1">
        <v>277</v>
      </c>
      <c r="D286" s="27" t="s">
        <v>3031</v>
      </c>
      <c r="E286" s="27"/>
      <c r="F286" s="1" t="str">
        <f>IF(INDEX(I.Facility.IDNumber,277)="","",INDEX(I.Facility.IDNumber,277))</f>
        <v/>
      </c>
      <c r="G286" s="27"/>
      <c r="H286" s="1" t="str">
        <f>IF(AND(I.Facility.FacilityCount&gt;=277,F286=""),"Incomplete","Complete")</f>
        <v>Complete</v>
      </c>
      <c r="I286" s="48" t="s">
        <v>907</v>
      </c>
    </row>
    <row r="287" spans="2:9" ht="15" customHeight="1" x14ac:dyDescent="0.25">
      <c r="B287" s="26" t="s">
        <v>263</v>
      </c>
      <c r="C287" s="1">
        <v>278</v>
      </c>
      <c r="D287" s="27" t="s">
        <v>3031</v>
      </c>
      <c r="E287" s="27"/>
      <c r="F287" s="1" t="str">
        <f>IF(INDEX(I.Facility.IDNumber,278)="","",INDEX(I.Facility.IDNumber,278))</f>
        <v/>
      </c>
      <c r="G287" s="27"/>
      <c r="H287" s="1" t="str">
        <f>IF(AND(I.Facility.FacilityCount&gt;=278,F287=""),"Incomplete","Complete")</f>
        <v>Complete</v>
      </c>
      <c r="I287" s="48" t="s">
        <v>908</v>
      </c>
    </row>
    <row r="288" spans="2:9" ht="15" customHeight="1" x14ac:dyDescent="0.25">
      <c r="B288" s="26" t="s">
        <v>263</v>
      </c>
      <c r="C288" s="1">
        <v>279</v>
      </c>
      <c r="D288" s="27" t="s">
        <v>3031</v>
      </c>
      <c r="E288" s="27"/>
      <c r="F288" s="1" t="str">
        <f>IF(INDEX(I.Facility.IDNumber,279)="","",INDEX(I.Facility.IDNumber,279))</f>
        <v/>
      </c>
      <c r="G288" s="27"/>
      <c r="H288" s="1" t="str">
        <f>IF(AND(I.Facility.FacilityCount&gt;=279,F288=""),"Incomplete","Complete")</f>
        <v>Complete</v>
      </c>
      <c r="I288" s="48" t="s">
        <v>909</v>
      </c>
    </row>
    <row r="289" spans="2:9" ht="15" customHeight="1" x14ac:dyDescent="0.25">
      <c r="B289" s="26" t="s">
        <v>263</v>
      </c>
      <c r="C289" s="1">
        <v>280</v>
      </c>
      <c r="D289" s="27" t="s">
        <v>3031</v>
      </c>
      <c r="E289" s="27"/>
      <c r="F289" s="1" t="str">
        <f>IF(INDEX(I.Facility.IDNumber,280)="","",INDEX(I.Facility.IDNumber,280))</f>
        <v/>
      </c>
      <c r="G289" s="27"/>
      <c r="H289" s="1" t="str">
        <f>IF(AND(I.Facility.FacilityCount&gt;=280,F289=""),"Incomplete","Complete")</f>
        <v>Complete</v>
      </c>
      <c r="I289" s="48" t="s">
        <v>910</v>
      </c>
    </row>
    <row r="290" spans="2:9" ht="15" customHeight="1" x14ac:dyDescent="0.25">
      <c r="B290" s="26" t="s">
        <v>263</v>
      </c>
      <c r="C290" s="1">
        <v>281</v>
      </c>
      <c r="D290" s="27" t="s">
        <v>3031</v>
      </c>
      <c r="E290" s="27"/>
      <c r="F290" s="1" t="str">
        <f>IF(INDEX(I.Facility.IDNumber,281)="","",INDEX(I.Facility.IDNumber,281))</f>
        <v/>
      </c>
      <c r="G290" s="27"/>
      <c r="H290" s="1" t="str">
        <f>IF(AND(I.Facility.FacilityCount&gt;=281,F290=""),"Incomplete","Complete")</f>
        <v>Complete</v>
      </c>
      <c r="I290" s="48" t="s">
        <v>911</v>
      </c>
    </row>
    <row r="291" spans="2:9" ht="15" customHeight="1" x14ac:dyDescent="0.25">
      <c r="B291" s="26" t="s">
        <v>263</v>
      </c>
      <c r="C291" s="1">
        <v>282</v>
      </c>
      <c r="D291" s="27" t="s">
        <v>3031</v>
      </c>
      <c r="E291" s="27"/>
      <c r="F291" s="1" t="str">
        <f>IF(INDEX(I.Facility.IDNumber,282)="","",INDEX(I.Facility.IDNumber,282))</f>
        <v/>
      </c>
      <c r="G291" s="27"/>
      <c r="H291" s="1" t="str">
        <f>IF(AND(I.Facility.FacilityCount&gt;=282,F291=""),"Incomplete","Complete")</f>
        <v>Complete</v>
      </c>
      <c r="I291" s="48" t="s">
        <v>912</v>
      </c>
    </row>
    <row r="292" spans="2:9" ht="15" customHeight="1" x14ac:dyDescent="0.25">
      <c r="B292" s="26" t="s">
        <v>263</v>
      </c>
      <c r="C292" s="1">
        <v>283</v>
      </c>
      <c r="D292" s="27" t="s">
        <v>3031</v>
      </c>
      <c r="E292" s="27"/>
      <c r="F292" s="1" t="str">
        <f>IF(INDEX(I.Facility.IDNumber,283)="","",INDEX(I.Facility.IDNumber,283))</f>
        <v/>
      </c>
      <c r="G292" s="27"/>
      <c r="H292" s="1" t="str">
        <f>IF(AND(I.Facility.FacilityCount&gt;=283,F292=""),"Incomplete","Complete")</f>
        <v>Complete</v>
      </c>
      <c r="I292" s="48" t="s">
        <v>913</v>
      </c>
    </row>
    <row r="293" spans="2:9" ht="15" customHeight="1" x14ac:dyDescent="0.25">
      <c r="B293" s="26" t="s">
        <v>263</v>
      </c>
      <c r="C293" s="1">
        <v>284</v>
      </c>
      <c r="D293" s="27" t="s">
        <v>3031</v>
      </c>
      <c r="E293" s="27"/>
      <c r="F293" s="1" t="str">
        <f>IF(INDEX(I.Facility.IDNumber,284)="","",INDEX(I.Facility.IDNumber,284))</f>
        <v/>
      </c>
      <c r="G293" s="27"/>
      <c r="H293" s="1" t="str">
        <f>IF(AND(I.Facility.FacilityCount&gt;=284,F293=""),"Incomplete","Complete")</f>
        <v>Complete</v>
      </c>
      <c r="I293" s="48" t="s">
        <v>914</v>
      </c>
    </row>
    <row r="294" spans="2:9" ht="15" customHeight="1" x14ac:dyDescent="0.25">
      <c r="B294" s="26" t="s">
        <v>263</v>
      </c>
      <c r="C294" s="1">
        <v>285</v>
      </c>
      <c r="D294" s="27" t="s">
        <v>3031</v>
      </c>
      <c r="E294" s="27"/>
      <c r="F294" s="1" t="str">
        <f>IF(INDEX(I.Facility.IDNumber,285)="","",INDEX(I.Facility.IDNumber,285))</f>
        <v/>
      </c>
      <c r="G294" s="27"/>
      <c r="H294" s="1" t="str">
        <f>IF(AND(I.Facility.FacilityCount&gt;=285,F294=""),"Incomplete","Complete")</f>
        <v>Complete</v>
      </c>
      <c r="I294" s="48" t="s">
        <v>915</v>
      </c>
    </row>
    <row r="295" spans="2:9" ht="15" customHeight="1" x14ac:dyDescent="0.25">
      <c r="B295" s="26" t="s">
        <v>263</v>
      </c>
      <c r="C295" s="1">
        <v>286</v>
      </c>
      <c r="D295" s="27" t="s">
        <v>3031</v>
      </c>
      <c r="E295" s="27"/>
      <c r="F295" s="1" t="str">
        <f>IF(INDEX(I.Facility.IDNumber,286)="","",INDEX(I.Facility.IDNumber,286))</f>
        <v/>
      </c>
      <c r="G295" s="27"/>
      <c r="H295" s="1" t="str">
        <f>IF(AND(I.Facility.FacilityCount&gt;=286,F295=""),"Incomplete","Complete")</f>
        <v>Complete</v>
      </c>
      <c r="I295" s="48" t="s">
        <v>916</v>
      </c>
    </row>
    <row r="296" spans="2:9" ht="15" customHeight="1" x14ac:dyDescent="0.25">
      <c r="B296" s="26" t="s">
        <v>263</v>
      </c>
      <c r="C296" s="1">
        <v>287</v>
      </c>
      <c r="D296" s="27" t="s">
        <v>3031</v>
      </c>
      <c r="E296" s="27"/>
      <c r="F296" s="1" t="str">
        <f>IF(INDEX(I.Facility.IDNumber,287)="","",INDEX(I.Facility.IDNumber,287))</f>
        <v/>
      </c>
      <c r="G296" s="27"/>
      <c r="H296" s="1" t="str">
        <f>IF(AND(I.Facility.FacilityCount&gt;=287,F296=""),"Incomplete","Complete")</f>
        <v>Complete</v>
      </c>
      <c r="I296" s="48" t="s">
        <v>917</v>
      </c>
    </row>
    <row r="297" spans="2:9" ht="15" customHeight="1" x14ac:dyDescent="0.25">
      <c r="B297" s="26" t="s">
        <v>263</v>
      </c>
      <c r="C297" s="1">
        <v>288</v>
      </c>
      <c r="D297" s="27" t="s">
        <v>3031</v>
      </c>
      <c r="E297" s="27"/>
      <c r="F297" s="1" t="str">
        <f>IF(INDEX(I.Facility.IDNumber,288)="","",INDEX(I.Facility.IDNumber,288))</f>
        <v/>
      </c>
      <c r="G297" s="27"/>
      <c r="H297" s="1" t="str">
        <f>IF(AND(I.Facility.FacilityCount&gt;=288,F297=""),"Incomplete","Complete")</f>
        <v>Complete</v>
      </c>
      <c r="I297" s="48" t="s">
        <v>918</v>
      </c>
    </row>
    <row r="298" spans="2:9" ht="15" customHeight="1" x14ac:dyDescent="0.25">
      <c r="B298" s="26" t="s">
        <v>263</v>
      </c>
      <c r="C298" s="1">
        <v>289</v>
      </c>
      <c r="D298" s="27" t="s">
        <v>3031</v>
      </c>
      <c r="E298" s="27"/>
      <c r="F298" s="1" t="str">
        <f>IF(INDEX(I.Facility.IDNumber,289)="","",INDEX(I.Facility.IDNumber,289))</f>
        <v/>
      </c>
      <c r="G298" s="27"/>
      <c r="H298" s="1" t="str">
        <f>IF(AND(I.Facility.FacilityCount&gt;=289,F298=""),"Incomplete","Complete")</f>
        <v>Complete</v>
      </c>
      <c r="I298" s="48" t="s">
        <v>919</v>
      </c>
    </row>
    <row r="299" spans="2:9" ht="15" customHeight="1" x14ac:dyDescent="0.25">
      <c r="B299" s="26" t="s">
        <v>263</v>
      </c>
      <c r="C299" s="1">
        <v>290</v>
      </c>
      <c r="D299" s="27" t="s">
        <v>3031</v>
      </c>
      <c r="E299" s="27"/>
      <c r="F299" s="1" t="str">
        <f>IF(INDEX(I.Facility.IDNumber,290)="","",INDEX(I.Facility.IDNumber,290))</f>
        <v/>
      </c>
      <c r="G299" s="27"/>
      <c r="H299" s="1" t="str">
        <f>IF(AND(I.Facility.FacilityCount&gt;=290,F299=""),"Incomplete","Complete")</f>
        <v>Complete</v>
      </c>
      <c r="I299" s="48" t="s">
        <v>920</v>
      </c>
    </row>
    <row r="300" spans="2:9" ht="15" customHeight="1" x14ac:dyDescent="0.25">
      <c r="B300" s="26" t="s">
        <v>263</v>
      </c>
      <c r="C300" s="1">
        <v>291</v>
      </c>
      <c r="D300" s="27" t="s">
        <v>3031</v>
      </c>
      <c r="E300" s="27"/>
      <c r="F300" s="1" t="str">
        <f>IF(INDEX(I.Facility.IDNumber,291)="","",INDEX(I.Facility.IDNumber,291))</f>
        <v/>
      </c>
      <c r="G300" s="27"/>
      <c r="H300" s="1" t="str">
        <f>IF(AND(I.Facility.FacilityCount&gt;=291,F300=""),"Incomplete","Complete")</f>
        <v>Complete</v>
      </c>
      <c r="I300" s="48" t="s">
        <v>921</v>
      </c>
    </row>
    <row r="301" spans="2:9" ht="15" customHeight="1" x14ac:dyDescent="0.25">
      <c r="B301" s="26" t="s">
        <v>263</v>
      </c>
      <c r="C301" s="1">
        <v>292</v>
      </c>
      <c r="D301" s="27" t="s">
        <v>3031</v>
      </c>
      <c r="E301" s="27"/>
      <c r="F301" s="1" t="str">
        <f>IF(INDEX(I.Facility.IDNumber,292)="","",INDEX(I.Facility.IDNumber,292))</f>
        <v/>
      </c>
      <c r="G301" s="27"/>
      <c r="H301" s="1" t="str">
        <f>IF(AND(I.Facility.FacilityCount&gt;=292,F301=""),"Incomplete","Complete")</f>
        <v>Complete</v>
      </c>
      <c r="I301" s="48" t="s">
        <v>922</v>
      </c>
    </row>
    <row r="302" spans="2:9" ht="15" customHeight="1" x14ac:dyDescent="0.25">
      <c r="B302" s="26" t="s">
        <v>263</v>
      </c>
      <c r="C302" s="1">
        <v>293</v>
      </c>
      <c r="D302" s="27" t="s">
        <v>3031</v>
      </c>
      <c r="E302" s="27"/>
      <c r="F302" s="1" t="str">
        <f>IF(INDEX(I.Facility.IDNumber,293)="","",INDEX(I.Facility.IDNumber,293))</f>
        <v/>
      </c>
      <c r="G302" s="27"/>
      <c r="H302" s="1" t="str">
        <f>IF(AND(I.Facility.FacilityCount&gt;=293,F302=""),"Incomplete","Complete")</f>
        <v>Complete</v>
      </c>
      <c r="I302" s="48" t="s">
        <v>923</v>
      </c>
    </row>
    <row r="303" spans="2:9" ht="15" customHeight="1" x14ac:dyDescent="0.25">
      <c r="B303" s="26" t="s">
        <v>263</v>
      </c>
      <c r="C303" s="1">
        <v>294</v>
      </c>
      <c r="D303" s="27" t="s">
        <v>3031</v>
      </c>
      <c r="E303" s="27"/>
      <c r="F303" s="1" t="str">
        <f>IF(INDEX(I.Facility.IDNumber,294)="","",INDEX(I.Facility.IDNumber,294))</f>
        <v/>
      </c>
      <c r="G303" s="27"/>
      <c r="H303" s="1" t="str">
        <f>IF(AND(I.Facility.FacilityCount&gt;=294,F303=""),"Incomplete","Complete")</f>
        <v>Complete</v>
      </c>
      <c r="I303" s="48" t="s">
        <v>924</v>
      </c>
    </row>
    <row r="304" spans="2:9" ht="15" customHeight="1" x14ac:dyDescent="0.25">
      <c r="B304" s="26" t="s">
        <v>263</v>
      </c>
      <c r="C304" s="1">
        <v>295</v>
      </c>
      <c r="D304" s="27" t="s">
        <v>3031</v>
      </c>
      <c r="E304" s="27"/>
      <c r="F304" s="1" t="str">
        <f>IF(INDEX(I.Facility.IDNumber,295)="","",INDEX(I.Facility.IDNumber,295))</f>
        <v/>
      </c>
      <c r="G304" s="27"/>
      <c r="H304" s="1" t="str">
        <f>IF(AND(I.Facility.FacilityCount&gt;=295,F304=""),"Incomplete","Complete")</f>
        <v>Complete</v>
      </c>
      <c r="I304" s="48" t="s">
        <v>925</v>
      </c>
    </row>
    <row r="305" spans="2:9" ht="15" customHeight="1" x14ac:dyDescent="0.25">
      <c r="B305" s="26" t="s">
        <v>263</v>
      </c>
      <c r="C305" s="1">
        <v>296</v>
      </c>
      <c r="D305" s="27" t="s">
        <v>3031</v>
      </c>
      <c r="E305" s="27"/>
      <c r="F305" s="1" t="str">
        <f>IF(INDEX(I.Facility.IDNumber,296)="","",INDEX(I.Facility.IDNumber,296))</f>
        <v/>
      </c>
      <c r="G305" s="27"/>
      <c r="H305" s="1" t="str">
        <f>IF(AND(I.Facility.FacilityCount&gt;=296,F305=""),"Incomplete","Complete")</f>
        <v>Complete</v>
      </c>
      <c r="I305" s="48" t="s">
        <v>926</v>
      </c>
    </row>
    <row r="306" spans="2:9" ht="15" customHeight="1" x14ac:dyDescent="0.25">
      <c r="B306" s="26" t="s">
        <v>263</v>
      </c>
      <c r="C306" s="1">
        <v>297</v>
      </c>
      <c r="D306" s="27" t="s">
        <v>3031</v>
      </c>
      <c r="E306" s="27"/>
      <c r="F306" s="1" t="str">
        <f>IF(INDEX(I.Facility.IDNumber,297)="","",INDEX(I.Facility.IDNumber,297))</f>
        <v/>
      </c>
      <c r="G306" s="27"/>
      <c r="H306" s="1" t="str">
        <f>IF(AND(I.Facility.FacilityCount&gt;=297,F306=""),"Incomplete","Complete")</f>
        <v>Complete</v>
      </c>
      <c r="I306" s="48" t="s">
        <v>927</v>
      </c>
    </row>
    <row r="307" spans="2:9" ht="15" customHeight="1" x14ac:dyDescent="0.25">
      <c r="B307" s="26" t="s">
        <v>263</v>
      </c>
      <c r="C307" s="1">
        <v>298</v>
      </c>
      <c r="D307" s="27" t="s">
        <v>3031</v>
      </c>
      <c r="E307" s="27"/>
      <c r="F307" s="1" t="str">
        <f>IF(INDEX(I.Facility.IDNumber,298)="","",INDEX(I.Facility.IDNumber,298))</f>
        <v/>
      </c>
      <c r="G307" s="27"/>
      <c r="H307" s="1" t="str">
        <f>IF(AND(I.Facility.FacilityCount&gt;=298,F307=""),"Incomplete","Complete")</f>
        <v>Complete</v>
      </c>
      <c r="I307" s="48" t="s">
        <v>928</v>
      </c>
    </row>
    <row r="308" spans="2:9" ht="15" customHeight="1" x14ac:dyDescent="0.25">
      <c r="B308" s="26" t="s">
        <v>263</v>
      </c>
      <c r="C308" s="1">
        <v>299</v>
      </c>
      <c r="D308" s="27" t="s">
        <v>3031</v>
      </c>
      <c r="E308" s="27"/>
      <c r="F308" s="1" t="str">
        <f>IF(INDEX(I.Facility.IDNumber,299)="","",INDEX(I.Facility.IDNumber,299))</f>
        <v/>
      </c>
      <c r="G308" s="27"/>
      <c r="H308" s="1" t="str">
        <f>IF(AND(I.Facility.FacilityCount&gt;=299,F308=""),"Incomplete","Complete")</f>
        <v>Complete</v>
      </c>
      <c r="I308" s="48" t="s">
        <v>929</v>
      </c>
    </row>
    <row r="309" spans="2:9" ht="15" customHeight="1" x14ac:dyDescent="0.25">
      <c r="B309" s="26" t="s">
        <v>263</v>
      </c>
      <c r="C309" s="1">
        <v>300</v>
      </c>
      <c r="D309" s="27" t="s">
        <v>3031</v>
      </c>
      <c r="E309" s="27"/>
      <c r="F309" s="1" t="str">
        <f>IF(INDEX(I.Facility.IDNumber,300)="","",INDEX(I.Facility.IDNumber,300))</f>
        <v/>
      </c>
      <c r="G309" s="27"/>
      <c r="H309" s="1" t="str">
        <f>IF(AND(I.Facility.FacilityCount&gt;=300,F309=""),"Incomplete","Complete")</f>
        <v>Complete</v>
      </c>
      <c r="I309" s="48" t="s">
        <v>930</v>
      </c>
    </row>
    <row r="310" spans="2:9" ht="15" customHeight="1" x14ac:dyDescent="0.25">
      <c r="B310" s="26" t="s">
        <v>263</v>
      </c>
      <c r="C310" s="1">
        <v>301</v>
      </c>
      <c r="D310" s="27" t="s">
        <v>3031</v>
      </c>
      <c r="E310" s="27"/>
      <c r="F310" s="1" t="str">
        <f>IF(INDEX(I.Facility.IDNumber,301)="","",INDEX(I.Facility.IDNumber,301))</f>
        <v/>
      </c>
      <c r="G310" s="27"/>
      <c r="H310" s="1" t="str">
        <f>IF(AND(I.Facility.FacilityCount&gt;=301,F310=""),"Incomplete","Complete")</f>
        <v>Complete</v>
      </c>
      <c r="I310" s="48" t="s">
        <v>931</v>
      </c>
    </row>
    <row r="311" spans="2:9" ht="15" customHeight="1" x14ac:dyDescent="0.25">
      <c r="B311" s="26" t="s">
        <v>263</v>
      </c>
      <c r="C311" s="1">
        <v>302</v>
      </c>
      <c r="D311" s="27" t="s">
        <v>3031</v>
      </c>
      <c r="E311" s="27"/>
      <c r="F311" s="1" t="str">
        <f>IF(INDEX(I.Facility.IDNumber,302)="","",INDEX(I.Facility.IDNumber,302))</f>
        <v/>
      </c>
      <c r="G311" s="27"/>
      <c r="H311" s="1" t="str">
        <f>IF(AND(I.Facility.FacilityCount&gt;=302,F311=""),"Incomplete","Complete")</f>
        <v>Complete</v>
      </c>
      <c r="I311" s="48" t="s">
        <v>932</v>
      </c>
    </row>
    <row r="312" spans="2:9" ht="15" customHeight="1" x14ac:dyDescent="0.25">
      <c r="B312" s="26" t="s">
        <v>263</v>
      </c>
      <c r="C312" s="1">
        <v>303</v>
      </c>
      <c r="D312" s="27" t="s">
        <v>3031</v>
      </c>
      <c r="E312" s="27"/>
      <c r="F312" s="1" t="str">
        <f>IF(INDEX(I.Facility.IDNumber,303)="","",INDEX(I.Facility.IDNumber,303))</f>
        <v/>
      </c>
      <c r="G312" s="27"/>
      <c r="H312" s="1" t="str">
        <f>IF(AND(I.Facility.FacilityCount&gt;=303,F312=""),"Incomplete","Complete")</f>
        <v>Complete</v>
      </c>
      <c r="I312" s="48" t="s">
        <v>933</v>
      </c>
    </row>
    <row r="313" spans="2:9" ht="15" customHeight="1" x14ac:dyDescent="0.25">
      <c r="B313" s="26" t="s">
        <v>263</v>
      </c>
      <c r="C313" s="1">
        <v>304</v>
      </c>
      <c r="D313" s="27" t="s">
        <v>3031</v>
      </c>
      <c r="E313" s="27"/>
      <c r="F313" s="1" t="str">
        <f>IF(INDEX(I.Facility.IDNumber,304)="","",INDEX(I.Facility.IDNumber,304))</f>
        <v/>
      </c>
      <c r="G313" s="27"/>
      <c r="H313" s="1" t="str">
        <f>IF(AND(I.Facility.FacilityCount&gt;=304,F313=""),"Incomplete","Complete")</f>
        <v>Complete</v>
      </c>
      <c r="I313" s="48" t="s">
        <v>934</v>
      </c>
    </row>
    <row r="314" spans="2:9" ht="15" customHeight="1" x14ac:dyDescent="0.25">
      <c r="B314" s="26" t="s">
        <v>263</v>
      </c>
      <c r="C314" s="1">
        <v>305</v>
      </c>
      <c r="D314" s="27" t="s">
        <v>3031</v>
      </c>
      <c r="E314" s="27"/>
      <c r="F314" s="1" t="str">
        <f>IF(INDEX(I.Facility.IDNumber,305)="","",INDEX(I.Facility.IDNumber,305))</f>
        <v/>
      </c>
      <c r="G314" s="27"/>
      <c r="H314" s="1" t="str">
        <f>IF(AND(I.Facility.FacilityCount&gt;=305,F314=""),"Incomplete","Complete")</f>
        <v>Complete</v>
      </c>
      <c r="I314" s="48" t="s">
        <v>935</v>
      </c>
    </row>
    <row r="315" spans="2:9" ht="15" customHeight="1" x14ac:dyDescent="0.25">
      <c r="B315" s="26" t="s">
        <v>263</v>
      </c>
      <c r="C315" s="1">
        <v>306</v>
      </c>
      <c r="D315" s="27" t="s">
        <v>3031</v>
      </c>
      <c r="E315" s="27"/>
      <c r="F315" s="1" t="str">
        <f>IF(INDEX(I.Facility.IDNumber,306)="","",INDEX(I.Facility.IDNumber,306))</f>
        <v/>
      </c>
      <c r="G315" s="27"/>
      <c r="H315" s="1" t="str">
        <f>IF(AND(I.Facility.FacilityCount&gt;=306,F315=""),"Incomplete","Complete")</f>
        <v>Complete</v>
      </c>
      <c r="I315" s="48" t="s">
        <v>936</v>
      </c>
    </row>
    <row r="316" spans="2:9" ht="15" customHeight="1" x14ac:dyDescent="0.25">
      <c r="B316" s="26" t="s">
        <v>263</v>
      </c>
      <c r="C316" s="1">
        <v>307</v>
      </c>
      <c r="D316" s="27" t="s">
        <v>3031</v>
      </c>
      <c r="E316" s="27"/>
      <c r="F316" s="1" t="str">
        <f>IF(INDEX(I.Facility.IDNumber,307)="","",INDEX(I.Facility.IDNumber,307))</f>
        <v/>
      </c>
      <c r="G316" s="27"/>
      <c r="H316" s="1" t="str">
        <f>IF(AND(I.Facility.FacilityCount&gt;=307,F316=""),"Incomplete","Complete")</f>
        <v>Complete</v>
      </c>
      <c r="I316" s="48" t="s">
        <v>937</v>
      </c>
    </row>
    <row r="317" spans="2:9" ht="15" customHeight="1" x14ac:dyDescent="0.25">
      <c r="B317" s="26" t="s">
        <v>263</v>
      </c>
      <c r="C317" s="1">
        <v>308</v>
      </c>
      <c r="D317" s="27" t="s">
        <v>3031</v>
      </c>
      <c r="E317" s="27"/>
      <c r="F317" s="1" t="str">
        <f>IF(INDEX(I.Facility.IDNumber,308)="","",INDEX(I.Facility.IDNumber,308))</f>
        <v/>
      </c>
      <c r="G317" s="27"/>
      <c r="H317" s="1" t="str">
        <f>IF(AND(I.Facility.FacilityCount&gt;=308,F317=""),"Incomplete","Complete")</f>
        <v>Complete</v>
      </c>
      <c r="I317" s="48" t="s">
        <v>938</v>
      </c>
    </row>
    <row r="318" spans="2:9" ht="15" customHeight="1" x14ac:dyDescent="0.25">
      <c r="B318" s="26" t="s">
        <v>263</v>
      </c>
      <c r="C318" s="1">
        <v>309</v>
      </c>
      <c r="D318" s="27" t="s">
        <v>3031</v>
      </c>
      <c r="E318" s="27"/>
      <c r="F318" s="1" t="str">
        <f>IF(INDEX(I.Facility.IDNumber,309)="","",INDEX(I.Facility.IDNumber,309))</f>
        <v/>
      </c>
      <c r="G318" s="27"/>
      <c r="H318" s="1" t="str">
        <f>IF(AND(I.Facility.FacilityCount&gt;=309,F318=""),"Incomplete","Complete")</f>
        <v>Complete</v>
      </c>
      <c r="I318" s="48" t="s">
        <v>939</v>
      </c>
    </row>
    <row r="319" spans="2:9" ht="15" customHeight="1" x14ac:dyDescent="0.25">
      <c r="B319" s="26" t="s">
        <v>263</v>
      </c>
      <c r="C319" s="1">
        <v>310</v>
      </c>
      <c r="D319" s="27" t="s">
        <v>3031</v>
      </c>
      <c r="E319" s="27"/>
      <c r="F319" s="1" t="str">
        <f>IF(INDEX(I.Facility.IDNumber,310)="","",INDEX(I.Facility.IDNumber,310))</f>
        <v/>
      </c>
      <c r="G319" s="27"/>
      <c r="H319" s="1" t="str">
        <f>IF(AND(I.Facility.FacilityCount&gt;=310,F319=""),"Incomplete","Complete")</f>
        <v>Complete</v>
      </c>
      <c r="I319" s="48" t="s">
        <v>940</v>
      </c>
    </row>
    <row r="320" spans="2:9" ht="15" customHeight="1" x14ac:dyDescent="0.25">
      <c r="B320" s="26" t="s">
        <v>263</v>
      </c>
      <c r="C320" s="1">
        <v>311</v>
      </c>
      <c r="D320" s="27" t="s">
        <v>3031</v>
      </c>
      <c r="E320" s="27"/>
      <c r="F320" s="1" t="str">
        <f>IF(INDEX(I.Facility.IDNumber,311)="","",INDEX(I.Facility.IDNumber,311))</f>
        <v/>
      </c>
      <c r="G320" s="27"/>
      <c r="H320" s="1" t="str">
        <f>IF(AND(I.Facility.FacilityCount&gt;=311,F320=""),"Incomplete","Complete")</f>
        <v>Complete</v>
      </c>
      <c r="I320" s="48" t="s">
        <v>941</v>
      </c>
    </row>
    <row r="321" spans="2:9" ht="15" customHeight="1" x14ac:dyDescent="0.25">
      <c r="B321" s="26" t="s">
        <v>263</v>
      </c>
      <c r="C321" s="1">
        <v>312</v>
      </c>
      <c r="D321" s="27" t="s">
        <v>3031</v>
      </c>
      <c r="E321" s="27"/>
      <c r="F321" s="1" t="str">
        <f>IF(INDEX(I.Facility.IDNumber,312)="","",INDEX(I.Facility.IDNumber,312))</f>
        <v/>
      </c>
      <c r="G321" s="27"/>
      <c r="H321" s="1" t="str">
        <f>IF(AND(I.Facility.FacilityCount&gt;=312,F321=""),"Incomplete","Complete")</f>
        <v>Complete</v>
      </c>
      <c r="I321" s="48" t="s">
        <v>942</v>
      </c>
    </row>
    <row r="322" spans="2:9" ht="15" customHeight="1" x14ac:dyDescent="0.25">
      <c r="B322" s="26" t="s">
        <v>263</v>
      </c>
      <c r="C322" s="1">
        <v>313</v>
      </c>
      <c r="D322" s="27" t="s">
        <v>3031</v>
      </c>
      <c r="E322" s="27"/>
      <c r="F322" s="1" t="str">
        <f>IF(INDEX(I.Facility.IDNumber,313)="","",INDEX(I.Facility.IDNumber,313))</f>
        <v/>
      </c>
      <c r="G322" s="27"/>
      <c r="H322" s="1" t="str">
        <f>IF(AND(I.Facility.FacilityCount&gt;=313,F322=""),"Incomplete","Complete")</f>
        <v>Complete</v>
      </c>
      <c r="I322" s="48" t="s">
        <v>943</v>
      </c>
    </row>
    <row r="323" spans="2:9" ht="15" customHeight="1" x14ac:dyDescent="0.25">
      <c r="B323" s="26" t="s">
        <v>263</v>
      </c>
      <c r="C323" s="1">
        <v>314</v>
      </c>
      <c r="D323" s="27" t="s">
        <v>3031</v>
      </c>
      <c r="E323" s="27"/>
      <c r="F323" s="1" t="str">
        <f>IF(INDEX(I.Facility.IDNumber,314)="","",INDEX(I.Facility.IDNumber,314))</f>
        <v/>
      </c>
      <c r="G323" s="27"/>
      <c r="H323" s="1" t="str">
        <f>IF(AND(I.Facility.FacilityCount&gt;=314,F323=""),"Incomplete","Complete")</f>
        <v>Complete</v>
      </c>
      <c r="I323" s="48" t="s">
        <v>944</v>
      </c>
    </row>
    <row r="324" spans="2:9" ht="15" customHeight="1" x14ac:dyDescent="0.25">
      <c r="B324" s="26" t="s">
        <v>263</v>
      </c>
      <c r="C324" s="1">
        <v>315</v>
      </c>
      <c r="D324" s="27" t="s">
        <v>3031</v>
      </c>
      <c r="E324" s="27"/>
      <c r="F324" s="1" t="str">
        <f>IF(INDEX(I.Facility.IDNumber,315)="","",INDEX(I.Facility.IDNumber,315))</f>
        <v/>
      </c>
      <c r="G324" s="27"/>
      <c r="H324" s="1" t="str">
        <f>IF(AND(I.Facility.FacilityCount&gt;=315,F324=""),"Incomplete","Complete")</f>
        <v>Complete</v>
      </c>
      <c r="I324" s="48" t="s">
        <v>945</v>
      </c>
    </row>
    <row r="325" spans="2:9" ht="15" customHeight="1" x14ac:dyDescent="0.25">
      <c r="B325" s="26" t="s">
        <v>263</v>
      </c>
      <c r="C325" s="1">
        <v>316</v>
      </c>
      <c r="D325" s="27" t="s">
        <v>3031</v>
      </c>
      <c r="E325" s="27"/>
      <c r="F325" s="1" t="str">
        <f>IF(INDEX(I.Facility.IDNumber,316)="","",INDEX(I.Facility.IDNumber,316))</f>
        <v/>
      </c>
      <c r="G325" s="27"/>
      <c r="H325" s="1" t="str">
        <f>IF(AND(I.Facility.FacilityCount&gt;=316,F325=""),"Incomplete","Complete")</f>
        <v>Complete</v>
      </c>
      <c r="I325" s="48" t="s">
        <v>946</v>
      </c>
    </row>
    <row r="326" spans="2:9" ht="15" customHeight="1" x14ac:dyDescent="0.25">
      <c r="B326" s="26" t="s">
        <v>263</v>
      </c>
      <c r="C326" s="1">
        <v>317</v>
      </c>
      <c r="D326" s="27" t="s">
        <v>3031</v>
      </c>
      <c r="E326" s="27"/>
      <c r="F326" s="1" t="str">
        <f>IF(INDEX(I.Facility.IDNumber,317)="","",INDEX(I.Facility.IDNumber,317))</f>
        <v/>
      </c>
      <c r="G326" s="27"/>
      <c r="H326" s="1" t="str">
        <f>IF(AND(I.Facility.FacilityCount&gt;=317,F326=""),"Incomplete","Complete")</f>
        <v>Complete</v>
      </c>
      <c r="I326" s="48" t="s">
        <v>947</v>
      </c>
    </row>
    <row r="327" spans="2:9" ht="15" customHeight="1" x14ac:dyDescent="0.25">
      <c r="B327" s="26" t="s">
        <v>263</v>
      </c>
      <c r="C327" s="1">
        <v>318</v>
      </c>
      <c r="D327" s="27" t="s">
        <v>3031</v>
      </c>
      <c r="E327" s="27"/>
      <c r="F327" s="1" t="str">
        <f>IF(INDEX(I.Facility.IDNumber,318)="","",INDEX(I.Facility.IDNumber,318))</f>
        <v/>
      </c>
      <c r="G327" s="27"/>
      <c r="H327" s="1" t="str">
        <f>IF(AND(I.Facility.FacilityCount&gt;=318,F327=""),"Incomplete","Complete")</f>
        <v>Complete</v>
      </c>
      <c r="I327" s="48" t="s">
        <v>948</v>
      </c>
    </row>
    <row r="328" spans="2:9" ht="15" customHeight="1" x14ac:dyDescent="0.25">
      <c r="B328" s="26" t="s">
        <v>263</v>
      </c>
      <c r="C328" s="1">
        <v>319</v>
      </c>
      <c r="D328" s="27" t="s">
        <v>3031</v>
      </c>
      <c r="E328" s="27"/>
      <c r="F328" s="1" t="str">
        <f>IF(INDEX(I.Facility.IDNumber,319)="","",INDEX(I.Facility.IDNumber,319))</f>
        <v/>
      </c>
      <c r="G328" s="27"/>
      <c r="H328" s="1" t="str">
        <f>IF(AND(I.Facility.FacilityCount&gt;=319,F328=""),"Incomplete","Complete")</f>
        <v>Complete</v>
      </c>
      <c r="I328" s="48" t="s">
        <v>949</v>
      </c>
    </row>
    <row r="329" spans="2:9" ht="15" customHeight="1" x14ac:dyDescent="0.25">
      <c r="B329" s="26" t="s">
        <v>263</v>
      </c>
      <c r="C329" s="1">
        <v>320</v>
      </c>
      <c r="D329" s="27" t="s">
        <v>3031</v>
      </c>
      <c r="E329" s="27"/>
      <c r="F329" s="1" t="str">
        <f>IF(INDEX(I.Facility.IDNumber,320)="","",INDEX(I.Facility.IDNumber,320))</f>
        <v/>
      </c>
      <c r="G329" s="27"/>
      <c r="H329" s="1" t="str">
        <f>IF(AND(I.Facility.FacilityCount&gt;=320,F329=""),"Incomplete","Complete")</f>
        <v>Complete</v>
      </c>
      <c r="I329" s="48" t="s">
        <v>950</v>
      </c>
    </row>
    <row r="330" spans="2:9" ht="15" customHeight="1" x14ac:dyDescent="0.25">
      <c r="B330" s="26" t="s">
        <v>263</v>
      </c>
      <c r="C330" s="1">
        <v>321</v>
      </c>
      <c r="D330" s="27" t="s">
        <v>3031</v>
      </c>
      <c r="E330" s="27"/>
      <c r="F330" s="1" t="str">
        <f>IF(INDEX(I.Facility.IDNumber,321)="","",INDEX(I.Facility.IDNumber,321))</f>
        <v/>
      </c>
      <c r="G330" s="27"/>
      <c r="H330" s="1" t="str">
        <f>IF(AND(I.Facility.FacilityCount&gt;=321,F330=""),"Incomplete","Complete")</f>
        <v>Complete</v>
      </c>
      <c r="I330" s="48" t="s">
        <v>951</v>
      </c>
    </row>
    <row r="331" spans="2:9" ht="15" customHeight="1" x14ac:dyDescent="0.25">
      <c r="B331" s="26" t="s">
        <v>263</v>
      </c>
      <c r="C331" s="1">
        <v>322</v>
      </c>
      <c r="D331" s="27" t="s">
        <v>3031</v>
      </c>
      <c r="E331" s="27"/>
      <c r="F331" s="1" t="str">
        <f>IF(INDEX(I.Facility.IDNumber,322)="","",INDEX(I.Facility.IDNumber,322))</f>
        <v/>
      </c>
      <c r="G331" s="27"/>
      <c r="H331" s="1" t="str">
        <f>IF(AND(I.Facility.FacilityCount&gt;=322,F331=""),"Incomplete","Complete")</f>
        <v>Complete</v>
      </c>
      <c r="I331" s="48" t="s">
        <v>952</v>
      </c>
    </row>
    <row r="332" spans="2:9" ht="15" customHeight="1" x14ac:dyDescent="0.25">
      <c r="B332" s="26" t="s">
        <v>263</v>
      </c>
      <c r="C332" s="1">
        <v>323</v>
      </c>
      <c r="D332" s="27" t="s">
        <v>3031</v>
      </c>
      <c r="E332" s="27"/>
      <c r="F332" s="1" t="str">
        <f>IF(INDEX(I.Facility.IDNumber,323)="","",INDEX(I.Facility.IDNumber,323))</f>
        <v/>
      </c>
      <c r="G332" s="27"/>
      <c r="H332" s="1" t="str">
        <f>IF(AND(I.Facility.FacilityCount&gt;=323,F332=""),"Incomplete","Complete")</f>
        <v>Complete</v>
      </c>
      <c r="I332" s="48" t="s">
        <v>953</v>
      </c>
    </row>
    <row r="333" spans="2:9" ht="15" customHeight="1" x14ac:dyDescent="0.25">
      <c r="B333" s="26" t="s">
        <v>263</v>
      </c>
      <c r="C333" s="1">
        <v>324</v>
      </c>
      <c r="D333" s="27" t="s">
        <v>3031</v>
      </c>
      <c r="E333" s="27"/>
      <c r="F333" s="1" t="str">
        <f>IF(INDEX(I.Facility.IDNumber,324)="","",INDEX(I.Facility.IDNumber,324))</f>
        <v/>
      </c>
      <c r="G333" s="27"/>
      <c r="H333" s="1" t="str">
        <f>IF(AND(I.Facility.FacilityCount&gt;=324,F333=""),"Incomplete","Complete")</f>
        <v>Complete</v>
      </c>
      <c r="I333" s="48" t="s">
        <v>954</v>
      </c>
    </row>
    <row r="334" spans="2:9" ht="15" customHeight="1" x14ac:dyDescent="0.25">
      <c r="B334" s="26" t="s">
        <v>263</v>
      </c>
      <c r="C334" s="1">
        <v>325</v>
      </c>
      <c r="D334" s="27" t="s">
        <v>3031</v>
      </c>
      <c r="E334" s="27"/>
      <c r="F334" s="1" t="str">
        <f>IF(INDEX(I.Facility.IDNumber,325)="","",INDEX(I.Facility.IDNumber,325))</f>
        <v/>
      </c>
      <c r="G334" s="27"/>
      <c r="H334" s="1" t="str">
        <f>IF(AND(I.Facility.FacilityCount&gt;=325,F334=""),"Incomplete","Complete")</f>
        <v>Complete</v>
      </c>
      <c r="I334" s="48" t="s">
        <v>955</v>
      </c>
    </row>
    <row r="335" spans="2:9" ht="15" customHeight="1" x14ac:dyDescent="0.25">
      <c r="B335" s="26" t="s">
        <v>263</v>
      </c>
      <c r="C335" s="1">
        <v>326</v>
      </c>
      <c r="D335" s="27" t="s">
        <v>3031</v>
      </c>
      <c r="E335" s="27"/>
      <c r="F335" s="1" t="str">
        <f>IF(INDEX(I.Facility.IDNumber,326)="","",INDEX(I.Facility.IDNumber,326))</f>
        <v/>
      </c>
      <c r="G335" s="27"/>
      <c r="H335" s="1" t="str">
        <f>IF(AND(I.Facility.FacilityCount&gt;=326,F335=""),"Incomplete","Complete")</f>
        <v>Complete</v>
      </c>
      <c r="I335" s="48" t="s">
        <v>956</v>
      </c>
    </row>
    <row r="336" spans="2:9" ht="15" customHeight="1" x14ac:dyDescent="0.25">
      <c r="B336" s="26" t="s">
        <v>263</v>
      </c>
      <c r="C336" s="1">
        <v>327</v>
      </c>
      <c r="D336" s="27" t="s">
        <v>3031</v>
      </c>
      <c r="E336" s="27"/>
      <c r="F336" s="1" t="str">
        <f>IF(INDEX(I.Facility.IDNumber,327)="","",INDEX(I.Facility.IDNumber,327))</f>
        <v/>
      </c>
      <c r="G336" s="27"/>
      <c r="H336" s="1" t="str">
        <f>IF(AND(I.Facility.FacilityCount&gt;=327,F336=""),"Incomplete","Complete")</f>
        <v>Complete</v>
      </c>
      <c r="I336" s="48" t="s">
        <v>957</v>
      </c>
    </row>
    <row r="337" spans="2:9" ht="15" customHeight="1" x14ac:dyDescent="0.25">
      <c r="B337" s="26" t="s">
        <v>263</v>
      </c>
      <c r="C337" s="1">
        <v>328</v>
      </c>
      <c r="D337" s="27" t="s">
        <v>3031</v>
      </c>
      <c r="E337" s="27"/>
      <c r="F337" s="1" t="str">
        <f>IF(INDEX(I.Facility.IDNumber,328)="","",INDEX(I.Facility.IDNumber,328))</f>
        <v/>
      </c>
      <c r="G337" s="27"/>
      <c r="H337" s="1" t="str">
        <f>IF(AND(I.Facility.FacilityCount&gt;=328,F337=""),"Incomplete","Complete")</f>
        <v>Complete</v>
      </c>
      <c r="I337" s="48" t="s">
        <v>958</v>
      </c>
    </row>
    <row r="338" spans="2:9" ht="15" customHeight="1" x14ac:dyDescent="0.25">
      <c r="B338" s="26" t="s">
        <v>263</v>
      </c>
      <c r="C338" s="1">
        <v>329</v>
      </c>
      <c r="D338" s="27" t="s">
        <v>3031</v>
      </c>
      <c r="E338" s="27"/>
      <c r="F338" s="1" t="str">
        <f>IF(INDEX(I.Facility.IDNumber,329)="","",INDEX(I.Facility.IDNumber,329))</f>
        <v/>
      </c>
      <c r="G338" s="27"/>
      <c r="H338" s="1" t="str">
        <f>IF(AND(I.Facility.FacilityCount&gt;=329,F338=""),"Incomplete","Complete")</f>
        <v>Complete</v>
      </c>
      <c r="I338" s="48" t="s">
        <v>959</v>
      </c>
    </row>
    <row r="339" spans="2:9" ht="15" customHeight="1" x14ac:dyDescent="0.25">
      <c r="B339" s="26" t="s">
        <v>263</v>
      </c>
      <c r="C339" s="1">
        <v>330</v>
      </c>
      <c r="D339" s="27" t="s">
        <v>3031</v>
      </c>
      <c r="E339" s="27"/>
      <c r="F339" s="1" t="str">
        <f>IF(INDEX(I.Facility.IDNumber,330)="","",INDEX(I.Facility.IDNumber,330))</f>
        <v/>
      </c>
      <c r="G339" s="27"/>
      <c r="H339" s="1" t="str">
        <f>IF(AND(I.Facility.FacilityCount&gt;=330,F339=""),"Incomplete","Complete")</f>
        <v>Complete</v>
      </c>
      <c r="I339" s="48" t="s">
        <v>960</v>
      </c>
    </row>
    <row r="340" spans="2:9" ht="15" customHeight="1" x14ac:dyDescent="0.25">
      <c r="B340" s="26" t="s">
        <v>263</v>
      </c>
      <c r="C340" s="1">
        <v>331</v>
      </c>
      <c r="D340" s="27" t="s">
        <v>3031</v>
      </c>
      <c r="E340" s="27"/>
      <c r="F340" s="1" t="str">
        <f>IF(INDEX(I.Facility.IDNumber,331)="","",INDEX(I.Facility.IDNumber,331))</f>
        <v/>
      </c>
      <c r="G340" s="27"/>
      <c r="H340" s="1" t="str">
        <f>IF(AND(I.Facility.FacilityCount&gt;=331,F340=""),"Incomplete","Complete")</f>
        <v>Complete</v>
      </c>
      <c r="I340" s="48" t="s">
        <v>961</v>
      </c>
    </row>
    <row r="341" spans="2:9" ht="15" customHeight="1" x14ac:dyDescent="0.25">
      <c r="B341" s="26" t="s">
        <v>263</v>
      </c>
      <c r="C341" s="1">
        <v>332</v>
      </c>
      <c r="D341" s="27" t="s">
        <v>3031</v>
      </c>
      <c r="E341" s="27"/>
      <c r="F341" s="1" t="str">
        <f>IF(INDEX(I.Facility.IDNumber,332)="","",INDEX(I.Facility.IDNumber,332))</f>
        <v/>
      </c>
      <c r="G341" s="27"/>
      <c r="H341" s="1" t="str">
        <f>IF(AND(I.Facility.FacilityCount&gt;=332,F341=""),"Incomplete","Complete")</f>
        <v>Complete</v>
      </c>
      <c r="I341" s="48" t="s">
        <v>962</v>
      </c>
    </row>
    <row r="342" spans="2:9" ht="15" customHeight="1" x14ac:dyDescent="0.25">
      <c r="B342" s="26" t="s">
        <v>263</v>
      </c>
      <c r="C342" s="1">
        <v>333</v>
      </c>
      <c r="D342" s="27" t="s">
        <v>3031</v>
      </c>
      <c r="E342" s="27"/>
      <c r="F342" s="1" t="str">
        <f>IF(INDEX(I.Facility.IDNumber,333)="","",INDEX(I.Facility.IDNumber,333))</f>
        <v/>
      </c>
      <c r="G342" s="27"/>
      <c r="H342" s="1" t="str">
        <f>IF(AND(I.Facility.FacilityCount&gt;=333,F342=""),"Incomplete","Complete")</f>
        <v>Complete</v>
      </c>
      <c r="I342" s="48" t="s">
        <v>963</v>
      </c>
    </row>
    <row r="343" spans="2:9" ht="15" customHeight="1" x14ac:dyDescent="0.25">
      <c r="B343" s="26" t="s">
        <v>263</v>
      </c>
      <c r="C343" s="1">
        <v>334</v>
      </c>
      <c r="D343" s="27" t="s">
        <v>3031</v>
      </c>
      <c r="E343" s="27"/>
      <c r="F343" s="1" t="str">
        <f>IF(INDEX(I.Facility.IDNumber,334)="","",INDEX(I.Facility.IDNumber,334))</f>
        <v/>
      </c>
      <c r="G343" s="27"/>
      <c r="H343" s="1" t="str">
        <f>IF(AND(I.Facility.FacilityCount&gt;=334,F343=""),"Incomplete","Complete")</f>
        <v>Complete</v>
      </c>
      <c r="I343" s="48" t="s">
        <v>964</v>
      </c>
    </row>
    <row r="344" spans="2:9" ht="15" customHeight="1" x14ac:dyDescent="0.25">
      <c r="B344" s="26" t="s">
        <v>263</v>
      </c>
      <c r="C344" s="1">
        <v>335</v>
      </c>
      <c r="D344" s="27" t="s">
        <v>3031</v>
      </c>
      <c r="E344" s="27"/>
      <c r="F344" s="1" t="str">
        <f>IF(INDEX(I.Facility.IDNumber,335)="","",INDEX(I.Facility.IDNumber,335))</f>
        <v/>
      </c>
      <c r="G344" s="27"/>
      <c r="H344" s="1" t="str">
        <f>IF(AND(I.Facility.FacilityCount&gt;=335,F344=""),"Incomplete","Complete")</f>
        <v>Complete</v>
      </c>
      <c r="I344" s="48" t="s">
        <v>965</v>
      </c>
    </row>
    <row r="345" spans="2:9" ht="15" customHeight="1" x14ac:dyDescent="0.25">
      <c r="B345" s="26" t="s">
        <v>263</v>
      </c>
      <c r="C345" s="1">
        <v>336</v>
      </c>
      <c r="D345" s="27" t="s">
        <v>3031</v>
      </c>
      <c r="E345" s="27"/>
      <c r="F345" s="1" t="str">
        <f>IF(INDEX(I.Facility.IDNumber,336)="","",INDEX(I.Facility.IDNumber,336))</f>
        <v/>
      </c>
      <c r="G345" s="27"/>
      <c r="H345" s="1" t="str">
        <f>IF(AND(I.Facility.FacilityCount&gt;=336,F345=""),"Incomplete","Complete")</f>
        <v>Complete</v>
      </c>
      <c r="I345" s="48" t="s">
        <v>966</v>
      </c>
    </row>
    <row r="346" spans="2:9" ht="15" customHeight="1" x14ac:dyDescent="0.25">
      <c r="B346" s="26" t="s">
        <v>263</v>
      </c>
      <c r="C346" s="1">
        <v>337</v>
      </c>
      <c r="D346" s="27" t="s">
        <v>3031</v>
      </c>
      <c r="E346" s="27"/>
      <c r="F346" s="1" t="str">
        <f>IF(INDEX(I.Facility.IDNumber,337)="","",INDEX(I.Facility.IDNumber,337))</f>
        <v/>
      </c>
      <c r="G346" s="27"/>
      <c r="H346" s="1" t="str">
        <f>IF(AND(I.Facility.FacilityCount&gt;=337,F346=""),"Incomplete","Complete")</f>
        <v>Complete</v>
      </c>
      <c r="I346" s="48" t="s">
        <v>967</v>
      </c>
    </row>
    <row r="347" spans="2:9" ht="15" customHeight="1" x14ac:dyDescent="0.25">
      <c r="B347" s="26" t="s">
        <v>263</v>
      </c>
      <c r="C347" s="1">
        <v>338</v>
      </c>
      <c r="D347" s="27" t="s">
        <v>3031</v>
      </c>
      <c r="E347" s="27"/>
      <c r="F347" s="1" t="str">
        <f>IF(INDEX(I.Facility.IDNumber,338)="","",INDEX(I.Facility.IDNumber,338))</f>
        <v/>
      </c>
      <c r="G347" s="27"/>
      <c r="H347" s="1" t="str">
        <f>IF(AND(I.Facility.FacilityCount&gt;=338,F347=""),"Incomplete","Complete")</f>
        <v>Complete</v>
      </c>
      <c r="I347" s="48" t="s">
        <v>968</v>
      </c>
    </row>
    <row r="348" spans="2:9" ht="15" customHeight="1" x14ac:dyDescent="0.25">
      <c r="B348" s="26" t="s">
        <v>263</v>
      </c>
      <c r="C348" s="1">
        <v>339</v>
      </c>
      <c r="D348" s="27" t="s">
        <v>3031</v>
      </c>
      <c r="E348" s="27"/>
      <c r="F348" s="1" t="str">
        <f>IF(INDEX(I.Facility.IDNumber,339)="","",INDEX(I.Facility.IDNumber,339))</f>
        <v/>
      </c>
      <c r="G348" s="27"/>
      <c r="H348" s="1" t="str">
        <f>IF(AND(I.Facility.FacilityCount&gt;=339,F348=""),"Incomplete","Complete")</f>
        <v>Complete</v>
      </c>
      <c r="I348" s="48" t="s">
        <v>969</v>
      </c>
    </row>
    <row r="349" spans="2:9" ht="15" customHeight="1" x14ac:dyDescent="0.25">
      <c r="B349" s="26" t="s">
        <v>263</v>
      </c>
      <c r="C349" s="1">
        <v>340</v>
      </c>
      <c r="D349" s="27" t="s">
        <v>3031</v>
      </c>
      <c r="E349" s="27"/>
      <c r="F349" s="1" t="str">
        <f>IF(INDEX(I.Facility.IDNumber,340)="","",INDEX(I.Facility.IDNumber,340))</f>
        <v/>
      </c>
      <c r="G349" s="27"/>
      <c r="H349" s="1" t="str">
        <f>IF(AND(I.Facility.FacilityCount&gt;=340,F349=""),"Incomplete","Complete")</f>
        <v>Complete</v>
      </c>
      <c r="I349" s="48" t="s">
        <v>970</v>
      </c>
    </row>
    <row r="350" spans="2:9" ht="15" customHeight="1" x14ac:dyDescent="0.25">
      <c r="B350" s="26" t="s">
        <v>263</v>
      </c>
      <c r="C350" s="1">
        <v>341</v>
      </c>
      <c r="D350" s="27" t="s">
        <v>3031</v>
      </c>
      <c r="E350" s="27"/>
      <c r="F350" s="1" t="str">
        <f>IF(INDEX(I.Facility.IDNumber,341)="","",INDEX(I.Facility.IDNumber,341))</f>
        <v/>
      </c>
      <c r="G350" s="27"/>
      <c r="H350" s="1" t="str">
        <f>IF(AND(I.Facility.FacilityCount&gt;=341,F350=""),"Incomplete","Complete")</f>
        <v>Complete</v>
      </c>
      <c r="I350" s="48" t="s">
        <v>971</v>
      </c>
    </row>
    <row r="351" spans="2:9" ht="15" customHeight="1" x14ac:dyDescent="0.25">
      <c r="B351" s="26" t="s">
        <v>263</v>
      </c>
      <c r="C351" s="1">
        <v>342</v>
      </c>
      <c r="D351" s="27" t="s">
        <v>3031</v>
      </c>
      <c r="E351" s="27"/>
      <c r="F351" s="1" t="str">
        <f>IF(INDEX(I.Facility.IDNumber,342)="","",INDEX(I.Facility.IDNumber,342))</f>
        <v/>
      </c>
      <c r="G351" s="27"/>
      <c r="H351" s="1" t="str">
        <f>IF(AND(I.Facility.FacilityCount&gt;=342,F351=""),"Incomplete","Complete")</f>
        <v>Complete</v>
      </c>
      <c r="I351" s="48" t="s">
        <v>972</v>
      </c>
    </row>
    <row r="352" spans="2:9" ht="15" customHeight="1" x14ac:dyDescent="0.25">
      <c r="B352" s="26" t="s">
        <v>263</v>
      </c>
      <c r="C352" s="1">
        <v>343</v>
      </c>
      <c r="D352" s="27" t="s">
        <v>3031</v>
      </c>
      <c r="E352" s="27"/>
      <c r="F352" s="1" t="str">
        <f>IF(INDEX(I.Facility.IDNumber,343)="","",INDEX(I.Facility.IDNumber,343))</f>
        <v/>
      </c>
      <c r="G352" s="27"/>
      <c r="H352" s="1" t="str">
        <f>IF(AND(I.Facility.FacilityCount&gt;=343,F352=""),"Incomplete","Complete")</f>
        <v>Complete</v>
      </c>
      <c r="I352" s="48" t="s">
        <v>973</v>
      </c>
    </row>
    <row r="353" spans="2:9" ht="15" customHeight="1" x14ac:dyDescent="0.25">
      <c r="B353" s="26" t="s">
        <v>263</v>
      </c>
      <c r="C353" s="1">
        <v>344</v>
      </c>
      <c r="D353" s="27" t="s">
        <v>3031</v>
      </c>
      <c r="E353" s="27"/>
      <c r="F353" s="1" t="str">
        <f>IF(INDEX(I.Facility.IDNumber,344)="","",INDEX(I.Facility.IDNumber,344))</f>
        <v/>
      </c>
      <c r="G353" s="27"/>
      <c r="H353" s="1" t="str">
        <f>IF(AND(I.Facility.FacilityCount&gt;=344,F353=""),"Incomplete","Complete")</f>
        <v>Complete</v>
      </c>
      <c r="I353" s="48" t="s">
        <v>974</v>
      </c>
    </row>
    <row r="354" spans="2:9" ht="15" customHeight="1" x14ac:dyDescent="0.25">
      <c r="B354" s="26" t="s">
        <v>263</v>
      </c>
      <c r="C354" s="1">
        <v>345</v>
      </c>
      <c r="D354" s="27" t="s">
        <v>3031</v>
      </c>
      <c r="E354" s="27"/>
      <c r="F354" s="1" t="str">
        <f>IF(INDEX(I.Facility.IDNumber,345)="","",INDEX(I.Facility.IDNumber,345))</f>
        <v/>
      </c>
      <c r="G354" s="27"/>
      <c r="H354" s="1" t="str">
        <f>IF(AND(I.Facility.FacilityCount&gt;=345,F354=""),"Incomplete","Complete")</f>
        <v>Complete</v>
      </c>
      <c r="I354" s="48" t="s">
        <v>975</v>
      </c>
    </row>
    <row r="355" spans="2:9" ht="15" customHeight="1" x14ac:dyDescent="0.25">
      <c r="B355" s="26" t="s">
        <v>263</v>
      </c>
      <c r="C355" s="1">
        <v>346</v>
      </c>
      <c r="D355" s="27" t="s">
        <v>3031</v>
      </c>
      <c r="E355" s="27"/>
      <c r="F355" s="1" t="str">
        <f>IF(INDEX(I.Facility.IDNumber,346)="","",INDEX(I.Facility.IDNumber,346))</f>
        <v/>
      </c>
      <c r="G355" s="27"/>
      <c r="H355" s="1" t="str">
        <f>IF(AND(I.Facility.FacilityCount&gt;=346,F355=""),"Incomplete","Complete")</f>
        <v>Complete</v>
      </c>
      <c r="I355" s="48" t="s">
        <v>976</v>
      </c>
    </row>
    <row r="356" spans="2:9" ht="15" customHeight="1" x14ac:dyDescent="0.25">
      <c r="B356" s="26" t="s">
        <v>263</v>
      </c>
      <c r="C356" s="1">
        <v>347</v>
      </c>
      <c r="D356" s="27" t="s">
        <v>3031</v>
      </c>
      <c r="E356" s="27"/>
      <c r="F356" s="1" t="str">
        <f>IF(INDEX(I.Facility.IDNumber,347)="","",INDEX(I.Facility.IDNumber,347))</f>
        <v/>
      </c>
      <c r="G356" s="27"/>
      <c r="H356" s="1" t="str">
        <f>IF(AND(I.Facility.FacilityCount&gt;=347,F356=""),"Incomplete","Complete")</f>
        <v>Complete</v>
      </c>
      <c r="I356" s="48" t="s">
        <v>977</v>
      </c>
    </row>
    <row r="357" spans="2:9" ht="15" customHeight="1" x14ac:dyDescent="0.25">
      <c r="B357" s="26" t="s">
        <v>263</v>
      </c>
      <c r="C357" s="1">
        <v>348</v>
      </c>
      <c r="D357" s="27" t="s">
        <v>3031</v>
      </c>
      <c r="E357" s="27"/>
      <c r="F357" s="1" t="str">
        <f>IF(INDEX(I.Facility.IDNumber,348)="","",INDEX(I.Facility.IDNumber,348))</f>
        <v/>
      </c>
      <c r="G357" s="27"/>
      <c r="H357" s="1" t="str">
        <f>IF(AND(I.Facility.FacilityCount&gt;=348,F357=""),"Incomplete","Complete")</f>
        <v>Complete</v>
      </c>
      <c r="I357" s="48" t="s">
        <v>978</v>
      </c>
    </row>
    <row r="358" spans="2:9" ht="15" customHeight="1" x14ac:dyDescent="0.25">
      <c r="B358" s="26" t="s">
        <v>263</v>
      </c>
      <c r="C358" s="1">
        <v>349</v>
      </c>
      <c r="D358" s="27" t="s">
        <v>3031</v>
      </c>
      <c r="E358" s="27"/>
      <c r="F358" s="1" t="str">
        <f>IF(INDEX(I.Facility.IDNumber,349)="","",INDEX(I.Facility.IDNumber,349))</f>
        <v/>
      </c>
      <c r="G358" s="27"/>
      <c r="H358" s="1" t="str">
        <f>IF(AND(I.Facility.FacilityCount&gt;=349,F358=""),"Incomplete","Complete")</f>
        <v>Complete</v>
      </c>
      <c r="I358" s="48" t="s">
        <v>979</v>
      </c>
    </row>
    <row r="359" spans="2:9" ht="15" customHeight="1" x14ac:dyDescent="0.25">
      <c r="B359" s="26" t="s">
        <v>263</v>
      </c>
      <c r="C359" s="1">
        <v>350</v>
      </c>
      <c r="D359" s="27" t="s">
        <v>3031</v>
      </c>
      <c r="E359" s="27"/>
      <c r="F359" s="1" t="str">
        <f>IF(INDEX(I.Facility.IDNumber,350)="","",INDEX(I.Facility.IDNumber,350))</f>
        <v/>
      </c>
      <c r="G359" s="27"/>
      <c r="H359" s="1" t="str">
        <f>IF(AND(I.Facility.FacilityCount&gt;=350,F359=""),"Incomplete","Complete")</f>
        <v>Complete</v>
      </c>
      <c r="I359" s="48" t="s">
        <v>980</v>
      </c>
    </row>
    <row r="360" spans="2:9" ht="15" customHeight="1" x14ac:dyDescent="0.25">
      <c r="B360" s="26" t="s">
        <v>263</v>
      </c>
      <c r="C360" s="1">
        <v>351</v>
      </c>
      <c r="D360" s="27" t="s">
        <v>3031</v>
      </c>
      <c r="E360" s="27"/>
      <c r="F360" s="1" t="str">
        <f>IF(INDEX(I.Facility.IDNumber,351)="","",INDEX(I.Facility.IDNumber,351))</f>
        <v/>
      </c>
      <c r="G360" s="27"/>
      <c r="H360" s="1" t="str">
        <f>IF(AND(I.Facility.FacilityCount&gt;=351,F360=""),"Incomplete","Complete")</f>
        <v>Complete</v>
      </c>
      <c r="I360" s="48" t="s">
        <v>981</v>
      </c>
    </row>
    <row r="361" spans="2:9" ht="15" customHeight="1" x14ac:dyDescent="0.25">
      <c r="B361" s="26" t="s">
        <v>263</v>
      </c>
      <c r="C361" s="1">
        <v>352</v>
      </c>
      <c r="D361" s="27" t="s">
        <v>3031</v>
      </c>
      <c r="E361" s="27"/>
      <c r="F361" s="1" t="str">
        <f>IF(INDEX(I.Facility.IDNumber,352)="","",INDEX(I.Facility.IDNumber,352))</f>
        <v/>
      </c>
      <c r="G361" s="27"/>
      <c r="H361" s="1" t="str">
        <f>IF(AND(I.Facility.FacilityCount&gt;=352,F361=""),"Incomplete","Complete")</f>
        <v>Complete</v>
      </c>
      <c r="I361" s="48" t="s">
        <v>982</v>
      </c>
    </row>
    <row r="362" spans="2:9" ht="15" customHeight="1" x14ac:dyDescent="0.25">
      <c r="B362" s="26" t="s">
        <v>263</v>
      </c>
      <c r="C362" s="1">
        <v>353</v>
      </c>
      <c r="D362" s="27" t="s">
        <v>3031</v>
      </c>
      <c r="E362" s="27"/>
      <c r="F362" s="1" t="str">
        <f>IF(INDEX(I.Facility.IDNumber,353)="","",INDEX(I.Facility.IDNumber,353))</f>
        <v/>
      </c>
      <c r="G362" s="27"/>
      <c r="H362" s="1" t="str">
        <f>IF(AND(I.Facility.FacilityCount&gt;=353,F362=""),"Incomplete","Complete")</f>
        <v>Complete</v>
      </c>
      <c r="I362" s="48" t="s">
        <v>983</v>
      </c>
    </row>
    <row r="363" spans="2:9" ht="15" customHeight="1" x14ac:dyDescent="0.25">
      <c r="B363" s="26" t="s">
        <v>263</v>
      </c>
      <c r="C363" s="1">
        <v>354</v>
      </c>
      <c r="D363" s="27" t="s">
        <v>3031</v>
      </c>
      <c r="E363" s="27"/>
      <c r="F363" s="1" t="str">
        <f>IF(INDEX(I.Facility.IDNumber,354)="","",INDEX(I.Facility.IDNumber,354))</f>
        <v/>
      </c>
      <c r="G363" s="27"/>
      <c r="H363" s="1" t="str">
        <f>IF(AND(I.Facility.FacilityCount&gt;=354,F363=""),"Incomplete","Complete")</f>
        <v>Complete</v>
      </c>
      <c r="I363" s="48" t="s">
        <v>984</v>
      </c>
    </row>
    <row r="364" spans="2:9" ht="15" customHeight="1" x14ac:dyDescent="0.25">
      <c r="B364" s="26" t="s">
        <v>263</v>
      </c>
      <c r="C364" s="1">
        <v>355</v>
      </c>
      <c r="D364" s="27" t="s">
        <v>3031</v>
      </c>
      <c r="E364" s="27"/>
      <c r="F364" s="1" t="str">
        <f>IF(INDEX(I.Facility.IDNumber,355)="","",INDEX(I.Facility.IDNumber,355))</f>
        <v/>
      </c>
      <c r="G364" s="27"/>
      <c r="H364" s="1" t="str">
        <f>IF(AND(I.Facility.FacilityCount&gt;=355,F364=""),"Incomplete","Complete")</f>
        <v>Complete</v>
      </c>
      <c r="I364" s="48" t="s">
        <v>985</v>
      </c>
    </row>
    <row r="365" spans="2:9" ht="15" customHeight="1" x14ac:dyDescent="0.25">
      <c r="B365" s="26" t="s">
        <v>263</v>
      </c>
      <c r="C365" s="1">
        <v>356</v>
      </c>
      <c r="D365" s="27" t="s">
        <v>3031</v>
      </c>
      <c r="E365" s="27"/>
      <c r="F365" s="1" t="str">
        <f>IF(INDEX(I.Facility.IDNumber,356)="","",INDEX(I.Facility.IDNumber,356))</f>
        <v/>
      </c>
      <c r="G365" s="27"/>
      <c r="H365" s="1" t="str">
        <f>IF(AND(I.Facility.FacilityCount&gt;=356,F365=""),"Incomplete","Complete")</f>
        <v>Complete</v>
      </c>
      <c r="I365" s="48" t="s">
        <v>986</v>
      </c>
    </row>
    <row r="366" spans="2:9" ht="15" customHeight="1" x14ac:dyDescent="0.25">
      <c r="B366" s="26" t="s">
        <v>263</v>
      </c>
      <c r="C366" s="1">
        <v>357</v>
      </c>
      <c r="D366" s="27" t="s">
        <v>3031</v>
      </c>
      <c r="E366" s="27"/>
      <c r="F366" s="1" t="str">
        <f>IF(INDEX(I.Facility.IDNumber,357)="","",INDEX(I.Facility.IDNumber,357))</f>
        <v/>
      </c>
      <c r="G366" s="27"/>
      <c r="H366" s="1" t="str">
        <f>IF(AND(I.Facility.FacilityCount&gt;=357,F366=""),"Incomplete","Complete")</f>
        <v>Complete</v>
      </c>
      <c r="I366" s="48" t="s">
        <v>987</v>
      </c>
    </row>
    <row r="367" spans="2:9" ht="15" customHeight="1" x14ac:dyDescent="0.25">
      <c r="B367" s="26" t="s">
        <v>263</v>
      </c>
      <c r="C367" s="1">
        <v>358</v>
      </c>
      <c r="D367" s="27" t="s">
        <v>3031</v>
      </c>
      <c r="E367" s="27"/>
      <c r="F367" s="1" t="str">
        <f>IF(INDEX(I.Facility.IDNumber,358)="","",INDEX(I.Facility.IDNumber,358))</f>
        <v/>
      </c>
      <c r="G367" s="27"/>
      <c r="H367" s="1" t="str">
        <f>IF(AND(I.Facility.FacilityCount&gt;=358,F367=""),"Incomplete","Complete")</f>
        <v>Complete</v>
      </c>
      <c r="I367" s="48" t="s">
        <v>988</v>
      </c>
    </row>
    <row r="368" spans="2:9" ht="15" customHeight="1" x14ac:dyDescent="0.25">
      <c r="B368" s="26" t="s">
        <v>263</v>
      </c>
      <c r="C368" s="1">
        <v>359</v>
      </c>
      <c r="D368" s="27" t="s">
        <v>3031</v>
      </c>
      <c r="E368" s="27"/>
      <c r="F368" s="1" t="str">
        <f>IF(INDEX(I.Facility.IDNumber,359)="","",INDEX(I.Facility.IDNumber,359))</f>
        <v/>
      </c>
      <c r="G368" s="27"/>
      <c r="H368" s="1" t="str">
        <f>IF(AND(I.Facility.FacilityCount&gt;=359,F368=""),"Incomplete","Complete")</f>
        <v>Complete</v>
      </c>
      <c r="I368" s="48" t="s">
        <v>989</v>
      </c>
    </row>
    <row r="369" spans="2:9" ht="15" customHeight="1" x14ac:dyDescent="0.25">
      <c r="B369" s="26" t="s">
        <v>263</v>
      </c>
      <c r="C369" s="1">
        <v>360</v>
      </c>
      <c r="D369" s="27" t="s">
        <v>3031</v>
      </c>
      <c r="E369" s="27"/>
      <c r="F369" s="1" t="str">
        <f>IF(INDEX(I.Facility.IDNumber,360)="","",INDEX(I.Facility.IDNumber,360))</f>
        <v/>
      </c>
      <c r="G369" s="27"/>
      <c r="H369" s="1" t="str">
        <f>IF(AND(I.Facility.FacilityCount&gt;=360,F369=""),"Incomplete","Complete")</f>
        <v>Complete</v>
      </c>
      <c r="I369" s="48" t="s">
        <v>990</v>
      </c>
    </row>
    <row r="370" spans="2:9" ht="15" customHeight="1" x14ac:dyDescent="0.25">
      <c r="B370" s="26" t="s">
        <v>263</v>
      </c>
      <c r="C370" s="1">
        <v>361</v>
      </c>
      <c r="D370" s="27" t="s">
        <v>3031</v>
      </c>
      <c r="E370" s="27"/>
      <c r="F370" s="1" t="str">
        <f>IF(INDEX(I.Facility.IDNumber,361)="","",INDEX(I.Facility.IDNumber,361))</f>
        <v/>
      </c>
      <c r="G370" s="27"/>
      <c r="H370" s="1" t="str">
        <f>IF(AND(I.Facility.FacilityCount&gt;=361,F370=""),"Incomplete","Complete")</f>
        <v>Complete</v>
      </c>
      <c r="I370" s="48" t="s">
        <v>991</v>
      </c>
    </row>
    <row r="371" spans="2:9" ht="15" customHeight="1" x14ac:dyDescent="0.25">
      <c r="B371" s="26" t="s">
        <v>263</v>
      </c>
      <c r="C371" s="1">
        <v>362</v>
      </c>
      <c r="D371" s="27" t="s">
        <v>3031</v>
      </c>
      <c r="E371" s="27"/>
      <c r="F371" s="1" t="str">
        <f>IF(INDEX(I.Facility.IDNumber,362)="","",INDEX(I.Facility.IDNumber,362))</f>
        <v/>
      </c>
      <c r="G371" s="27"/>
      <c r="H371" s="1" t="str">
        <f>IF(AND(I.Facility.FacilityCount&gt;=362,F371=""),"Incomplete","Complete")</f>
        <v>Complete</v>
      </c>
      <c r="I371" s="48" t="s">
        <v>992</v>
      </c>
    </row>
    <row r="372" spans="2:9" ht="15" customHeight="1" x14ac:dyDescent="0.25">
      <c r="B372" s="26" t="s">
        <v>263</v>
      </c>
      <c r="C372" s="1">
        <v>363</v>
      </c>
      <c r="D372" s="27" t="s">
        <v>3031</v>
      </c>
      <c r="E372" s="27"/>
      <c r="F372" s="1" t="str">
        <f>IF(INDEX(I.Facility.IDNumber,363)="","",INDEX(I.Facility.IDNumber,363))</f>
        <v/>
      </c>
      <c r="G372" s="27"/>
      <c r="H372" s="1" t="str">
        <f>IF(AND(I.Facility.FacilityCount&gt;=363,F372=""),"Incomplete","Complete")</f>
        <v>Complete</v>
      </c>
      <c r="I372" s="48" t="s">
        <v>993</v>
      </c>
    </row>
    <row r="373" spans="2:9" ht="15" customHeight="1" x14ac:dyDescent="0.25">
      <c r="B373" s="26" t="s">
        <v>263</v>
      </c>
      <c r="C373" s="1">
        <v>364</v>
      </c>
      <c r="D373" s="27" t="s">
        <v>3031</v>
      </c>
      <c r="E373" s="27"/>
      <c r="F373" s="1" t="str">
        <f>IF(INDEX(I.Facility.IDNumber,364)="","",INDEX(I.Facility.IDNumber,364))</f>
        <v/>
      </c>
      <c r="G373" s="27"/>
      <c r="H373" s="1" t="str">
        <f>IF(AND(I.Facility.FacilityCount&gt;=364,F373=""),"Incomplete","Complete")</f>
        <v>Complete</v>
      </c>
      <c r="I373" s="48" t="s">
        <v>994</v>
      </c>
    </row>
    <row r="374" spans="2:9" ht="15" customHeight="1" x14ac:dyDescent="0.25">
      <c r="B374" s="26" t="s">
        <v>263</v>
      </c>
      <c r="C374" s="1">
        <v>365</v>
      </c>
      <c r="D374" s="27" t="s">
        <v>3031</v>
      </c>
      <c r="E374" s="27"/>
      <c r="F374" s="1" t="str">
        <f>IF(INDEX(I.Facility.IDNumber,365)="","",INDEX(I.Facility.IDNumber,365))</f>
        <v/>
      </c>
      <c r="G374" s="27"/>
      <c r="H374" s="1" t="str">
        <f>IF(AND(I.Facility.FacilityCount&gt;=365,F374=""),"Incomplete","Complete")</f>
        <v>Complete</v>
      </c>
      <c r="I374" s="48" t="s">
        <v>995</v>
      </c>
    </row>
    <row r="375" spans="2:9" ht="15" customHeight="1" x14ac:dyDescent="0.25">
      <c r="B375" s="26" t="s">
        <v>263</v>
      </c>
      <c r="C375" s="1">
        <v>366</v>
      </c>
      <c r="D375" s="27" t="s">
        <v>3031</v>
      </c>
      <c r="E375" s="27"/>
      <c r="F375" s="1" t="str">
        <f>IF(INDEX(I.Facility.IDNumber,366)="","",INDEX(I.Facility.IDNumber,366))</f>
        <v/>
      </c>
      <c r="G375" s="27"/>
      <c r="H375" s="1" t="str">
        <f>IF(AND(I.Facility.FacilityCount&gt;=366,F375=""),"Incomplete","Complete")</f>
        <v>Complete</v>
      </c>
      <c r="I375" s="48" t="s">
        <v>996</v>
      </c>
    </row>
    <row r="376" spans="2:9" ht="15" customHeight="1" x14ac:dyDescent="0.25">
      <c r="B376" s="26" t="s">
        <v>263</v>
      </c>
      <c r="C376" s="1">
        <v>367</v>
      </c>
      <c r="D376" s="27" t="s">
        <v>3031</v>
      </c>
      <c r="E376" s="27"/>
      <c r="F376" s="1" t="str">
        <f>IF(INDEX(I.Facility.IDNumber,367)="","",INDEX(I.Facility.IDNumber,367))</f>
        <v/>
      </c>
      <c r="G376" s="27"/>
      <c r="H376" s="1" t="str">
        <f>IF(AND(I.Facility.FacilityCount&gt;=367,F376=""),"Incomplete","Complete")</f>
        <v>Complete</v>
      </c>
      <c r="I376" s="48" t="s">
        <v>997</v>
      </c>
    </row>
    <row r="377" spans="2:9" ht="15" customHeight="1" x14ac:dyDescent="0.25">
      <c r="B377" s="26" t="s">
        <v>263</v>
      </c>
      <c r="C377" s="1">
        <v>368</v>
      </c>
      <c r="D377" s="27" t="s">
        <v>3031</v>
      </c>
      <c r="E377" s="27"/>
      <c r="F377" s="1" t="str">
        <f>IF(INDEX(I.Facility.IDNumber,368)="","",INDEX(I.Facility.IDNumber,368))</f>
        <v/>
      </c>
      <c r="G377" s="27"/>
      <c r="H377" s="1" t="str">
        <f>IF(AND(I.Facility.FacilityCount&gt;=368,F377=""),"Incomplete","Complete")</f>
        <v>Complete</v>
      </c>
      <c r="I377" s="48" t="s">
        <v>998</v>
      </c>
    </row>
    <row r="378" spans="2:9" ht="15" customHeight="1" x14ac:dyDescent="0.25">
      <c r="B378" s="26" t="s">
        <v>263</v>
      </c>
      <c r="C378" s="1">
        <v>369</v>
      </c>
      <c r="D378" s="27" t="s">
        <v>3031</v>
      </c>
      <c r="E378" s="27"/>
      <c r="F378" s="1" t="str">
        <f>IF(INDEX(I.Facility.IDNumber,369)="","",INDEX(I.Facility.IDNumber,369))</f>
        <v/>
      </c>
      <c r="G378" s="27"/>
      <c r="H378" s="1" t="str">
        <f>IF(AND(I.Facility.FacilityCount&gt;=369,F378=""),"Incomplete","Complete")</f>
        <v>Complete</v>
      </c>
      <c r="I378" s="48" t="s">
        <v>999</v>
      </c>
    </row>
    <row r="379" spans="2:9" ht="15" customHeight="1" x14ac:dyDescent="0.25">
      <c r="B379" s="26" t="s">
        <v>263</v>
      </c>
      <c r="C379" s="1">
        <v>370</v>
      </c>
      <c r="D379" s="27" t="s">
        <v>3031</v>
      </c>
      <c r="E379" s="27"/>
      <c r="F379" s="1" t="str">
        <f>IF(INDEX(I.Facility.IDNumber,370)="","",INDEX(I.Facility.IDNumber,370))</f>
        <v/>
      </c>
      <c r="G379" s="27"/>
      <c r="H379" s="1" t="str">
        <f>IF(AND(I.Facility.FacilityCount&gt;=370,F379=""),"Incomplete","Complete")</f>
        <v>Complete</v>
      </c>
      <c r="I379" s="48" t="s">
        <v>1000</v>
      </c>
    </row>
    <row r="380" spans="2:9" ht="15" customHeight="1" x14ac:dyDescent="0.25">
      <c r="B380" s="26" t="s">
        <v>263</v>
      </c>
      <c r="C380" s="1">
        <v>371</v>
      </c>
      <c r="D380" s="27" t="s">
        <v>3031</v>
      </c>
      <c r="E380" s="27"/>
      <c r="F380" s="1" t="str">
        <f>IF(INDEX(I.Facility.IDNumber,371)="","",INDEX(I.Facility.IDNumber,371))</f>
        <v/>
      </c>
      <c r="G380" s="27"/>
      <c r="H380" s="1" t="str">
        <f>IF(AND(I.Facility.FacilityCount&gt;=371,F380=""),"Incomplete","Complete")</f>
        <v>Complete</v>
      </c>
      <c r="I380" s="48" t="s">
        <v>1001</v>
      </c>
    </row>
    <row r="381" spans="2:9" ht="15" customHeight="1" x14ac:dyDescent="0.25">
      <c r="B381" s="26" t="s">
        <v>263</v>
      </c>
      <c r="C381" s="1">
        <v>372</v>
      </c>
      <c r="D381" s="27" t="s">
        <v>3031</v>
      </c>
      <c r="E381" s="27"/>
      <c r="F381" s="1" t="str">
        <f>IF(INDEX(I.Facility.IDNumber,372)="","",INDEX(I.Facility.IDNumber,372))</f>
        <v/>
      </c>
      <c r="G381" s="27"/>
      <c r="H381" s="1" t="str">
        <f>IF(AND(I.Facility.FacilityCount&gt;=372,F381=""),"Incomplete","Complete")</f>
        <v>Complete</v>
      </c>
      <c r="I381" s="48" t="s">
        <v>1002</v>
      </c>
    </row>
    <row r="382" spans="2:9" ht="15" customHeight="1" x14ac:dyDescent="0.25">
      <c r="B382" s="26" t="s">
        <v>263</v>
      </c>
      <c r="C382" s="1">
        <v>373</v>
      </c>
      <c r="D382" s="27" t="s">
        <v>3031</v>
      </c>
      <c r="E382" s="27"/>
      <c r="F382" s="1" t="str">
        <f>IF(INDEX(I.Facility.IDNumber,373)="","",INDEX(I.Facility.IDNumber,373))</f>
        <v/>
      </c>
      <c r="G382" s="27"/>
      <c r="H382" s="1" t="str">
        <f>IF(AND(I.Facility.FacilityCount&gt;=373,F382=""),"Incomplete","Complete")</f>
        <v>Complete</v>
      </c>
      <c r="I382" s="48" t="s">
        <v>1003</v>
      </c>
    </row>
    <row r="383" spans="2:9" ht="15" customHeight="1" x14ac:dyDescent="0.25">
      <c r="B383" s="26" t="s">
        <v>263</v>
      </c>
      <c r="C383" s="1">
        <v>374</v>
      </c>
      <c r="D383" s="27" t="s">
        <v>3031</v>
      </c>
      <c r="E383" s="27"/>
      <c r="F383" s="1" t="str">
        <f>IF(INDEX(I.Facility.IDNumber,374)="","",INDEX(I.Facility.IDNumber,374))</f>
        <v/>
      </c>
      <c r="G383" s="27"/>
      <c r="H383" s="1" t="str">
        <f>IF(AND(I.Facility.FacilityCount&gt;=374,F383=""),"Incomplete","Complete")</f>
        <v>Complete</v>
      </c>
      <c r="I383" s="48" t="s">
        <v>1004</v>
      </c>
    </row>
    <row r="384" spans="2:9" ht="15" customHeight="1" x14ac:dyDescent="0.25">
      <c r="B384" s="26" t="s">
        <v>263</v>
      </c>
      <c r="C384" s="1">
        <v>375</v>
      </c>
      <c r="D384" s="27" t="s">
        <v>3031</v>
      </c>
      <c r="E384" s="27"/>
      <c r="F384" s="1" t="str">
        <f>IF(INDEX(I.Facility.IDNumber,375)="","",INDEX(I.Facility.IDNumber,375))</f>
        <v/>
      </c>
      <c r="G384" s="27"/>
      <c r="H384" s="1" t="str">
        <f>IF(AND(I.Facility.FacilityCount&gt;=375,F384=""),"Incomplete","Complete")</f>
        <v>Complete</v>
      </c>
      <c r="I384" s="48" t="s">
        <v>1005</v>
      </c>
    </row>
    <row r="385" spans="2:9" ht="15" customHeight="1" x14ac:dyDescent="0.25">
      <c r="B385" s="26" t="s">
        <v>263</v>
      </c>
      <c r="C385" s="1">
        <v>376</v>
      </c>
      <c r="D385" s="27" t="s">
        <v>3031</v>
      </c>
      <c r="E385" s="27"/>
      <c r="F385" s="1" t="str">
        <f>IF(INDEX(I.Facility.IDNumber,376)="","",INDEX(I.Facility.IDNumber,376))</f>
        <v/>
      </c>
      <c r="G385" s="27"/>
      <c r="H385" s="1" t="str">
        <f>IF(AND(I.Facility.FacilityCount&gt;=376,F385=""),"Incomplete","Complete")</f>
        <v>Complete</v>
      </c>
      <c r="I385" s="48" t="s">
        <v>1006</v>
      </c>
    </row>
    <row r="386" spans="2:9" ht="15" customHeight="1" x14ac:dyDescent="0.25">
      <c r="B386" s="26" t="s">
        <v>263</v>
      </c>
      <c r="C386" s="1">
        <v>377</v>
      </c>
      <c r="D386" s="27" t="s">
        <v>3031</v>
      </c>
      <c r="E386" s="27"/>
      <c r="F386" s="1" t="str">
        <f>IF(INDEX(I.Facility.IDNumber,377)="","",INDEX(I.Facility.IDNumber,377))</f>
        <v/>
      </c>
      <c r="G386" s="27"/>
      <c r="H386" s="1" t="str">
        <f>IF(AND(I.Facility.FacilityCount&gt;=377,F386=""),"Incomplete","Complete")</f>
        <v>Complete</v>
      </c>
      <c r="I386" s="48" t="s">
        <v>1007</v>
      </c>
    </row>
    <row r="387" spans="2:9" ht="15" customHeight="1" x14ac:dyDescent="0.25">
      <c r="B387" s="26" t="s">
        <v>263</v>
      </c>
      <c r="C387" s="1">
        <v>378</v>
      </c>
      <c r="D387" s="27" t="s">
        <v>3031</v>
      </c>
      <c r="E387" s="27"/>
      <c r="F387" s="1" t="str">
        <f>IF(INDEX(I.Facility.IDNumber,378)="","",INDEX(I.Facility.IDNumber,378))</f>
        <v/>
      </c>
      <c r="G387" s="27"/>
      <c r="H387" s="1" t="str">
        <f>IF(AND(I.Facility.FacilityCount&gt;=378,F387=""),"Incomplete","Complete")</f>
        <v>Complete</v>
      </c>
      <c r="I387" s="48" t="s">
        <v>1008</v>
      </c>
    </row>
    <row r="388" spans="2:9" ht="15" customHeight="1" x14ac:dyDescent="0.25">
      <c r="B388" s="26" t="s">
        <v>263</v>
      </c>
      <c r="C388" s="1">
        <v>379</v>
      </c>
      <c r="D388" s="27" t="s">
        <v>3031</v>
      </c>
      <c r="E388" s="27"/>
      <c r="F388" s="1" t="str">
        <f>IF(INDEX(I.Facility.IDNumber,379)="","",INDEX(I.Facility.IDNumber,379))</f>
        <v/>
      </c>
      <c r="G388" s="27"/>
      <c r="H388" s="1" t="str">
        <f>IF(AND(I.Facility.FacilityCount&gt;=379,F388=""),"Incomplete","Complete")</f>
        <v>Complete</v>
      </c>
      <c r="I388" s="48" t="s">
        <v>1009</v>
      </c>
    </row>
    <row r="389" spans="2:9" ht="15" customHeight="1" x14ac:dyDescent="0.25">
      <c r="B389" s="26" t="s">
        <v>263</v>
      </c>
      <c r="C389" s="1">
        <v>380</v>
      </c>
      <c r="D389" s="27" t="s">
        <v>3031</v>
      </c>
      <c r="E389" s="27"/>
      <c r="F389" s="1" t="str">
        <f>IF(INDEX(I.Facility.IDNumber,380)="","",INDEX(I.Facility.IDNumber,380))</f>
        <v/>
      </c>
      <c r="G389" s="27"/>
      <c r="H389" s="1" t="str">
        <f>IF(AND(I.Facility.FacilityCount&gt;=380,F389=""),"Incomplete","Complete")</f>
        <v>Complete</v>
      </c>
      <c r="I389" s="48" t="s">
        <v>1010</v>
      </c>
    </row>
    <row r="390" spans="2:9" ht="15" customHeight="1" x14ac:dyDescent="0.25">
      <c r="B390" s="26" t="s">
        <v>263</v>
      </c>
      <c r="C390" s="1">
        <v>381</v>
      </c>
      <c r="D390" s="27" t="s">
        <v>3031</v>
      </c>
      <c r="E390" s="27"/>
      <c r="F390" s="1" t="str">
        <f>IF(INDEX(I.Facility.IDNumber,381)="","",INDEX(I.Facility.IDNumber,381))</f>
        <v/>
      </c>
      <c r="G390" s="27"/>
      <c r="H390" s="1" t="str">
        <f>IF(AND(I.Facility.FacilityCount&gt;=381,F390=""),"Incomplete","Complete")</f>
        <v>Complete</v>
      </c>
      <c r="I390" s="48" t="s">
        <v>1011</v>
      </c>
    </row>
    <row r="391" spans="2:9" ht="15" customHeight="1" x14ac:dyDescent="0.25">
      <c r="B391" s="26" t="s">
        <v>263</v>
      </c>
      <c r="C391" s="1">
        <v>382</v>
      </c>
      <c r="D391" s="27" t="s">
        <v>3031</v>
      </c>
      <c r="E391" s="27"/>
      <c r="F391" s="1" t="str">
        <f>IF(INDEX(I.Facility.IDNumber,382)="","",INDEX(I.Facility.IDNumber,382))</f>
        <v/>
      </c>
      <c r="G391" s="27"/>
      <c r="H391" s="1" t="str">
        <f>IF(AND(I.Facility.FacilityCount&gt;=382,F391=""),"Incomplete","Complete")</f>
        <v>Complete</v>
      </c>
      <c r="I391" s="48" t="s">
        <v>1012</v>
      </c>
    </row>
    <row r="392" spans="2:9" ht="15" customHeight="1" x14ac:dyDescent="0.25">
      <c r="B392" s="26" t="s">
        <v>263</v>
      </c>
      <c r="C392" s="1">
        <v>383</v>
      </c>
      <c r="D392" s="27" t="s">
        <v>3031</v>
      </c>
      <c r="E392" s="27"/>
      <c r="F392" s="1" t="str">
        <f>IF(INDEX(I.Facility.IDNumber,383)="","",INDEX(I.Facility.IDNumber,383))</f>
        <v/>
      </c>
      <c r="G392" s="27"/>
      <c r="H392" s="1" t="str">
        <f>IF(AND(I.Facility.FacilityCount&gt;=383,F392=""),"Incomplete","Complete")</f>
        <v>Complete</v>
      </c>
      <c r="I392" s="48" t="s">
        <v>1013</v>
      </c>
    </row>
    <row r="393" spans="2:9" ht="15" customHeight="1" x14ac:dyDescent="0.25">
      <c r="B393" s="26" t="s">
        <v>263</v>
      </c>
      <c r="C393" s="1">
        <v>384</v>
      </c>
      <c r="D393" s="27" t="s">
        <v>3031</v>
      </c>
      <c r="E393" s="27"/>
      <c r="F393" s="1" t="str">
        <f>IF(INDEX(I.Facility.IDNumber,384)="","",INDEX(I.Facility.IDNumber,384))</f>
        <v/>
      </c>
      <c r="G393" s="27"/>
      <c r="H393" s="1" t="str">
        <f>IF(AND(I.Facility.FacilityCount&gt;=384,F393=""),"Incomplete","Complete")</f>
        <v>Complete</v>
      </c>
      <c r="I393" s="48" t="s">
        <v>1014</v>
      </c>
    </row>
    <row r="394" spans="2:9" ht="15" customHeight="1" x14ac:dyDescent="0.25">
      <c r="B394" s="26" t="s">
        <v>263</v>
      </c>
      <c r="C394" s="1">
        <v>385</v>
      </c>
      <c r="D394" s="27" t="s">
        <v>3031</v>
      </c>
      <c r="E394" s="27"/>
      <c r="F394" s="1" t="str">
        <f>IF(INDEX(I.Facility.IDNumber,385)="","",INDEX(I.Facility.IDNumber,385))</f>
        <v/>
      </c>
      <c r="G394" s="27"/>
      <c r="H394" s="1" t="str">
        <f>IF(AND(I.Facility.FacilityCount&gt;=385,F394=""),"Incomplete","Complete")</f>
        <v>Complete</v>
      </c>
      <c r="I394" s="48" t="s">
        <v>1015</v>
      </c>
    </row>
    <row r="395" spans="2:9" ht="15" customHeight="1" x14ac:dyDescent="0.25">
      <c r="B395" s="26" t="s">
        <v>263</v>
      </c>
      <c r="C395" s="1">
        <v>386</v>
      </c>
      <c r="D395" s="27" t="s">
        <v>3031</v>
      </c>
      <c r="E395" s="27"/>
      <c r="F395" s="1" t="str">
        <f>IF(INDEX(I.Facility.IDNumber,386)="","",INDEX(I.Facility.IDNumber,386))</f>
        <v/>
      </c>
      <c r="G395" s="27"/>
      <c r="H395" s="1" t="str">
        <f>IF(AND(I.Facility.FacilityCount&gt;=386,F395=""),"Incomplete","Complete")</f>
        <v>Complete</v>
      </c>
      <c r="I395" s="48" t="s">
        <v>1016</v>
      </c>
    </row>
    <row r="396" spans="2:9" ht="15" customHeight="1" x14ac:dyDescent="0.25">
      <c r="B396" s="26" t="s">
        <v>263</v>
      </c>
      <c r="C396" s="1">
        <v>387</v>
      </c>
      <c r="D396" s="27" t="s">
        <v>3031</v>
      </c>
      <c r="E396" s="27"/>
      <c r="F396" s="1" t="str">
        <f>IF(INDEX(I.Facility.IDNumber,387)="","",INDEX(I.Facility.IDNumber,387))</f>
        <v/>
      </c>
      <c r="G396" s="27"/>
      <c r="H396" s="1" t="str">
        <f>IF(AND(I.Facility.FacilityCount&gt;=387,F396=""),"Incomplete","Complete")</f>
        <v>Complete</v>
      </c>
      <c r="I396" s="48" t="s">
        <v>1017</v>
      </c>
    </row>
    <row r="397" spans="2:9" ht="15" customHeight="1" x14ac:dyDescent="0.25">
      <c r="B397" s="26" t="s">
        <v>263</v>
      </c>
      <c r="C397" s="1">
        <v>388</v>
      </c>
      <c r="D397" s="27" t="s">
        <v>3031</v>
      </c>
      <c r="E397" s="27"/>
      <c r="F397" s="1" t="str">
        <f>IF(INDEX(I.Facility.IDNumber,388)="","",INDEX(I.Facility.IDNumber,388))</f>
        <v/>
      </c>
      <c r="G397" s="27"/>
      <c r="H397" s="1" t="str">
        <f>IF(AND(I.Facility.FacilityCount&gt;=388,F397=""),"Incomplete","Complete")</f>
        <v>Complete</v>
      </c>
      <c r="I397" s="48" t="s">
        <v>1018</v>
      </c>
    </row>
    <row r="398" spans="2:9" ht="15" customHeight="1" x14ac:dyDescent="0.25">
      <c r="B398" s="26" t="s">
        <v>263</v>
      </c>
      <c r="C398" s="1">
        <v>389</v>
      </c>
      <c r="D398" s="27" t="s">
        <v>3031</v>
      </c>
      <c r="E398" s="27"/>
      <c r="F398" s="1" t="str">
        <f>IF(INDEX(I.Facility.IDNumber,389)="","",INDEX(I.Facility.IDNumber,389))</f>
        <v/>
      </c>
      <c r="G398" s="27"/>
      <c r="H398" s="1" t="str">
        <f>IF(AND(I.Facility.FacilityCount&gt;=389,F398=""),"Incomplete","Complete")</f>
        <v>Complete</v>
      </c>
      <c r="I398" s="48" t="s">
        <v>1019</v>
      </c>
    </row>
    <row r="399" spans="2:9" ht="15" customHeight="1" x14ac:dyDescent="0.25">
      <c r="B399" s="26" t="s">
        <v>263</v>
      </c>
      <c r="C399" s="1">
        <v>390</v>
      </c>
      <c r="D399" s="27" t="s">
        <v>3031</v>
      </c>
      <c r="E399" s="27"/>
      <c r="F399" s="1" t="str">
        <f>IF(INDEX(I.Facility.IDNumber,390)="","",INDEX(I.Facility.IDNumber,390))</f>
        <v/>
      </c>
      <c r="G399" s="27"/>
      <c r="H399" s="1" t="str">
        <f>IF(AND(I.Facility.FacilityCount&gt;=390,F399=""),"Incomplete","Complete")</f>
        <v>Complete</v>
      </c>
      <c r="I399" s="48" t="s">
        <v>1020</v>
      </c>
    </row>
    <row r="400" spans="2:9" ht="15" customHeight="1" x14ac:dyDescent="0.25">
      <c r="B400" s="26" t="s">
        <v>263</v>
      </c>
      <c r="C400" s="1">
        <v>391</v>
      </c>
      <c r="D400" s="27" t="s">
        <v>3031</v>
      </c>
      <c r="E400" s="27"/>
      <c r="F400" s="1" t="str">
        <f>IF(INDEX(I.Facility.IDNumber,391)="","",INDEX(I.Facility.IDNumber,391))</f>
        <v/>
      </c>
      <c r="G400" s="27"/>
      <c r="H400" s="1" t="str">
        <f>IF(AND(I.Facility.FacilityCount&gt;=391,F400=""),"Incomplete","Complete")</f>
        <v>Complete</v>
      </c>
      <c r="I400" s="48" t="s">
        <v>1021</v>
      </c>
    </row>
    <row r="401" spans="2:9" ht="15" customHeight="1" x14ac:dyDescent="0.25">
      <c r="B401" s="26" t="s">
        <v>263</v>
      </c>
      <c r="C401" s="1">
        <v>392</v>
      </c>
      <c r="D401" s="27" t="s">
        <v>3031</v>
      </c>
      <c r="E401" s="27"/>
      <c r="F401" s="1" t="str">
        <f>IF(INDEX(I.Facility.IDNumber,392)="","",INDEX(I.Facility.IDNumber,392))</f>
        <v/>
      </c>
      <c r="G401" s="27"/>
      <c r="H401" s="1" t="str">
        <f>IF(AND(I.Facility.FacilityCount&gt;=392,F401=""),"Incomplete","Complete")</f>
        <v>Complete</v>
      </c>
      <c r="I401" s="48" t="s">
        <v>1022</v>
      </c>
    </row>
    <row r="402" spans="2:9" ht="15" customHeight="1" x14ac:dyDescent="0.25">
      <c r="B402" s="26" t="s">
        <v>263</v>
      </c>
      <c r="C402" s="1">
        <v>393</v>
      </c>
      <c r="D402" s="27" t="s">
        <v>3031</v>
      </c>
      <c r="E402" s="27"/>
      <c r="F402" s="1" t="str">
        <f>IF(INDEX(I.Facility.IDNumber,393)="","",INDEX(I.Facility.IDNumber,393))</f>
        <v/>
      </c>
      <c r="G402" s="27"/>
      <c r="H402" s="1" t="str">
        <f>IF(AND(I.Facility.FacilityCount&gt;=393,F402=""),"Incomplete","Complete")</f>
        <v>Complete</v>
      </c>
      <c r="I402" s="48" t="s">
        <v>1023</v>
      </c>
    </row>
    <row r="403" spans="2:9" ht="15" customHeight="1" x14ac:dyDescent="0.25">
      <c r="B403" s="26" t="s">
        <v>263</v>
      </c>
      <c r="C403" s="1">
        <v>394</v>
      </c>
      <c r="D403" s="27" t="s">
        <v>3031</v>
      </c>
      <c r="E403" s="27"/>
      <c r="F403" s="1" t="str">
        <f>IF(INDEX(I.Facility.IDNumber,394)="","",INDEX(I.Facility.IDNumber,394))</f>
        <v/>
      </c>
      <c r="G403" s="27"/>
      <c r="H403" s="1" t="str">
        <f>IF(AND(I.Facility.FacilityCount&gt;=394,F403=""),"Incomplete","Complete")</f>
        <v>Complete</v>
      </c>
      <c r="I403" s="48" t="s">
        <v>1024</v>
      </c>
    </row>
    <row r="404" spans="2:9" ht="15" customHeight="1" x14ac:dyDescent="0.25">
      <c r="B404" s="26" t="s">
        <v>263</v>
      </c>
      <c r="C404" s="1">
        <v>395</v>
      </c>
      <c r="D404" s="27" t="s">
        <v>3031</v>
      </c>
      <c r="E404" s="27"/>
      <c r="F404" s="1" t="str">
        <f>IF(INDEX(I.Facility.IDNumber,395)="","",INDEX(I.Facility.IDNumber,395))</f>
        <v/>
      </c>
      <c r="G404" s="27"/>
      <c r="H404" s="1" t="str">
        <f>IF(AND(I.Facility.FacilityCount&gt;=395,F404=""),"Incomplete","Complete")</f>
        <v>Complete</v>
      </c>
      <c r="I404" s="48" t="s">
        <v>1025</v>
      </c>
    </row>
    <row r="405" spans="2:9" ht="15" customHeight="1" x14ac:dyDescent="0.25">
      <c r="B405" s="26" t="s">
        <v>263</v>
      </c>
      <c r="C405" s="1">
        <v>396</v>
      </c>
      <c r="D405" s="27" t="s">
        <v>3031</v>
      </c>
      <c r="E405" s="27"/>
      <c r="F405" s="1" t="str">
        <f>IF(INDEX(I.Facility.IDNumber,396)="","",INDEX(I.Facility.IDNumber,396))</f>
        <v/>
      </c>
      <c r="G405" s="27"/>
      <c r="H405" s="1" t="str">
        <f>IF(AND(I.Facility.FacilityCount&gt;=396,F405=""),"Incomplete","Complete")</f>
        <v>Complete</v>
      </c>
      <c r="I405" s="48" t="s">
        <v>1026</v>
      </c>
    </row>
    <row r="406" spans="2:9" ht="15" customHeight="1" x14ac:dyDescent="0.25">
      <c r="B406" s="26" t="s">
        <v>263</v>
      </c>
      <c r="C406" s="1">
        <v>397</v>
      </c>
      <c r="D406" s="27" t="s">
        <v>3031</v>
      </c>
      <c r="E406" s="27"/>
      <c r="F406" s="1" t="str">
        <f>IF(INDEX(I.Facility.IDNumber,397)="","",INDEX(I.Facility.IDNumber,397))</f>
        <v/>
      </c>
      <c r="G406" s="27"/>
      <c r="H406" s="1" t="str">
        <f>IF(AND(I.Facility.FacilityCount&gt;=397,F406=""),"Incomplete","Complete")</f>
        <v>Complete</v>
      </c>
      <c r="I406" s="48" t="s">
        <v>1027</v>
      </c>
    </row>
    <row r="407" spans="2:9" ht="15" customHeight="1" x14ac:dyDescent="0.25">
      <c r="B407" s="26" t="s">
        <v>263</v>
      </c>
      <c r="C407" s="1">
        <v>398</v>
      </c>
      <c r="D407" s="27" t="s">
        <v>3031</v>
      </c>
      <c r="E407" s="27"/>
      <c r="F407" s="1" t="str">
        <f>IF(INDEX(I.Facility.IDNumber,398)="","",INDEX(I.Facility.IDNumber,398))</f>
        <v/>
      </c>
      <c r="G407" s="27"/>
      <c r="H407" s="1" t="str">
        <f>IF(AND(I.Facility.FacilityCount&gt;=398,F407=""),"Incomplete","Complete")</f>
        <v>Complete</v>
      </c>
      <c r="I407" s="48" t="s">
        <v>1028</v>
      </c>
    </row>
    <row r="408" spans="2:9" ht="15" customHeight="1" x14ac:dyDescent="0.25">
      <c r="B408" s="26" t="s">
        <v>263</v>
      </c>
      <c r="C408" s="1">
        <v>399</v>
      </c>
      <c r="D408" s="27" t="s">
        <v>3031</v>
      </c>
      <c r="E408" s="27"/>
      <c r="F408" s="1" t="str">
        <f>IF(INDEX(I.Facility.IDNumber,399)="","",INDEX(I.Facility.IDNumber,399))</f>
        <v/>
      </c>
      <c r="G408" s="27"/>
      <c r="H408" s="1" t="str">
        <f>IF(AND(I.Facility.FacilityCount&gt;=399,F408=""),"Incomplete","Complete")</f>
        <v>Complete</v>
      </c>
      <c r="I408" s="48" t="s">
        <v>1029</v>
      </c>
    </row>
    <row r="409" spans="2:9" ht="15" customHeight="1" x14ac:dyDescent="0.25">
      <c r="B409" s="26" t="s">
        <v>263</v>
      </c>
      <c r="C409" s="1">
        <v>400</v>
      </c>
      <c r="D409" s="27" t="s">
        <v>3031</v>
      </c>
      <c r="E409" s="27"/>
      <c r="F409" s="1" t="str">
        <f>IF(INDEX(I.Facility.IDNumber,400)="","",INDEX(I.Facility.IDNumber,400))</f>
        <v/>
      </c>
      <c r="G409" s="27"/>
      <c r="H409" s="1" t="str">
        <f>IF(AND(I.Facility.FacilityCount&gt;=400,F409=""),"Incomplete","Complete")</f>
        <v>Complete</v>
      </c>
      <c r="I409" s="48" t="s">
        <v>1030</v>
      </c>
    </row>
    <row r="410" spans="2:9" ht="15" customHeight="1" x14ac:dyDescent="0.25">
      <c r="B410" s="26" t="s">
        <v>263</v>
      </c>
      <c r="C410" s="1">
        <v>401</v>
      </c>
      <c r="D410" s="27" t="s">
        <v>3031</v>
      </c>
      <c r="E410" s="27"/>
      <c r="F410" s="1" t="str">
        <f>IF(INDEX(I.Facility.IDNumber,401)="","",INDEX(I.Facility.IDNumber,401))</f>
        <v/>
      </c>
      <c r="G410" s="27"/>
      <c r="H410" s="1" t="str">
        <f>IF(AND(I.Facility.FacilityCount&gt;=401,F410=""),"Incomplete","Complete")</f>
        <v>Complete</v>
      </c>
      <c r="I410" s="48" t="s">
        <v>1031</v>
      </c>
    </row>
    <row r="411" spans="2:9" ht="15" customHeight="1" x14ac:dyDescent="0.25">
      <c r="B411" s="26" t="s">
        <v>263</v>
      </c>
      <c r="C411" s="1">
        <v>402</v>
      </c>
      <c r="D411" s="27" t="s">
        <v>3031</v>
      </c>
      <c r="E411" s="27"/>
      <c r="F411" s="1" t="str">
        <f>IF(INDEX(I.Facility.IDNumber,402)="","",INDEX(I.Facility.IDNumber,402))</f>
        <v/>
      </c>
      <c r="G411" s="27"/>
      <c r="H411" s="1" t="str">
        <f>IF(AND(I.Facility.FacilityCount&gt;=402,F411=""),"Incomplete","Complete")</f>
        <v>Complete</v>
      </c>
      <c r="I411" s="48" t="s">
        <v>1032</v>
      </c>
    </row>
    <row r="412" spans="2:9" ht="15" customHeight="1" x14ac:dyDescent="0.25">
      <c r="B412" s="26" t="s">
        <v>263</v>
      </c>
      <c r="C412" s="1">
        <v>403</v>
      </c>
      <c r="D412" s="27" t="s">
        <v>3031</v>
      </c>
      <c r="E412" s="27"/>
      <c r="F412" s="1" t="str">
        <f>IF(INDEX(I.Facility.IDNumber,403)="","",INDEX(I.Facility.IDNumber,403))</f>
        <v/>
      </c>
      <c r="G412" s="27"/>
      <c r="H412" s="1" t="str">
        <f>IF(AND(I.Facility.FacilityCount&gt;=403,F412=""),"Incomplete","Complete")</f>
        <v>Complete</v>
      </c>
      <c r="I412" s="48" t="s">
        <v>1033</v>
      </c>
    </row>
    <row r="413" spans="2:9" ht="15" customHeight="1" x14ac:dyDescent="0.25">
      <c r="B413" s="26" t="s">
        <v>263</v>
      </c>
      <c r="C413" s="1">
        <v>404</v>
      </c>
      <c r="D413" s="27" t="s">
        <v>3031</v>
      </c>
      <c r="E413" s="27"/>
      <c r="F413" s="1" t="str">
        <f>IF(INDEX(I.Facility.IDNumber,404)="","",INDEX(I.Facility.IDNumber,404))</f>
        <v/>
      </c>
      <c r="G413" s="27"/>
      <c r="H413" s="1" t="str">
        <f>IF(AND(I.Facility.FacilityCount&gt;=404,F413=""),"Incomplete","Complete")</f>
        <v>Complete</v>
      </c>
      <c r="I413" s="48" t="s">
        <v>1034</v>
      </c>
    </row>
    <row r="414" spans="2:9" ht="15" customHeight="1" x14ac:dyDescent="0.25">
      <c r="B414" s="26" t="s">
        <v>263</v>
      </c>
      <c r="C414" s="1">
        <v>405</v>
      </c>
      <c r="D414" s="27" t="s">
        <v>3031</v>
      </c>
      <c r="E414" s="27"/>
      <c r="F414" s="1" t="str">
        <f>IF(INDEX(I.Facility.IDNumber,405)="","",INDEX(I.Facility.IDNumber,405))</f>
        <v/>
      </c>
      <c r="G414" s="27"/>
      <c r="H414" s="1" t="str">
        <f>IF(AND(I.Facility.FacilityCount&gt;=405,F414=""),"Incomplete","Complete")</f>
        <v>Complete</v>
      </c>
      <c r="I414" s="48" t="s">
        <v>1035</v>
      </c>
    </row>
    <row r="415" spans="2:9" ht="15" customHeight="1" x14ac:dyDescent="0.25">
      <c r="B415" s="26" t="s">
        <v>263</v>
      </c>
      <c r="C415" s="1">
        <v>406</v>
      </c>
      <c r="D415" s="27" t="s">
        <v>3031</v>
      </c>
      <c r="E415" s="27"/>
      <c r="F415" s="1" t="str">
        <f>IF(INDEX(I.Facility.IDNumber,406)="","",INDEX(I.Facility.IDNumber,406))</f>
        <v/>
      </c>
      <c r="G415" s="27"/>
      <c r="H415" s="1" t="str">
        <f>IF(AND(I.Facility.FacilityCount&gt;=406,F415=""),"Incomplete","Complete")</f>
        <v>Complete</v>
      </c>
      <c r="I415" s="48" t="s">
        <v>1036</v>
      </c>
    </row>
    <row r="416" spans="2:9" ht="15" customHeight="1" x14ac:dyDescent="0.25">
      <c r="B416" s="26" t="s">
        <v>263</v>
      </c>
      <c r="C416" s="1">
        <v>407</v>
      </c>
      <c r="D416" s="27" t="s">
        <v>3031</v>
      </c>
      <c r="E416" s="27"/>
      <c r="F416" s="1" t="str">
        <f>IF(INDEX(I.Facility.IDNumber,407)="","",INDEX(I.Facility.IDNumber,407))</f>
        <v/>
      </c>
      <c r="G416" s="27"/>
      <c r="H416" s="1" t="str">
        <f>IF(AND(I.Facility.FacilityCount&gt;=407,F416=""),"Incomplete","Complete")</f>
        <v>Complete</v>
      </c>
      <c r="I416" s="48" t="s">
        <v>1037</v>
      </c>
    </row>
    <row r="417" spans="2:9" ht="15" customHeight="1" x14ac:dyDescent="0.25">
      <c r="B417" s="26" t="s">
        <v>263</v>
      </c>
      <c r="C417" s="1">
        <v>408</v>
      </c>
      <c r="D417" s="27" t="s">
        <v>3031</v>
      </c>
      <c r="E417" s="27"/>
      <c r="F417" s="1" t="str">
        <f>IF(INDEX(I.Facility.IDNumber,408)="","",INDEX(I.Facility.IDNumber,408))</f>
        <v/>
      </c>
      <c r="G417" s="27"/>
      <c r="H417" s="1" t="str">
        <f>IF(AND(I.Facility.FacilityCount&gt;=408,F417=""),"Incomplete","Complete")</f>
        <v>Complete</v>
      </c>
      <c r="I417" s="48" t="s">
        <v>1038</v>
      </c>
    </row>
    <row r="418" spans="2:9" ht="15" customHeight="1" x14ac:dyDescent="0.25">
      <c r="B418" s="26" t="s">
        <v>263</v>
      </c>
      <c r="C418" s="1">
        <v>409</v>
      </c>
      <c r="D418" s="27" t="s">
        <v>3031</v>
      </c>
      <c r="E418" s="27"/>
      <c r="F418" s="1" t="str">
        <f>IF(INDEX(I.Facility.IDNumber,409)="","",INDEX(I.Facility.IDNumber,409))</f>
        <v/>
      </c>
      <c r="G418" s="27"/>
      <c r="H418" s="1" t="str">
        <f>IF(AND(I.Facility.FacilityCount&gt;=409,F418=""),"Incomplete","Complete")</f>
        <v>Complete</v>
      </c>
      <c r="I418" s="48" t="s">
        <v>1039</v>
      </c>
    </row>
    <row r="419" spans="2:9" ht="15" customHeight="1" x14ac:dyDescent="0.25">
      <c r="B419" s="26" t="s">
        <v>263</v>
      </c>
      <c r="C419" s="1">
        <v>410</v>
      </c>
      <c r="D419" s="27" t="s">
        <v>3031</v>
      </c>
      <c r="E419" s="27"/>
      <c r="F419" s="1" t="str">
        <f>IF(INDEX(I.Facility.IDNumber,410)="","",INDEX(I.Facility.IDNumber,410))</f>
        <v/>
      </c>
      <c r="G419" s="27"/>
      <c r="H419" s="1" t="str">
        <f>IF(AND(I.Facility.FacilityCount&gt;=410,F419=""),"Incomplete","Complete")</f>
        <v>Complete</v>
      </c>
      <c r="I419" s="48" t="s">
        <v>1040</v>
      </c>
    </row>
    <row r="420" spans="2:9" ht="15" customHeight="1" x14ac:dyDescent="0.25">
      <c r="B420" s="26" t="s">
        <v>263</v>
      </c>
      <c r="C420" s="1">
        <v>411</v>
      </c>
      <c r="D420" s="27" t="s">
        <v>3031</v>
      </c>
      <c r="E420" s="27"/>
      <c r="F420" s="1" t="str">
        <f>IF(INDEX(I.Facility.IDNumber,411)="","",INDEX(I.Facility.IDNumber,411))</f>
        <v/>
      </c>
      <c r="G420" s="27"/>
      <c r="H420" s="1" t="str">
        <f>IF(AND(I.Facility.FacilityCount&gt;=411,F420=""),"Incomplete","Complete")</f>
        <v>Complete</v>
      </c>
      <c r="I420" s="48" t="s">
        <v>1041</v>
      </c>
    </row>
    <row r="421" spans="2:9" ht="15" customHeight="1" x14ac:dyDescent="0.25">
      <c r="B421" s="26" t="s">
        <v>263</v>
      </c>
      <c r="C421" s="1">
        <v>412</v>
      </c>
      <c r="D421" s="27" t="s">
        <v>3031</v>
      </c>
      <c r="E421" s="27"/>
      <c r="F421" s="1" t="str">
        <f>IF(INDEX(I.Facility.IDNumber,412)="","",INDEX(I.Facility.IDNumber,412))</f>
        <v/>
      </c>
      <c r="G421" s="27"/>
      <c r="H421" s="1" t="str">
        <f>IF(AND(I.Facility.FacilityCount&gt;=412,F421=""),"Incomplete","Complete")</f>
        <v>Complete</v>
      </c>
      <c r="I421" s="48" t="s">
        <v>1042</v>
      </c>
    </row>
    <row r="422" spans="2:9" ht="15" customHeight="1" x14ac:dyDescent="0.25">
      <c r="B422" s="26" t="s">
        <v>263</v>
      </c>
      <c r="C422" s="1">
        <v>413</v>
      </c>
      <c r="D422" s="27" t="s">
        <v>3031</v>
      </c>
      <c r="E422" s="27"/>
      <c r="F422" s="1" t="str">
        <f>IF(INDEX(I.Facility.IDNumber,413)="","",INDEX(I.Facility.IDNumber,413))</f>
        <v/>
      </c>
      <c r="G422" s="27"/>
      <c r="H422" s="1" t="str">
        <f>IF(AND(I.Facility.FacilityCount&gt;=413,F422=""),"Incomplete","Complete")</f>
        <v>Complete</v>
      </c>
      <c r="I422" s="48" t="s">
        <v>1043</v>
      </c>
    </row>
    <row r="423" spans="2:9" ht="15" customHeight="1" x14ac:dyDescent="0.25">
      <c r="B423" s="26" t="s">
        <v>263</v>
      </c>
      <c r="C423" s="1">
        <v>414</v>
      </c>
      <c r="D423" s="27" t="s">
        <v>3031</v>
      </c>
      <c r="E423" s="27"/>
      <c r="F423" s="1" t="str">
        <f>IF(INDEX(I.Facility.IDNumber,414)="","",INDEX(I.Facility.IDNumber,414))</f>
        <v/>
      </c>
      <c r="G423" s="27"/>
      <c r="H423" s="1" t="str">
        <f>IF(AND(I.Facility.FacilityCount&gt;=414,F423=""),"Incomplete","Complete")</f>
        <v>Complete</v>
      </c>
      <c r="I423" s="48" t="s">
        <v>1044</v>
      </c>
    </row>
    <row r="424" spans="2:9" ht="15" customHeight="1" x14ac:dyDescent="0.25">
      <c r="B424" s="26" t="s">
        <v>263</v>
      </c>
      <c r="C424" s="1">
        <v>415</v>
      </c>
      <c r="D424" s="27" t="s">
        <v>3031</v>
      </c>
      <c r="E424" s="27"/>
      <c r="F424" s="1" t="str">
        <f>IF(INDEX(I.Facility.IDNumber,415)="","",INDEX(I.Facility.IDNumber,415))</f>
        <v/>
      </c>
      <c r="G424" s="27"/>
      <c r="H424" s="1" t="str">
        <f>IF(AND(I.Facility.FacilityCount&gt;=415,F424=""),"Incomplete","Complete")</f>
        <v>Complete</v>
      </c>
      <c r="I424" s="48" t="s">
        <v>1045</v>
      </c>
    </row>
    <row r="425" spans="2:9" ht="15" customHeight="1" x14ac:dyDescent="0.25">
      <c r="B425" s="26" t="s">
        <v>263</v>
      </c>
      <c r="C425" s="1">
        <v>416</v>
      </c>
      <c r="D425" s="27" t="s">
        <v>3031</v>
      </c>
      <c r="E425" s="27"/>
      <c r="F425" s="1" t="str">
        <f>IF(INDEX(I.Facility.IDNumber,416)="","",INDEX(I.Facility.IDNumber,416))</f>
        <v/>
      </c>
      <c r="G425" s="27"/>
      <c r="H425" s="1" t="str">
        <f>IF(AND(I.Facility.FacilityCount&gt;=416,F425=""),"Incomplete","Complete")</f>
        <v>Complete</v>
      </c>
      <c r="I425" s="48" t="s">
        <v>1046</v>
      </c>
    </row>
    <row r="426" spans="2:9" ht="15" customHeight="1" x14ac:dyDescent="0.25">
      <c r="B426" s="26" t="s">
        <v>263</v>
      </c>
      <c r="C426" s="1">
        <v>417</v>
      </c>
      <c r="D426" s="27" t="s">
        <v>3031</v>
      </c>
      <c r="E426" s="27"/>
      <c r="F426" s="1" t="str">
        <f>IF(INDEX(I.Facility.IDNumber,417)="","",INDEX(I.Facility.IDNumber,417))</f>
        <v/>
      </c>
      <c r="G426" s="27"/>
      <c r="H426" s="1" t="str">
        <f>IF(AND(I.Facility.FacilityCount&gt;=417,F426=""),"Incomplete","Complete")</f>
        <v>Complete</v>
      </c>
      <c r="I426" s="48" t="s">
        <v>1047</v>
      </c>
    </row>
    <row r="427" spans="2:9" ht="15" customHeight="1" x14ac:dyDescent="0.25">
      <c r="B427" s="26" t="s">
        <v>263</v>
      </c>
      <c r="C427" s="1">
        <v>418</v>
      </c>
      <c r="D427" s="27" t="s">
        <v>3031</v>
      </c>
      <c r="E427" s="27"/>
      <c r="F427" s="1" t="str">
        <f>IF(INDEX(I.Facility.IDNumber,418)="","",INDEX(I.Facility.IDNumber,418))</f>
        <v/>
      </c>
      <c r="G427" s="27"/>
      <c r="H427" s="1" t="str">
        <f>IF(AND(I.Facility.FacilityCount&gt;=418,F427=""),"Incomplete","Complete")</f>
        <v>Complete</v>
      </c>
      <c r="I427" s="48" t="s">
        <v>1048</v>
      </c>
    </row>
    <row r="428" spans="2:9" ht="15" customHeight="1" x14ac:dyDescent="0.25">
      <c r="B428" s="26" t="s">
        <v>263</v>
      </c>
      <c r="C428" s="1">
        <v>419</v>
      </c>
      <c r="D428" s="27" t="s">
        <v>3031</v>
      </c>
      <c r="E428" s="27"/>
      <c r="F428" s="1" t="str">
        <f>IF(INDEX(I.Facility.IDNumber,419)="","",INDEX(I.Facility.IDNumber,419))</f>
        <v/>
      </c>
      <c r="G428" s="27"/>
      <c r="H428" s="1" t="str">
        <f>IF(AND(I.Facility.FacilityCount&gt;=419,F428=""),"Incomplete","Complete")</f>
        <v>Complete</v>
      </c>
      <c r="I428" s="48" t="s">
        <v>1049</v>
      </c>
    </row>
    <row r="429" spans="2:9" ht="15" customHeight="1" x14ac:dyDescent="0.25">
      <c r="B429" s="26" t="s">
        <v>263</v>
      </c>
      <c r="C429" s="1">
        <v>420</v>
      </c>
      <c r="D429" s="27" t="s">
        <v>3031</v>
      </c>
      <c r="E429" s="27"/>
      <c r="F429" s="1" t="str">
        <f>IF(INDEX(I.Facility.IDNumber,420)="","",INDEX(I.Facility.IDNumber,420))</f>
        <v/>
      </c>
      <c r="G429" s="27"/>
      <c r="H429" s="1" t="str">
        <f>IF(AND(I.Facility.FacilityCount&gt;=420,F429=""),"Incomplete","Complete")</f>
        <v>Complete</v>
      </c>
      <c r="I429" s="48" t="s">
        <v>1050</v>
      </c>
    </row>
    <row r="430" spans="2:9" ht="15" customHeight="1" x14ac:dyDescent="0.25">
      <c r="B430" s="26" t="s">
        <v>263</v>
      </c>
      <c r="C430" s="1">
        <v>421</v>
      </c>
      <c r="D430" s="27" t="s">
        <v>3031</v>
      </c>
      <c r="E430" s="27"/>
      <c r="F430" s="1" t="str">
        <f>IF(INDEX(I.Facility.IDNumber,421)="","",INDEX(I.Facility.IDNumber,421))</f>
        <v/>
      </c>
      <c r="G430" s="27"/>
      <c r="H430" s="1" t="str">
        <f>IF(AND(I.Facility.FacilityCount&gt;=421,F430=""),"Incomplete","Complete")</f>
        <v>Complete</v>
      </c>
      <c r="I430" s="48" t="s">
        <v>1051</v>
      </c>
    </row>
    <row r="431" spans="2:9" ht="15" customHeight="1" x14ac:dyDescent="0.25">
      <c r="B431" s="26" t="s">
        <v>263</v>
      </c>
      <c r="C431" s="1">
        <v>422</v>
      </c>
      <c r="D431" s="27" t="s">
        <v>3031</v>
      </c>
      <c r="E431" s="27"/>
      <c r="F431" s="1" t="str">
        <f>IF(INDEX(I.Facility.IDNumber,422)="","",INDEX(I.Facility.IDNumber,422))</f>
        <v/>
      </c>
      <c r="G431" s="27"/>
      <c r="H431" s="1" t="str">
        <f>IF(AND(I.Facility.FacilityCount&gt;=422,F431=""),"Incomplete","Complete")</f>
        <v>Complete</v>
      </c>
      <c r="I431" s="48" t="s">
        <v>1052</v>
      </c>
    </row>
    <row r="432" spans="2:9" ht="15" customHeight="1" x14ac:dyDescent="0.25">
      <c r="B432" s="26" t="s">
        <v>263</v>
      </c>
      <c r="C432" s="1">
        <v>423</v>
      </c>
      <c r="D432" s="27" t="s">
        <v>3031</v>
      </c>
      <c r="E432" s="27"/>
      <c r="F432" s="1" t="str">
        <f>IF(INDEX(I.Facility.IDNumber,423)="","",INDEX(I.Facility.IDNumber,423))</f>
        <v/>
      </c>
      <c r="G432" s="27"/>
      <c r="H432" s="1" t="str">
        <f>IF(AND(I.Facility.FacilityCount&gt;=423,F432=""),"Incomplete","Complete")</f>
        <v>Complete</v>
      </c>
      <c r="I432" s="48" t="s">
        <v>1053</v>
      </c>
    </row>
    <row r="433" spans="2:9" ht="15" customHeight="1" x14ac:dyDescent="0.25">
      <c r="B433" s="26" t="s">
        <v>263</v>
      </c>
      <c r="C433" s="1">
        <v>424</v>
      </c>
      <c r="D433" s="27" t="s">
        <v>3031</v>
      </c>
      <c r="E433" s="27"/>
      <c r="F433" s="1" t="str">
        <f>IF(INDEX(I.Facility.IDNumber,424)="","",INDEX(I.Facility.IDNumber,424))</f>
        <v/>
      </c>
      <c r="G433" s="27"/>
      <c r="H433" s="1" t="str">
        <f>IF(AND(I.Facility.FacilityCount&gt;=424,F433=""),"Incomplete","Complete")</f>
        <v>Complete</v>
      </c>
      <c r="I433" s="48" t="s">
        <v>1054</v>
      </c>
    </row>
    <row r="434" spans="2:9" ht="15" customHeight="1" x14ac:dyDescent="0.25">
      <c r="B434" s="26" t="s">
        <v>263</v>
      </c>
      <c r="C434" s="1">
        <v>425</v>
      </c>
      <c r="D434" s="27" t="s">
        <v>3031</v>
      </c>
      <c r="E434" s="27"/>
      <c r="F434" s="1" t="str">
        <f>IF(INDEX(I.Facility.IDNumber,425)="","",INDEX(I.Facility.IDNumber,425))</f>
        <v/>
      </c>
      <c r="G434" s="27"/>
      <c r="H434" s="1" t="str">
        <f>IF(AND(I.Facility.FacilityCount&gt;=425,F434=""),"Incomplete","Complete")</f>
        <v>Complete</v>
      </c>
      <c r="I434" s="48" t="s">
        <v>1055</v>
      </c>
    </row>
    <row r="435" spans="2:9" ht="15" customHeight="1" x14ac:dyDescent="0.25">
      <c r="B435" s="26" t="s">
        <v>263</v>
      </c>
      <c r="C435" s="1">
        <v>426</v>
      </c>
      <c r="D435" s="27" t="s">
        <v>3031</v>
      </c>
      <c r="E435" s="27"/>
      <c r="F435" s="1" t="str">
        <f>IF(INDEX(I.Facility.IDNumber,426)="","",INDEX(I.Facility.IDNumber,426))</f>
        <v/>
      </c>
      <c r="G435" s="27"/>
      <c r="H435" s="1" t="str">
        <f>IF(AND(I.Facility.FacilityCount&gt;=426,F435=""),"Incomplete","Complete")</f>
        <v>Complete</v>
      </c>
      <c r="I435" s="48" t="s">
        <v>1056</v>
      </c>
    </row>
    <row r="436" spans="2:9" ht="15" customHeight="1" x14ac:dyDescent="0.25">
      <c r="B436" s="26" t="s">
        <v>263</v>
      </c>
      <c r="C436" s="1">
        <v>427</v>
      </c>
      <c r="D436" s="27" t="s">
        <v>3031</v>
      </c>
      <c r="E436" s="27"/>
      <c r="F436" s="1" t="str">
        <f>IF(INDEX(I.Facility.IDNumber,427)="","",INDEX(I.Facility.IDNumber,427))</f>
        <v/>
      </c>
      <c r="G436" s="27"/>
      <c r="H436" s="1" t="str">
        <f>IF(AND(I.Facility.FacilityCount&gt;=427,F436=""),"Incomplete","Complete")</f>
        <v>Complete</v>
      </c>
      <c r="I436" s="48" t="s">
        <v>1057</v>
      </c>
    </row>
    <row r="437" spans="2:9" ht="15" customHeight="1" x14ac:dyDescent="0.25">
      <c r="B437" s="26" t="s">
        <v>263</v>
      </c>
      <c r="C437" s="1">
        <v>428</v>
      </c>
      <c r="D437" s="27" t="s">
        <v>3031</v>
      </c>
      <c r="E437" s="27"/>
      <c r="F437" s="1" t="str">
        <f>IF(INDEX(I.Facility.IDNumber,428)="","",INDEX(I.Facility.IDNumber,428))</f>
        <v/>
      </c>
      <c r="G437" s="27"/>
      <c r="H437" s="1" t="str">
        <f>IF(AND(I.Facility.FacilityCount&gt;=428,F437=""),"Incomplete","Complete")</f>
        <v>Complete</v>
      </c>
      <c r="I437" s="48" t="s">
        <v>1058</v>
      </c>
    </row>
    <row r="438" spans="2:9" ht="15" customHeight="1" x14ac:dyDescent="0.25">
      <c r="B438" s="26" t="s">
        <v>263</v>
      </c>
      <c r="C438" s="1">
        <v>429</v>
      </c>
      <c r="D438" s="27" t="s">
        <v>3031</v>
      </c>
      <c r="E438" s="27"/>
      <c r="F438" s="1" t="str">
        <f>IF(INDEX(I.Facility.IDNumber,429)="","",INDEX(I.Facility.IDNumber,429))</f>
        <v/>
      </c>
      <c r="G438" s="27"/>
      <c r="H438" s="1" t="str">
        <f>IF(AND(I.Facility.FacilityCount&gt;=429,F438=""),"Incomplete","Complete")</f>
        <v>Complete</v>
      </c>
      <c r="I438" s="48" t="s">
        <v>1059</v>
      </c>
    </row>
    <row r="439" spans="2:9" ht="15" customHeight="1" x14ac:dyDescent="0.25">
      <c r="B439" s="26" t="s">
        <v>263</v>
      </c>
      <c r="C439" s="1">
        <v>430</v>
      </c>
      <c r="D439" s="27" t="s">
        <v>3031</v>
      </c>
      <c r="E439" s="27"/>
      <c r="F439" s="1" t="str">
        <f>IF(INDEX(I.Facility.IDNumber,430)="","",INDEX(I.Facility.IDNumber,430))</f>
        <v/>
      </c>
      <c r="G439" s="27"/>
      <c r="H439" s="1" t="str">
        <f>IF(AND(I.Facility.FacilityCount&gt;=430,F439=""),"Incomplete","Complete")</f>
        <v>Complete</v>
      </c>
      <c r="I439" s="48" t="s">
        <v>1060</v>
      </c>
    </row>
    <row r="440" spans="2:9" ht="15" customHeight="1" x14ac:dyDescent="0.25">
      <c r="B440" s="26" t="s">
        <v>263</v>
      </c>
      <c r="C440" s="1">
        <v>431</v>
      </c>
      <c r="D440" s="27" t="s">
        <v>3031</v>
      </c>
      <c r="E440" s="27"/>
      <c r="F440" s="1" t="str">
        <f>IF(INDEX(I.Facility.IDNumber,431)="","",INDEX(I.Facility.IDNumber,431))</f>
        <v/>
      </c>
      <c r="G440" s="27"/>
      <c r="H440" s="1" t="str">
        <f>IF(AND(I.Facility.FacilityCount&gt;=431,F440=""),"Incomplete","Complete")</f>
        <v>Complete</v>
      </c>
      <c r="I440" s="48" t="s">
        <v>1061</v>
      </c>
    </row>
    <row r="441" spans="2:9" ht="15" customHeight="1" x14ac:dyDescent="0.25">
      <c r="B441" s="26" t="s">
        <v>263</v>
      </c>
      <c r="C441" s="1">
        <v>432</v>
      </c>
      <c r="D441" s="27" t="s">
        <v>3031</v>
      </c>
      <c r="E441" s="27"/>
      <c r="F441" s="1" t="str">
        <f>IF(INDEX(I.Facility.IDNumber,432)="","",INDEX(I.Facility.IDNumber,432))</f>
        <v/>
      </c>
      <c r="G441" s="27"/>
      <c r="H441" s="1" t="str">
        <f>IF(AND(I.Facility.FacilityCount&gt;=432,F441=""),"Incomplete","Complete")</f>
        <v>Complete</v>
      </c>
      <c r="I441" s="48" t="s">
        <v>1062</v>
      </c>
    </row>
    <row r="442" spans="2:9" ht="15" customHeight="1" x14ac:dyDescent="0.25">
      <c r="B442" s="26" t="s">
        <v>263</v>
      </c>
      <c r="C442" s="1">
        <v>433</v>
      </c>
      <c r="D442" s="27" t="s">
        <v>3031</v>
      </c>
      <c r="E442" s="27"/>
      <c r="F442" s="1" t="str">
        <f>IF(INDEX(I.Facility.IDNumber,433)="","",INDEX(I.Facility.IDNumber,433))</f>
        <v/>
      </c>
      <c r="G442" s="27"/>
      <c r="H442" s="1" t="str">
        <f>IF(AND(I.Facility.FacilityCount&gt;=433,F442=""),"Incomplete","Complete")</f>
        <v>Complete</v>
      </c>
      <c r="I442" s="48" t="s">
        <v>1063</v>
      </c>
    </row>
    <row r="443" spans="2:9" ht="15" customHeight="1" x14ac:dyDescent="0.25">
      <c r="B443" s="26" t="s">
        <v>263</v>
      </c>
      <c r="C443" s="1">
        <v>434</v>
      </c>
      <c r="D443" s="27" t="s">
        <v>3031</v>
      </c>
      <c r="E443" s="27"/>
      <c r="F443" s="1" t="str">
        <f>IF(INDEX(I.Facility.IDNumber,434)="","",INDEX(I.Facility.IDNumber,434))</f>
        <v/>
      </c>
      <c r="G443" s="27"/>
      <c r="H443" s="1" t="str">
        <f>IF(AND(I.Facility.FacilityCount&gt;=434,F443=""),"Incomplete","Complete")</f>
        <v>Complete</v>
      </c>
      <c r="I443" s="48" t="s">
        <v>1064</v>
      </c>
    </row>
    <row r="444" spans="2:9" ht="15" customHeight="1" x14ac:dyDescent="0.25">
      <c r="B444" s="26" t="s">
        <v>263</v>
      </c>
      <c r="C444" s="1">
        <v>435</v>
      </c>
      <c r="D444" s="27" t="s">
        <v>3031</v>
      </c>
      <c r="E444" s="27"/>
      <c r="F444" s="1" t="str">
        <f>IF(INDEX(I.Facility.IDNumber,435)="","",INDEX(I.Facility.IDNumber,435))</f>
        <v/>
      </c>
      <c r="G444" s="27"/>
      <c r="H444" s="1" t="str">
        <f>IF(AND(I.Facility.FacilityCount&gt;=435,F444=""),"Incomplete","Complete")</f>
        <v>Complete</v>
      </c>
      <c r="I444" s="48" t="s">
        <v>1065</v>
      </c>
    </row>
    <row r="445" spans="2:9" ht="15" customHeight="1" x14ac:dyDescent="0.25">
      <c r="B445" s="26" t="s">
        <v>263</v>
      </c>
      <c r="C445" s="1">
        <v>436</v>
      </c>
      <c r="D445" s="27" t="s">
        <v>3031</v>
      </c>
      <c r="E445" s="27"/>
      <c r="F445" s="1" t="str">
        <f>IF(INDEX(I.Facility.IDNumber,436)="","",INDEX(I.Facility.IDNumber,436))</f>
        <v/>
      </c>
      <c r="G445" s="27"/>
      <c r="H445" s="1" t="str">
        <f>IF(AND(I.Facility.FacilityCount&gt;=436,F445=""),"Incomplete","Complete")</f>
        <v>Complete</v>
      </c>
      <c r="I445" s="48" t="s">
        <v>1066</v>
      </c>
    </row>
    <row r="446" spans="2:9" ht="15" customHeight="1" x14ac:dyDescent="0.25">
      <c r="B446" s="26" t="s">
        <v>263</v>
      </c>
      <c r="C446" s="1">
        <v>437</v>
      </c>
      <c r="D446" s="27" t="s">
        <v>3031</v>
      </c>
      <c r="E446" s="27"/>
      <c r="F446" s="1" t="str">
        <f>IF(INDEX(I.Facility.IDNumber,437)="","",INDEX(I.Facility.IDNumber,437))</f>
        <v/>
      </c>
      <c r="G446" s="27"/>
      <c r="H446" s="1" t="str">
        <f>IF(AND(I.Facility.FacilityCount&gt;=437,F446=""),"Incomplete","Complete")</f>
        <v>Complete</v>
      </c>
      <c r="I446" s="48" t="s">
        <v>1067</v>
      </c>
    </row>
    <row r="447" spans="2:9" ht="15" customHeight="1" x14ac:dyDescent="0.25">
      <c r="B447" s="26" t="s">
        <v>263</v>
      </c>
      <c r="C447" s="1">
        <v>438</v>
      </c>
      <c r="D447" s="27" t="s">
        <v>3031</v>
      </c>
      <c r="E447" s="27"/>
      <c r="F447" s="1" t="str">
        <f>IF(INDEX(I.Facility.IDNumber,438)="","",INDEX(I.Facility.IDNumber,438))</f>
        <v/>
      </c>
      <c r="G447" s="27"/>
      <c r="H447" s="1" t="str">
        <f>IF(AND(I.Facility.FacilityCount&gt;=438,F447=""),"Incomplete","Complete")</f>
        <v>Complete</v>
      </c>
      <c r="I447" s="48" t="s">
        <v>1068</v>
      </c>
    </row>
    <row r="448" spans="2:9" ht="15" customHeight="1" x14ac:dyDescent="0.25">
      <c r="B448" s="26" t="s">
        <v>263</v>
      </c>
      <c r="C448" s="1">
        <v>439</v>
      </c>
      <c r="D448" s="27" t="s">
        <v>3031</v>
      </c>
      <c r="E448" s="27"/>
      <c r="F448" s="1" t="str">
        <f>IF(INDEX(I.Facility.IDNumber,439)="","",INDEX(I.Facility.IDNumber,439))</f>
        <v/>
      </c>
      <c r="G448" s="27"/>
      <c r="H448" s="1" t="str">
        <f>IF(AND(I.Facility.FacilityCount&gt;=439,F448=""),"Incomplete","Complete")</f>
        <v>Complete</v>
      </c>
      <c r="I448" s="48" t="s">
        <v>1069</v>
      </c>
    </row>
    <row r="449" spans="2:9" ht="15" customHeight="1" x14ac:dyDescent="0.25">
      <c r="B449" s="26" t="s">
        <v>263</v>
      </c>
      <c r="C449" s="1">
        <v>440</v>
      </c>
      <c r="D449" s="27" t="s">
        <v>3031</v>
      </c>
      <c r="E449" s="27"/>
      <c r="F449" s="1" t="str">
        <f>IF(INDEX(I.Facility.IDNumber,440)="","",INDEX(I.Facility.IDNumber,440))</f>
        <v/>
      </c>
      <c r="G449" s="27"/>
      <c r="H449" s="1" t="str">
        <f>IF(AND(I.Facility.FacilityCount&gt;=440,F449=""),"Incomplete","Complete")</f>
        <v>Complete</v>
      </c>
      <c r="I449" s="48" t="s">
        <v>1070</v>
      </c>
    </row>
    <row r="450" spans="2:9" ht="15" customHeight="1" x14ac:dyDescent="0.25">
      <c r="B450" s="26" t="s">
        <v>263</v>
      </c>
      <c r="C450" s="1">
        <v>441</v>
      </c>
      <c r="D450" s="27" t="s">
        <v>3031</v>
      </c>
      <c r="E450" s="27"/>
      <c r="F450" s="1" t="str">
        <f>IF(INDEX(I.Facility.IDNumber,441)="","",INDEX(I.Facility.IDNumber,441))</f>
        <v/>
      </c>
      <c r="G450" s="27"/>
      <c r="H450" s="1" t="str">
        <f>IF(AND(I.Facility.FacilityCount&gt;=441,F450=""),"Incomplete","Complete")</f>
        <v>Complete</v>
      </c>
      <c r="I450" s="48" t="s">
        <v>1071</v>
      </c>
    </row>
    <row r="451" spans="2:9" ht="15" customHeight="1" x14ac:dyDescent="0.25">
      <c r="B451" s="26" t="s">
        <v>263</v>
      </c>
      <c r="C451" s="1">
        <v>442</v>
      </c>
      <c r="D451" s="27" t="s">
        <v>3031</v>
      </c>
      <c r="E451" s="27"/>
      <c r="F451" s="1" t="str">
        <f>IF(INDEX(I.Facility.IDNumber,442)="","",INDEX(I.Facility.IDNumber,442))</f>
        <v/>
      </c>
      <c r="G451" s="27"/>
      <c r="H451" s="1" t="str">
        <f>IF(AND(I.Facility.FacilityCount&gt;=442,F451=""),"Incomplete","Complete")</f>
        <v>Complete</v>
      </c>
      <c r="I451" s="48" t="s">
        <v>1072</v>
      </c>
    </row>
    <row r="452" spans="2:9" ht="15" customHeight="1" x14ac:dyDescent="0.25">
      <c r="B452" s="26" t="s">
        <v>263</v>
      </c>
      <c r="C452" s="1">
        <v>443</v>
      </c>
      <c r="D452" s="27" t="s">
        <v>3031</v>
      </c>
      <c r="E452" s="27"/>
      <c r="F452" s="1" t="str">
        <f>IF(INDEX(I.Facility.IDNumber,443)="","",INDEX(I.Facility.IDNumber,443))</f>
        <v/>
      </c>
      <c r="G452" s="27"/>
      <c r="H452" s="1" t="str">
        <f>IF(AND(I.Facility.FacilityCount&gt;=443,F452=""),"Incomplete","Complete")</f>
        <v>Complete</v>
      </c>
      <c r="I452" s="48" t="s">
        <v>1073</v>
      </c>
    </row>
    <row r="453" spans="2:9" ht="15" customHeight="1" x14ac:dyDescent="0.25">
      <c r="B453" s="26" t="s">
        <v>263</v>
      </c>
      <c r="C453" s="1">
        <v>444</v>
      </c>
      <c r="D453" s="27" t="s">
        <v>3031</v>
      </c>
      <c r="E453" s="27"/>
      <c r="F453" s="1" t="str">
        <f>IF(INDEX(I.Facility.IDNumber,444)="","",INDEX(I.Facility.IDNumber,444))</f>
        <v/>
      </c>
      <c r="G453" s="27"/>
      <c r="H453" s="1" t="str">
        <f>IF(AND(I.Facility.FacilityCount&gt;=444,F453=""),"Incomplete","Complete")</f>
        <v>Complete</v>
      </c>
      <c r="I453" s="48" t="s">
        <v>1074</v>
      </c>
    </row>
    <row r="454" spans="2:9" ht="15" customHeight="1" x14ac:dyDescent="0.25">
      <c r="B454" s="26" t="s">
        <v>263</v>
      </c>
      <c r="C454" s="1">
        <v>445</v>
      </c>
      <c r="D454" s="27" t="s">
        <v>3031</v>
      </c>
      <c r="E454" s="27"/>
      <c r="F454" s="1" t="str">
        <f>IF(INDEX(I.Facility.IDNumber,445)="","",INDEX(I.Facility.IDNumber,445))</f>
        <v/>
      </c>
      <c r="G454" s="27"/>
      <c r="H454" s="1" t="str">
        <f>IF(AND(I.Facility.FacilityCount&gt;=445,F454=""),"Incomplete","Complete")</f>
        <v>Complete</v>
      </c>
      <c r="I454" s="48" t="s">
        <v>1075</v>
      </c>
    </row>
    <row r="455" spans="2:9" ht="15" customHeight="1" x14ac:dyDescent="0.25">
      <c r="B455" s="26" t="s">
        <v>263</v>
      </c>
      <c r="C455" s="1">
        <v>446</v>
      </c>
      <c r="D455" s="27" t="s">
        <v>3031</v>
      </c>
      <c r="E455" s="27"/>
      <c r="F455" s="1" t="str">
        <f>IF(INDEX(I.Facility.IDNumber,446)="","",INDEX(I.Facility.IDNumber,446))</f>
        <v/>
      </c>
      <c r="G455" s="27"/>
      <c r="H455" s="1" t="str">
        <f>IF(AND(I.Facility.FacilityCount&gt;=446,F455=""),"Incomplete","Complete")</f>
        <v>Complete</v>
      </c>
      <c r="I455" s="48" t="s">
        <v>1076</v>
      </c>
    </row>
    <row r="456" spans="2:9" ht="15" customHeight="1" x14ac:dyDescent="0.25">
      <c r="B456" s="26" t="s">
        <v>263</v>
      </c>
      <c r="C456" s="1">
        <v>447</v>
      </c>
      <c r="D456" s="27" t="s">
        <v>3031</v>
      </c>
      <c r="E456" s="27"/>
      <c r="F456" s="1" t="str">
        <f>IF(INDEX(I.Facility.IDNumber,447)="","",INDEX(I.Facility.IDNumber,447))</f>
        <v/>
      </c>
      <c r="G456" s="27"/>
      <c r="H456" s="1" t="str">
        <f>IF(AND(I.Facility.FacilityCount&gt;=447,F456=""),"Incomplete","Complete")</f>
        <v>Complete</v>
      </c>
      <c r="I456" s="48" t="s">
        <v>1077</v>
      </c>
    </row>
    <row r="457" spans="2:9" ht="15" customHeight="1" x14ac:dyDescent="0.25">
      <c r="B457" s="26" t="s">
        <v>263</v>
      </c>
      <c r="C457" s="1">
        <v>448</v>
      </c>
      <c r="D457" s="27" t="s">
        <v>3031</v>
      </c>
      <c r="E457" s="27"/>
      <c r="F457" s="1" t="str">
        <f>IF(INDEX(I.Facility.IDNumber,448)="","",INDEX(I.Facility.IDNumber,448))</f>
        <v/>
      </c>
      <c r="G457" s="27"/>
      <c r="H457" s="1" t="str">
        <f>IF(AND(I.Facility.FacilityCount&gt;=448,F457=""),"Incomplete","Complete")</f>
        <v>Complete</v>
      </c>
      <c r="I457" s="48" t="s">
        <v>1078</v>
      </c>
    </row>
    <row r="458" spans="2:9" ht="15" customHeight="1" x14ac:dyDescent="0.25">
      <c r="B458" s="26" t="s">
        <v>263</v>
      </c>
      <c r="C458" s="1">
        <v>449</v>
      </c>
      <c r="D458" s="27" t="s">
        <v>3031</v>
      </c>
      <c r="E458" s="27"/>
      <c r="F458" s="1" t="str">
        <f>IF(INDEX(I.Facility.IDNumber,449)="","",INDEX(I.Facility.IDNumber,449))</f>
        <v/>
      </c>
      <c r="G458" s="27"/>
      <c r="H458" s="1" t="str">
        <f>IF(AND(I.Facility.FacilityCount&gt;=449,F458=""),"Incomplete","Complete")</f>
        <v>Complete</v>
      </c>
      <c r="I458" s="48" t="s">
        <v>1079</v>
      </c>
    </row>
    <row r="459" spans="2:9" ht="15" customHeight="1" x14ac:dyDescent="0.25">
      <c r="B459" s="26" t="s">
        <v>263</v>
      </c>
      <c r="C459" s="1">
        <v>450</v>
      </c>
      <c r="D459" s="27" t="s">
        <v>3031</v>
      </c>
      <c r="E459" s="27"/>
      <c r="F459" s="1" t="str">
        <f>IF(INDEX(I.Facility.IDNumber,450)="","",INDEX(I.Facility.IDNumber,450))</f>
        <v/>
      </c>
      <c r="G459" s="27"/>
      <c r="H459" s="1" t="str">
        <f>IF(AND(I.Facility.FacilityCount&gt;=450,F459=""),"Incomplete","Complete")</f>
        <v>Complete</v>
      </c>
      <c r="I459" s="48" t="s">
        <v>1080</v>
      </c>
    </row>
    <row r="460" spans="2:9" ht="15" customHeight="1" x14ac:dyDescent="0.25">
      <c r="B460" s="26" t="s">
        <v>263</v>
      </c>
      <c r="C460" s="1">
        <v>451</v>
      </c>
      <c r="D460" s="27" t="s">
        <v>3031</v>
      </c>
      <c r="E460" s="27"/>
      <c r="F460" s="1" t="str">
        <f>IF(INDEX(I.Facility.IDNumber,451)="","",INDEX(I.Facility.IDNumber,451))</f>
        <v/>
      </c>
      <c r="G460" s="27"/>
      <c r="H460" s="1" t="str">
        <f>IF(AND(I.Facility.FacilityCount&gt;=451,F460=""),"Incomplete","Complete")</f>
        <v>Complete</v>
      </c>
      <c r="I460" s="48" t="s">
        <v>1081</v>
      </c>
    </row>
    <row r="461" spans="2:9" ht="15" customHeight="1" x14ac:dyDescent="0.25">
      <c r="B461" s="26" t="s">
        <v>263</v>
      </c>
      <c r="C461" s="1">
        <v>452</v>
      </c>
      <c r="D461" s="27" t="s">
        <v>3031</v>
      </c>
      <c r="E461" s="27"/>
      <c r="F461" s="1" t="str">
        <f>IF(INDEX(I.Facility.IDNumber,452)="","",INDEX(I.Facility.IDNumber,452))</f>
        <v/>
      </c>
      <c r="G461" s="27"/>
      <c r="H461" s="1" t="str">
        <f>IF(AND(I.Facility.FacilityCount&gt;=452,F461=""),"Incomplete","Complete")</f>
        <v>Complete</v>
      </c>
      <c r="I461" s="48" t="s">
        <v>1082</v>
      </c>
    </row>
    <row r="462" spans="2:9" ht="15" customHeight="1" x14ac:dyDescent="0.25">
      <c r="B462" s="26" t="s">
        <v>263</v>
      </c>
      <c r="C462" s="1">
        <v>453</v>
      </c>
      <c r="D462" s="27" t="s">
        <v>3031</v>
      </c>
      <c r="E462" s="27"/>
      <c r="F462" s="1" t="str">
        <f>IF(INDEX(I.Facility.IDNumber,453)="","",INDEX(I.Facility.IDNumber,453))</f>
        <v/>
      </c>
      <c r="G462" s="27"/>
      <c r="H462" s="1" t="str">
        <f>IF(AND(I.Facility.FacilityCount&gt;=453,F462=""),"Incomplete","Complete")</f>
        <v>Complete</v>
      </c>
      <c r="I462" s="48" t="s">
        <v>1083</v>
      </c>
    </row>
    <row r="463" spans="2:9" ht="15" customHeight="1" x14ac:dyDescent="0.25">
      <c r="B463" s="26" t="s">
        <v>263</v>
      </c>
      <c r="C463" s="1">
        <v>454</v>
      </c>
      <c r="D463" s="27" t="s">
        <v>3031</v>
      </c>
      <c r="E463" s="27"/>
      <c r="F463" s="1" t="str">
        <f>IF(INDEX(I.Facility.IDNumber,454)="","",INDEX(I.Facility.IDNumber,454))</f>
        <v/>
      </c>
      <c r="G463" s="27"/>
      <c r="H463" s="1" t="str">
        <f>IF(AND(I.Facility.FacilityCount&gt;=454,F463=""),"Incomplete","Complete")</f>
        <v>Complete</v>
      </c>
      <c r="I463" s="48" t="s">
        <v>1084</v>
      </c>
    </row>
    <row r="464" spans="2:9" ht="15" customHeight="1" x14ac:dyDescent="0.25">
      <c r="B464" s="26" t="s">
        <v>263</v>
      </c>
      <c r="C464" s="1">
        <v>455</v>
      </c>
      <c r="D464" s="27" t="s">
        <v>3031</v>
      </c>
      <c r="E464" s="27"/>
      <c r="F464" s="1" t="str">
        <f>IF(INDEX(I.Facility.IDNumber,455)="","",INDEX(I.Facility.IDNumber,455))</f>
        <v/>
      </c>
      <c r="G464" s="27"/>
      <c r="H464" s="1" t="str">
        <f>IF(AND(I.Facility.FacilityCount&gt;=455,F464=""),"Incomplete","Complete")</f>
        <v>Complete</v>
      </c>
      <c r="I464" s="48" t="s">
        <v>1085</v>
      </c>
    </row>
    <row r="465" spans="2:9" ht="15" customHeight="1" x14ac:dyDescent="0.25">
      <c r="B465" s="26" t="s">
        <v>263</v>
      </c>
      <c r="C465" s="1">
        <v>456</v>
      </c>
      <c r="D465" s="27" t="s">
        <v>3031</v>
      </c>
      <c r="E465" s="27"/>
      <c r="F465" s="1" t="str">
        <f>IF(INDEX(I.Facility.IDNumber,456)="","",INDEX(I.Facility.IDNumber,456))</f>
        <v/>
      </c>
      <c r="G465" s="27"/>
      <c r="H465" s="1" t="str">
        <f>IF(AND(I.Facility.FacilityCount&gt;=456,F465=""),"Incomplete","Complete")</f>
        <v>Complete</v>
      </c>
      <c r="I465" s="48" t="s">
        <v>1086</v>
      </c>
    </row>
    <row r="466" spans="2:9" ht="15" customHeight="1" x14ac:dyDescent="0.25">
      <c r="B466" s="26" t="s">
        <v>263</v>
      </c>
      <c r="C466" s="1">
        <v>457</v>
      </c>
      <c r="D466" s="27" t="s">
        <v>3031</v>
      </c>
      <c r="E466" s="27"/>
      <c r="F466" s="1" t="str">
        <f>IF(INDEX(I.Facility.IDNumber,457)="","",INDEX(I.Facility.IDNumber,457))</f>
        <v/>
      </c>
      <c r="G466" s="27"/>
      <c r="H466" s="1" t="str">
        <f>IF(AND(I.Facility.FacilityCount&gt;=457,F466=""),"Incomplete","Complete")</f>
        <v>Complete</v>
      </c>
      <c r="I466" s="48" t="s">
        <v>1087</v>
      </c>
    </row>
    <row r="467" spans="2:9" ht="15" customHeight="1" x14ac:dyDescent="0.25">
      <c r="B467" s="26" t="s">
        <v>263</v>
      </c>
      <c r="C467" s="1">
        <v>458</v>
      </c>
      <c r="D467" s="27" t="s">
        <v>3031</v>
      </c>
      <c r="E467" s="27"/>
      <c r="F467" s="1" t="str">
        <f>IF(INDEX(I.Facility.IDNumber,458)="","",INDEX(I.Facility.IDNumber,458))</f>
        <v/>
      </c>
      <c r="G467" s="27"/>
      <c r="H467" s="1" t="str">
        <f>IF(AND(I.Facility.FacilityCount&gt;=458,F467=""),"Incomplete","Complete")</f>
        <v>Complete</v>
      </c>
      <c r="I467" s="48" t="s">
        <v>1088</v>
      </c>
    </row>
    <row r="468" spans="2:9" ht="15" customHeight="1" x14ac:dyDescent="0.25">
      <c r="B468" s="26" t="s">
        <v>263</v>
      </c>
      <c r="C468" s="1">
        <v>459</v>
      </c>
      <c r="D468" s="27" t="s">
        <v>3031</v>
      </c>
      <c r="E468" s="27"/>
      <c r="F468" s="1" t="str">
        <f>IF(INDEX(I.Facility.IDNumber,459)="","",INDEX(I.Facility.IDNumber,459))</f>
        <v/>
      </c>
      <c r="G468" s="27"/>
      <c r="H468" s="1" t="str">
        <f>IF(AND(I.Facility.FacilityCount&gt;=459,F468=""),"Incomplete","Complete")</f>
        <v>Complete</v>
      </c>
      <c r="I468" s="48" t="s">
        <v>1089</v>
      </c>
    </row>
    <row r="469" spans="2:9" ht="15" customHeight="1" x14ac:dyDescent="0.25">
      <c r="B469" s="26" t="s">
        <v>263</v>
      </c>
      <c r="C469" s="1">
        <v>460</v>
      </c>
      <c r="D469" s="27" t="s">
        <v>3031</v>
      </c>
      <c r="E469" s="27"/>
      <c r="F469" s="1" t="str">
        <f>IF(INDEX(I.Facility.IDNumber,460)="","",INDEX(I.Facility.IDNumber,460))</f>
        <v/>
      </c>
      <c r="G469" s="27"/>
      <c r="H469" s="1" t="str">
        <f>IF(AND(I.Facility.FacilityCount&gt;=460,F469=""),"Incomplete","Complete")</f>
        <v>Complete</v>
      </c>
      <c r="I469" s="48" t="s">
        <v>1090</v>
      </c>
    </row>
    <row r="470" spans="2:9" ht="15" customHeight="1" x14ac:dyDescent="0.25">
      <c r="B470" s="26" t="s">
        <v>263</v>
      </c>
      <c r="C470" s="1">
        <v>461</v>
      </c>
      <c r="D470" s="27" t="s">
        <v>3031</v>
      </c>
      <c r="E470" s="27"/>
      <c r="F470" s="1" t="str">
        <f>IF(INDEX(I.Facility.IDNumber,461)="","",INDEX(I.Facility.IDNumber,461))</f>
        <v/>
      </c>
      <c r="G470" s="27"/>
      <c r="H470" s="1" t="str">
        <f>IF(AND(I.Facility.FacilityCount&gt;=461,F470=""),"Incomplete","Complete")</f>
        <v>Complete</v>
      </c>
      <c r="I470" s="48" t="s">
        <v>1091</v>
      </c>
    </row>
    <row r="471" spans="2:9" ht="15" customHeight="1" x14ac:dyDescent="0.25">
      <c r="B471" s="26" t="s">
        <v>263</v>
      </c>
      <c r="C471" s="1">
        <v>462</v>
      </c>
      <c r="D471" s="27" t="s">
        <v>3031</v>
      </c>
      <c r="E471" s="27"/>
      <c r="F471" s="1" t="str">
        <f>IF(INDEX(I.Facility.IDNumber,462)="","",INDEX(I.Facility.IDNumber,462))</f>
        <v/>
      </c>
      <c r="G471" s="27"/>
      <c r="H471" s="1" t="str">
        <f>IF(AND(I.Facility.FacilityCount&gt;=462,F471=""),"Incomplete","Complete")</f>
        <v>Complete</v>
      </c>
      <c r="I471" s="48" t="s">
        <v>1092</v>
      </c>
    </row>
    <row r="472" spans="2:9" ht="15" customHeight="1" x14ac:dyDescent="0.25">
      <c r="B472" s="26" t="s">
        <v>263</v>
      </c>
      <c r="C472" s="1">
        <v>463</v>
      </c>
      <c r="D472" s="27" t="s">
        <v>3031</v>
      </c>
      <c r="E472" s="27"/>
      <c r="F472" s="1" t="str">
        <f>IF(INDEX(I.Facility.IDNumber,463)="","",INDEX(I.Facility.IDNumber,463))</f>
        <v/>
      </c>
      <c r="G472" s="27"/>
      <c r="H472" s="1" t="str">
        <f>IF(AND(I.Facility.FacilityCount&gt;=463,F472=""),"Incomplete","Complete")</f>
        <v>Complete</v>
      </c>
      <c r="I472" s="48" t="s">
        <v>1093</v>
      </c>
    </row>
    <row r="473" spans="2:9" ht="15" customHeight="1" x14ac:dyDescent="0.25">
      <c r="B473" s="26" t="s">
        <v>263</v>
      </c>
      <c r="C473" s="1">
        <v>464</v>
      </c>
      <c r="D473" s="27" t="s">
        <v>3031</v>
      </c>
      <c r="E473" s="27"/>
      <c r="F473" s="1" t="str">
        <f>IF(INDEX(I.Facility.IDNumber,464)="","",INDEX(I.Facility.IDNumber,464))</f>
        <v/>
      </c>
      <c r="G473" s="27"/>
      <c r="H473" s="1" t="str">
        <f>IF(AND(I.Facility.FacilityCount&gt;=464,F473=""),"Incomplete","Complete")</f>
        <v>Complete</v>
      </c>
      <c r="I473" s="48" t="s">
        <v>1094</v>
      </c>
    </row>
    <row r="474" spans="2:9" ht="15" customHeight="1" x14ac:dyDescent="0.25">
      <c r="B474" s="26" t="s">
        <v>263</v>
      </c>
      <c r="C474" s="1">
        <v>465</v>
      </c>
      <c r="D474" s="27" t="s">
        <v>3031</v>
      </c>
      <c r="E474" s="27"/>
      <c r="F474" s="1" t="str">
        <f>IF(INDEX(I.Facility.IDNumber,465)="","",INDEX(I.Facility.IDNumber,465))</f>
        <v/>
      </c>
      <c r="G474" s="27"/>
      <c r="H474" s="1" t="str">
        <f>IF(AND(I.Facility.FacilityCount&gt;=465,F474=""),"Incomplete","Complete")</f>
        <v>Complete</v>
      </c>
      <c r="I474" s="48" t="s">
        <v>1095</v>
      </c>
    </row>
    <row r="475" spans="2:9" ht="15" customHeight="1" x14ac:dyDescent="0.25">
      <c r="B475" s="26" t="s">
        <v>263</v>
      </c>
      <c r="C475" s="1">
        <v>466</v>
      </c>
      <c r="D475" s="27" t="s">
        <v>3031</v>
      </c>
      <c r="E475" s="27"/>
      <c r="F475" s="1" t="str">
        <f>IF(INDEX(I.Facility.IDNumber,466)="","",INDEX(I.Facility.IDNumber,466))</f>
        <v/>
      </c>
      <c r="G475" s="27"/>
      <c r="H475" s="1" t="str">
        <f>IF(AND(I.Facility.FacilityCount&gt;=466,F475=""),"Incomplete","Complete")</f>
        <v>Complete</v>
      </c>
      <c r="I475" s="48" t="s">
        <v>1096</v>
      </c>
    </row>
    <row r="476" spans="2:9" ht="15" customHeight="1" x14ac:dyDescent="0.25">
      <c r="B476" s="26" t="s">
        <v>263</v>
      </c>
      <c r="C476" s="1">
        <v>467</v>
      </c>
      <c r="D476" s="27" t="s">
        <v>3031</v>
      </c>
      <c r="E476" s="27"/>
      <c r="F476" s="1" t="str">
        <f>IF(INDEX(I.Facility.IDNumber,467)="","",INDEX(I.Facility.IDNumber,467))</f>
        <v/>
      </c>
      <c r="G476" s="27"/>
      <c r="H476" s="1" t="str">
        <f>IF(AND(I.Facility.FacilityCount&gt;=467,F476=""),"Incomplete","Complete")</f>
        <v>Complete</v>
      </c>
      <c r="I476" s="48" t="s">
        <v>1097</v>
      </c>
    </row>
    <row r="477" spans="2:9" ht="15" customHeight="1" x14ac:dyDescent="0.25">
      <c r="B477" s="26" t="s">
        <v>263</v>
      </c>
      <c r="C477" s="1">
        <v>468</v>
      </c>
      <c r="D477" s="27" t="s">
        <v>3031</v>
      </c>
      <c r="E477" s="27"/>
      <c r="F477" s="1" t="str">
        <f>IF(INDEX(I.Facility.IDNumber,468)="","",INDEX(I.Facility.IDNumber,468))</f>
        <v/>
      </c>
      <c r="G477" s="27"/>
      <c r="H477" s="1" t="str">
        <f>IF(AND(I.Facility.FacilityCount&gt;=468,F477=""),"Incomplete","Complete")</f>
        <v>Complete</v>
      </c>
      <c r="I477" s="48" t="s">
        <v>1098</v>
      </c>
    </row>
    <row r="478" spans="2:9" ht="15" customHeight="1" x14ac:dyDescent="0.25">
      <c r="B478" s="26" t="s">
        <v>263</v>
      </c>
      <c r="C478" s="1">
        <v>469</v>
      </c>
      <c r="D478" s="27" t="s">
        <v>3031</v>
      </c>
      <c r="E478" s="27"/>
      <c r="F478" s="1" t="str">
        <f>IF(INDEX(I.Facility.IDNumber,469)="","",INDEX(I.Facility.IDNumber,469))</f>
        <v/>
      </c>
      <c r="G478" s="27"/>
      <c r="H478" s="1" t="str">
        <f>IF(AND(I.Facility.FacilityCount&gt;=469,F478=""),"Incomplete","Complete")</f>
        <v>Complete</v>
      </c>
      <c r="I478" s="48" t="s">
        <v>1099</v>
      </c>
    </row>
    <row r="479" spans="2:9" ht="15" customHeight="1" x14ac:dyDescent="0.25">
      <c r="B479" s="26" t="s">
        <v>263</v>
      </c>
      <c r="C479" s="1">
        <v>470</v>
      </c>
      <c r="D479" s="27" t="s">
        <v>3031</v>
      </c>
      <c r="E479" s="27"/>
      <c r="F479" s="1" t="str">
        <f>IF(INDEX(I.Facility.IDNumber,470)="","",INDEX(I.Facility.IDNumber,470))</f>
        <v/>
      </c>
      <c r="G479" s="27"/>
      <c r="H479" s="1" t="str">
        <f>IF(AND(I.Facility.FacilityCount&gt;=470,F479=""),"Incomplete","Complete")</f>
        <v>Complete</v>
      </c>
      <c r="I479" s="48" t="s">
        <v>1100</v>
      </c>
    </row>
    <row r="480" spans="2:9" ht="15" customHeight="1" x14ac:dyDescent="0.25">
      <c r="B480" s="26" t="s">
        <v>263</v>
      </c>
      <c r="C480" s="1">
        <v>471</v>
      </c>
      <c r="D480" s="27" t="s">
        <v>3031</v>
      </c>
      <c r="E480" s="27"/>
      <c r="F480" s="1" t="str">
        <f>IF(INDEX(I.Facility.IDNumber,471)="","",INDEX(I.Facility.IDNumber,471))</f>
        <v/>
      </c>
      <c r="G480" s="27"/>
      <c r="H480" s="1" t="str">
        <f>IF(AND(I.Facility.FacilityCount&gt;=471,F480=""),"Incomplete","Complete")</f>
        <v>Complete</v>
      </c>
      <c r="I480" s="48" t="s">
        <v>1101</v>
      </c>
    </row>
    <row r="481" spans="2:9" ht="15" customHeight="1" x14ac:dyDescent="0.25">
      <c r="B481" s="26" t="s">
        <v>263</v>
      </c>
      <c r="C481" s="1">
        <v>472</v>
      </c>
      <c r="D481" s="27" t="s">
        <v>3031</v>
      </c>
      <c r="E481" s="27"/>
      <c r="F481" s="1" t="str">
        <f>IF(INDEX(I.Facility.IDNumber,472)="","",INDEX(I.Facility.IDNumber,472))</f>
        <v/>
      </c>
      <c r="G481" s="27"/>
      <c r="H481" s="1" t="str">
        <f>IF(AND(I.Facility.FacilityCount&gt;=472,F481=""),"Incomplete","Complete")</f>
        <v>Complete</v>
      </c>
      <c r="I481" s="48" t="s">
        <v>1102</v>
      </c>
    </row>
    <row r="482" spans="2:9" ht="15" customHeight="1" x14ac:dyDescent="0.25">
      <c r="B482" s="26" t="s">
        <v>263</v>
      </c>
      <c r="C482" s="1">
        <v>473</v>
      </c>
      <c r="D482" s="27" t="s">
        <v>3031</v>
      </c>
      <c r="E482" s="27"/>
      <c r="F482" s="1" t="str">
        <f>IF(INDEX(I.Facility.IDNumber,473)="","",INDEX(I.Facility.IDNumber,473))</f>
        <v/>
      </c>
      <c r="G482" s="27"/>
      <c r="H482" s="1" t="str">
        <f>IF(AND(I.Facility.FacilityCount&gt;=473,F482=""),"Incomplete","Complete")</f>
        <v>Complete</v>
      </c>
      <c r="I482" s="48" t="s">
        <v>1103</v>
      </c>
    </row>
    <row r="483" spans="2:9" ht="15" customHeight="1" x14ac:dyDescent="0.25">
      <c r="B483" s="26" t="s">
        <v>263</v>
      </c>
      <c r="C483" s="1">
        <v>474</v>
      </c>
      <c r="D483" s="27" t="s">
        <v>3031</v>
      </c>
      <c r="E483" s="27"/>
      <c r="F483" s="1" t="str">
        <f>IF(INDEX(I.Facility.IDNumber,474)="","",INDEX(I.Facility.IDNumber,474))</f>
        <v/>
      </c>
      <c r="G483" s="27"/>
      <c r="H483" s="1" t="str">
        <f>IF(AND(I.Facility.FacilityCount&gt;=474,F483=""),"Incomplete","Complete")</f>
        <v>Complete</v>
      </c>
      <c r="I483" s="48" t="s">
        <v>1104</v>
      </c>
    </row>
    <row r="484" spans="2:9" ht="15" customHeight="1" x14ac:dyDescent="0.25">
      <c r="B484" s="26" t="s">
        <v>263</v>
      </c>
      <c r="C484" s="1">
        <v>475</v>
      </c>
      <c r="D484" s="27" t="s">
        <v>3031</v>
      </c>
      <c r="E484" s="27"/>
      <c r="F484" s="1" t="str">
        <f>IF(INDEX(I.Facility.IDNumber,475)="","",INDEX(I.Facility.IDNumber,475))</f>
        <v/>
      </c>
      <c r="G484" s="27"/>
      <c r="H484" s="1" t="str">
        <f>IF(AND(I.Facility.FacilityCount&gt;=475,F484=""),"Incomplete","Complete")</f>
        <v>Complete</v>
      </c>
      <c r="I484" s="48" t="s">
        <v>1105</v>
      </c>
    </row>
    <row r="485" spans="2:9" ht="15" customHeight="1" x14ac:dyDescent="0.25">
      <c r="B485" s="26" t="s">
        <v>263</v>
      </c>
      <c r="C485" s="1">
        <v>476</v>
      </c>
      <c r="D485" s="27" t="s">
        <v>3031</v>
      </c>
      <c r="E485" s="27"/>
      <c r="F485" s="1" t="str">
        <f>IF(INDEX(I.Facility.IDNumber,476)="","",INDEX(I.Facility.IDNumber,476))</f>
        <v/>
      </c>
      <c r="G485" s="27"/>
      <c r="H485" s="1" t="str">
        <f>IF(AND(I.Facility.FacilityCount&gt;=476,F485=""),"Incomplete","Complete")</f>
        <v>Complete</v>
      </c>
      <c r="I485" s="48" t="s">
        <v>1106</v>
      </c>
    </row>
    <row r="486" spans="2:9" ht="15" customHeight="1" x14ac:dyDescent="0.25">
      <c r="B486" s="26" t="s">
        <v>263</v>
      </c>
      <c r="C486" s="1">
        <v>477</v>
      </c>
      <c r="D486" s="27" t="s">
        <v>3031</v>
      </c>
      <c r="E486" s="27"/>
      <c r="F486" s="1" t="str">
        <f>IF(INDEX(I.Facility.IDNumber,477)="","",INDEX(I.Facility.IDNumber,477))</f>
        <v/>
      </c>
      <c r="G486" s="27"/>
      <c r="H486" s="1" t="str">
        <f>IF(AND(I.Facility.FacilityCount&gt;=477,F486=""),"Incomplete","Complete")</f>
        <v>Complete</v>
      </c>
      <c r="I486" s="48" t="s">
        <v>1107</v>
      </c>
    </row>
    <row r="487" spans="2:9" ht="15" customHeight="1" x14ac:dyDescent="0.25">
      <c r="B487" s="26" t="s">
        <v>263</v>
      </c>
      <c r="C487" s="1">
        <v>478</v>
      </c>
      <c r="D487" s="27" t="s">
        <v>3031</v>
      </c>
      <c r="E487" s="27"/>
      <c r="F487" s="1" t="str">
        <f>IF(INDEX(I.Facility.IDNumber,478)="","",INDEX(I.Facility.IDNumber,478))</f>
        <v/>
      </c>
      <c r="G487" s="27"/>
      <c r="H487" s="1" t="str">
        <f>IF(AND(I.Facility.FacilityCount&gt;=478,F487=""),"Incomplete","Complete")</f>
        <v>Complete</v>
      </c>
      <c r="I487" s="48" t="s">
        <v>1108</v>
      </c>
    </row>
    <row r="488" spans="2:9" ht="15" customHeight="1" x14ac:dyDescent="0.25">
      <c r="B488" s="26" t="s">
        <v>263</v>
      </c>
      <c r="C488" s="1">
        <v>479</v>
      </c>
      <c r="D488" s="27" t="s">
        <v>3031</v>
      </c>
      <c r="E488" s="27"/>
      <c r="F488" s="1" t="str">
        <f>IF(INDEX(I.Facility.IDNumber,479)="","",INDEX(I.Facility.IDNumber,479))</f>
        <v/>
      </c>
      <c r="G488" s="27"/>
      <c r="H488" s="1" t="str">
        <f>IF(AND(I.Facility.FacilityCount&gt;=479,F488=""),"Incomplete","Complete")</f>
        <v>Complete</v>
      </c>
      <c r="I488" s="48" t="s">
        <v>1109</v>
      </c>
    </row>
    <row r="489" spans="2:9" ht="15" customHeight="1" x14ac:dyDescent="0.25">
      <c r="B489" s="26" t="s">
        <v>263</v>
      </c>
      <c r="C489" s="1">
        <v>480</v>
      </c>
      <c r="D489" s="27" t="s">
        <v>3031</v>
      </c>
      <c r="E489" s="27"/>
      <c r="F489" s="1" t="str">
        <f>IF(INDEX(I.Facility.IDNumber,480)="","",INDEX(I.Facility.IDNumber,480))</f>
        <v/>
      </c>
      <c r="G489" s="27"/>
      <c r="H489" s="1" t="str">
        <f>IF(AND(I.Facility.FacilityCount&gt;=480,F489=""),"Incomplete","Complete")</f>
        <v>Complete</v>
      </c>
      <c r="I489" s="48" t="s">
        <v>1110</v>
      </c>
    </row>
    <row r="490" spans="2:9" ht="15" customHeight="1" x14ac:dyDescent="0.25">
      <c r="B490" s="26" t="s">
        <v>263</v>
      </c>
      <c r="C490" s="1">
        <v>481</v>
      </c>
      <c r="D490" s="27" t="s">
        <v>3031</v>
      </c>
      <c r="E490" s="27"/>
      <c r="F490" s="1" t="str">
        <f>IF(INDEX(I.Facility.IDNumber,481)="","",INDEX(I.Facility.IDNumber,481))</f>
        <v/>
      </c>
      <c r="G490" s="27"/>
      <c r="H490" s="1" t="str">
        <f>IF(AND(I.Facility.FacilityCount&gt;=481,F490=""),"Incomplete","Complete")</f>
        <v>Complete</v>
      </c>
      <c r="I490" s="48" t="s">
        <v>1111</v>
      </c>
    </row>
    <row r="491" spans="2:9" ht="15" customHeight="1" x14ac:dyDescent="0.25">
      <c r="B491" s="26" t="s">
        <v>263</v>
      </c>
      <c r="C491" s="1">
        <v>482</v>
      </c>
      <c r="D491" s="27" t="s">
        <v>3031</v>
      </c>
      <c r="E491" s="27"/>
      <c r="F491" s="1" t="str">
        <f>IF(INDEX(I.Facility.IDNumber,482)="","",INDEX(I.Facility.IDNumber,482))</f>
        <v/>
      </c>
      <c r="G491" s="27"/>
      <c r="H491" s="1" t="str">
        <f>IF(AND(I.Facility.FacilityCount&gt;=482,F491=""),"Incomplete","Complete")</f>
        <v>Complete</v>
      </c>
      <c r="I491" s="48" t="s">
        <v>1112</v>
      </c>
    </row>
    <row r="492" spans="2:9" ht="15" customHeight="1" x14ac:dyDescent="0.25">
      <c r="B492" s="26" t="s">
        <v>263</v>
      </c>
      <c r="C492" s="1">
        <v>483</v>
      </c>
      <c r="D492" s="27" t="s">
        <v>3031</v>
      </c>
      <c r="E492" s="27"/>
      <c r="F492" s="1" t="str">
        <f>IF(INDEX(I.Facility.IDNumber,483)="","",INDEX(I.Facility.IDNumber,483))</f>
        <v/>
      </c>
      <c r="G492" s="27"/>
      <c r="H492" s="1" t="str">
        <f>IF(AND(I.Facility.FacilityCount&gt;=483,F492=""),"Incomplete","Complete")</f>
        <v>Complete</v>
      </c>
      <c r="I492" s="48" t="s">
        <v>1113</v>
      </c>
    </row>
    <row r="493" spans="2:9" ht="15" customHeight="1" x14ac:dyDescent="0.25">
      <c r="B493" s="26" t="s">
        <v>263</v>
      </c>
      <c r="C493" s="1">
        <v>484</v>
      </c>
      <c r="D493" s="27" t="s">
        <v>3031</v>
      </c>
      <c r="E493" s="27"/>
      <c r="F493" s="1" t="str">
        <f>IF(INDEX(I.Facility.IDNumber,484)="","",INDEX(I.Facility.IDNumber,484))</f>
        <v/>
      </c>
      <c r="G493" s="27"/>
      <c r="H493" s="1" t="str">
        <f>IF(AND(I.Facility.FacilityCount&gt;=484,F493=""),"Incomplete","Complete")</f>
        <v>Complete</v>
      </c>
      <c r="I493" s="48" t="s">
        <v>1114</v>
      </c>
    </row>
    <row r="494" spans="2:9" ht="15" customHeight="1" x14ac:dyDescent="0.25">
      <c r="B494" s="26" t="s">
        <v>263</v>
      </c>
      <c r="C494" s="1">
        <v>485</v>
      </c>
      <c r="D494" s="27" t="s">
        <v>3031</v>
      </c>
      <c r="E494" s="27"/>
      <c r="F494" s="1" t="str">
        <f>IF(INDEX(I.Facility.IDNumber,485)="","",INDEX(I.Facility.IDNumber,485))</f>
        <v/>
      </c>
      <c r="G494" s="27"/>
      <c r="H494" s="1" t="str">
        <f>IF(AND(I.Facility.FacilityCount&gt;=485,F494=""),"Incomplete","Complete")</f>
        <v>Complete</v>
      </c>
      <c r="I494" s="48" t="s">
        <v>1115</v>
      </c>
    </row>
    <row r="495" spans="2:9" ht="15" customHeight="1" x14ac:dyDescent="0.25">
      <c r="B495" s="26" t="s">
        <v>263</v>
      </c>
      <c r="C495" s="1">
        <v>486</v>
      </c>
      <c r="D495" s="27" t="s">
        <v>3031</v>
      </c>
      <c r="E495" s="27"/>
      <c r="F495" s="1" t="str">
        <f>IF(INDEX(I.Facility.IDNumber,486)="","",INDEX(I.Facility.IDNumber,486))</f>
        <v/>
      </c>
      <c r="G495" s="27"/>
      <c r="H495" s="1" t="str">
        <f>IF(AND(I.Facility.FacilityCount&gt;=486,F495=""),"Incomplete","Complete")</f>
        <v>Complete</v>
      </c>
      <c r="I495" s="48" t="s">
        <v>1116</v>
      </c>
    </row>
    <row r="496" spans="2:9" ht="15" customHeight="1" x14ac:dyDescent="0.25">
      <c r="B496" s="26" t="s">
        <v>263</v>
      </c>
      <c r="C496" s="1">
        <v>487</v>
      </c>
      <c r="D496" s="27" t="s">
        <v>3031</v>
      </c>
      <c r="E496" s="27"/>
      <c r="F496" s="1" t="str">
        <f>IF(INDEX(I.Facility.IDNumber,487)="","",INDEX(I.Facility.IDNumber,487))</f>
        <v/>
      </c>
      <c r="G496" s="27"/>
      <c r="H496" s="1" t="str">
        <f>IF(AND(I.Facility.FacilityCount&gt;=487,F496=""),"Incomplete","Complete")</f>
        <v>Complete</v>
      </c>
      <c r="I496" s="48" t="s">
        <v>1117</v>
      </c>
    </row>
    <row r="497" spans="2:9" ht="15" customHeight="1" x14ac:dyDescent="0.25">
      <c r="B497" s="26" t="s">
        <v>263</v>
      </c>
      <c r="C497" s="1">
        <v>488</v>
      </c>
      <c r="D497" s="27" t="s">
        <v>3031</v>
      </c>
      <c r="E497" s="27"/>
      <c r="F497" s="1" t="str">
        <f>IF(INDEX(I.Facility.IDNumber,488)="","",INDEX(I.Facility.IDNumber,488))</f>
        <v/>
      </c>
      <c r="G497" s="27"/>
      <c r="H497" s="1" t="str">
        <f>IF(AND(I.Facility.FacilityCount&gt;=488,F497=""),"Incomplete","Complete")</f>
        <v>Complete</v>
      </c>
      <c r="I497" s="48" t="s">
        <v>1118</v>
      </c>
    </row>
    <row r="498" spans="2:9" ht="15" customHeight="1" x14ac:dyDescent="0.25">
      <c r="B498" s="26" t="s">
        <v>263</v>
      </c>
      <c r="C498" s="1">
        <v>489</v>
      </c>
      <c r="D498" s="27" t="s">
        <v>3031</v>
      </c>
      <c r="E498" s="27"/>
      <c r="F498" s="1" t="str">
        <f>IF(INDEX(I.Facility.IDNumber,489)="","",INDEX(I.Facility.IDNumber,489))</f>
        <v/>
      </c>
      <c r="G498" s="27"/>
      <c r="H498" s="1" t="str">
        <f>IF(AND(I.Facility.FacilityCount&gt;=489,F498=""),"Incomplete","Complete")</f>
        <v>Complete</v>
      </c>
      <c r="I498" s="48" t="s">
        <v>1119</v>
      </c>
    </row>
    <row r="499" spans="2:9" ht="15" customHeight="1" x14ac:dyDescent="0.25">
      <c r="B499" s="26" t="s">
        <v>263</v>
      </c>
      <c r="C499" s="1">
        <v>490</v>
      </c>
      <c r="D499" s="27" t="s">
        <v>3031</v>
      </c>
      <c r="E499" s="27"/>
      <c r="F499" s="1" t="str">
        <f>IF(INDEX(I.Facility.IDNumber,490)="","",INDEX(I.Facility.IDNumber,490))</f>
        <v/>
      </c>
      <c r="G499" s="27"/>
      <c r="H499" s="1" t="str">
        <f>IF(AND(I.Facility.FacilityCount&gt;=490,F499=""),"Incomplete","Complete")</f>
        <v>Complete</v>
      </c>
      <c r="I499" s="48" t="s">
        <v>1120</v>
      </c>
    </row>
    <row r="500" spans="2:9" ht="15" customHeight="1" x14ac:dyDescent="0.25">
      <c r="B500" s="26" t="s">
        <v>263</v>
      </c>
      <c r="C500" s="1">
        <v>491</v>
      </c>
      <c r="D500" s="27" t="s">
        <v>3031</v>
      </c>
      <c r="E500" s="27"/>
      <c r="F500" s="1" t="str">
        <f>IF(INDEX(I.Facility.IDNumber,491)="","",INDEX(I.Facility.IDNumber,491))</f>
        <v/>
      </c>
      <c r="G500" s="27"/>
      <c r="H500" s="1" t="str">
        <f>IF(AND(I.Facility.FacilityCount&gt;=491,F500=""),"Incomplete","Complete")</f>
        <v>Complete</v>
      </c>
      <c r="I500" s="48" t="s">
        <v>1121</v>
      </c>
    </row>
    <row r="501" spans="2:9" ht="15" customHeight="1" x14ac:dyDescent="0.25">
      <c r="B501" s="26" t="s">
        <v>263</v>
      </c>
      <c r="C501" s="1">
        <v>492</v>
      </c>
      <c r="D501" s="27" t="s">
        <v>3031</v>
      </c>
      <c r="E501" s="27"/>
      <c r="F501" s="1" t="str">
        <f>IF(INDEX(I.Facility.IDNumber,492)="","",INDEX(I.Facility.IDNumber,492))</f>
        <v/>
      </c>
      <c r="G501" s="27"/>
      <c r="H501" s="1" t="str">
        <f>IF(AND(I.Facility.FacilityCount&gt;=492,F501=""),"Incomplete","Complete")</f>
        <v>Complete</v>
      </c>
      <c r="I501" s="48" t="s">
        <v>1122</v>
      </c>
    </row>
    <row r="502" spans="2:9" ht="15" customHeight="1" x14ac:dyDescent="0.25">
      <c r="B502" s="26" t="s">
        <v>263</v>
      </c>
      <c r="C502" s="1">
        <v>493</v>
      </c>
      <c r="D502" s="27" t="s">
        <v>3031</v>
      </c>
      <c r="E502" s="27"/>
      <c r="F502" s="1" t="str">
        <f>IF(INDEX(I.Facility.IDNumber,493)="","",INDEX(I.Facility.IDNumber,493))</f>
        <v/>
      </c>
      <c r="G502" s="27"/>
      <c r="H502" s="1" t="str">
        <f>IF(AND(I.Facility.FacilityCount&gt;=493,F502=""),"Incomplete","Complete")</f>
        <v>Complete</v>
      </c>
      <c r="I502" s="48" t="s">
        <v>1123</v>
      </c>
    </row>
    <row r="503" spans="2:9" ht="15" customHeight="1" x14ac:dyDescent="0.25">
      <c r="B503" s="26" t="s">
        <v>263</v>
      </c>
      <c r="C503" s="1">
        <v>494</v>
      </c>
      <c r="D503" s="27" t="s">
        <v>3031</v>
      </c>
      <c r="E503" s="27"/>
      <c r="F503" s="1" t="str">
        <f>IF(INDEX(I.Facility.IDNumber,494)="","",INDEX(I.Facility.IDNumber,494))</f>
        <v/>
      </c>
      <c r="G503" s="27"/>
      <c r="H503" s="1" t="str">
        <f>IF(AND(I.Facility.FacilityCount&gt;=494,F503=""),"Incomplete","Complete")</f>
        <v>Complete</v>
      </c>
      <c r="I503" s="48" t="s">
        <v>1124</v>
      </c>
    </row>
    <row r="504" spans="2:9" ht="15" customHeight="1" x14ac:dyDescent="0.25">
      <c r="B504" s="26" t="s">
        <v>263</v>
      </c>
      <c r="C504" s="1">
        <v>495</v>
      </c>
      <c r="D504" s="27" t="s">
        <v>3031</v>
      </c>
      <c r="E504" s="27"/>
      <c r="F504" s="1" t="str">
        <f>IF(INDEX(I.Facility.IDNumber,495)="","",INDEX(I.Facility.IDNumber,495))</f>
        <v/>
      </c>
      <c r="G504" s="27"/>
      <c r="H504" s="1" t="str">
        <f>IF(AND(I.Facility.FacilityCount&gt;=495,F504=""),"Incomplete","Complete")</f>
        <v>Complete</v>
      </c>
      <c r="I504" s="48" t="s">
        <v>1125</v>
      </c>
    </row>
    <row r="505" spans="2:9" ht="15" customHeight="1" x14ac:dyDescent="0.25">
      <c r="B505" s="26" t="s">
        <v>263</v>
      </c>
      <c r="C505" s="1">
        <v>496</v>
      </c>
      <c r="D505" s="27" t="s">
        <v>3031</v>
      </c>
      <c r="E505" s="27"/>
      <c r="F505" s="1" t="str">
        <f>IF(INDEX(I.Facility.IDNumber,496)="","",INDEX(I.Facility.IDNumber,496))</f>
        <v/>
      </c>
      <c r="G505" s="27"/>
      <c r="H505" s="1" t="str">
        <f>IF(AND(I.Facility.FacilityCount&gt;=496,F505=""),"Incomplete","Complete")</f>
        <v>Complete</v>
      </c>
      <c r="I505" s="48" t="s">
        <v>1126</v>
      </c>
    </row>
    <row r="506" spans="2:9" ht="15" customHeight="1" x14ac:dyDescent="0.25">
      <c r="B506" s="26" t="s">
        <v>263</v>
      </c>
      <c r="C506" s="1">
        <v>497</v>
      </c>
      <c r="D506" s="27" t="s">
        <v>3031</v>
      </c>
      <c r="E506" s="27"/>
      <c r="F506" s="1" t="str">
        <f>IF(INDEX(I.Facility.IDNumber,497)="","",INDEX(I.Facility.IDNumber,497))</f>
        <v/>
      </c>
      <c r="G506" s="27"/>
      <c r="H506" s="1" t="str">
        <f>IF(AND(I.Facility.FacilityCount&gt;=497,F506=""),"Incomplete","Complete")</f>
        <v>Complete</v>
      </c>
      <c r="I506" s="48" t="s">
        <v>1127</v>
      </c>
    </row>
    <row r="507" spans="2:9" ht="15" customHeight="1" x14ac:dyDescent="0.25">
      <c r="B507" s="26" t="s">
        <v>263</v>
      </c>
      <c r="C507" s="1">
        <v>498</v>
      </c>
      <c r="D507" s="27" t="s">
        <v>3031</v>
      </c>
      <c r="E507" s="27"/>
      <c r="F507" s="1" t="str">
        <f>IF(INDEX(I.Facility.IDNumber,498)="","",INDEX(I.Facility.IDNumber,498))</f>
        <v/>
      </c>
      <c r="G507" s="27"/>
      <c r="H507" s="1" t="str">
        <f>IF(AND(I.Facility.FacilityCount&gt;=498,F507=""),"Incomplete","Complete")</f>
        <v>Complete</v>
      </c>
      <c r="I507" s="48" t="s">
        <v>1128</v>
      </c>
    </row>
    <row r="508" spans="2:9" ht="15" customHeight="1" x14ac:dyDescent="0.25">
      <c r="B508" s="26" t="s">
        <v>263</v>
      </c>
      <c r="C508" s="1">
        <v>499</v>
      </c>
      <c r="D508" s="27" t="s">
        <v>3031</v>
      </c>
      <c r="E508" s="27"/>
      <c r="F508" s="1" t="str">
        <f>IF(INDEX(I.Facility.IDNumber,499)="","",INDEX(I.Facility.IDNumber,499))</f>
        <v/>
      </c>
      <c r="G508" s="27"/>
      <c r="H508" s="1" t="str">
        <f>IF(AND(I.Facility.FacilityCount&gt;=499,F508=""),"Incomplete","Complete")</f>
        <v>Complete</v>
      </c>
      <c r="I508" s="48" t="s">
        <v>1129</v>
      </c>
    </row>
    <row r="509" spans="2:9" ht="15" customHeight="1" x14ac:dyDescent="0.25">
      <c r="B509" s="34" t="s">
        <v>263</v>
      </c>
      <c r="C509" s="35">
        <v>500</v>
      </c>
      <c r="D509" s="46" t="s">
        <v>3031</v>
      </c>
      <c r="E509" s="46"/>
      <c r="F509" s="35" t="str">
        <f>IF(INDEX(I.Facility.IDNumber,500)="","",INDEX(I.Facility.IDNumber,500))</f>
        <v/>
      </c>
      <c r="G509" s="46"/>
      <c r="H509" s="35" t="str">
        <f>IF(AND(I.Facility.FacilityCount&gt;=500,F509=""),"Incomplete","Complete")</f>
        <v>Complete</v>
      </c>
      <c r="I509" s="49" t="s">
        <v>1130</v>
      </c>
    </row>
    <row r="510" spans="2:9" ht="15" customHeight="1" x14ac:dyDescent="0.25">
      <c r="B510" s="26" t="s">
        <v>264</v>
      </c>
      <c r="C510" s="1">
        <v>1</v>
      </c>
      <c r="D510" s="27" t="s">
        <v>3032</v>
      </c>
      <c r="E510" s="27"/>
      <c r="F510" s="1" t="str">
        <f>IF(INDEX(I.Product.P1Name,1)="","",INDEX(I.Product.P1Name,1))</f>
        <v/>
      </c>
      <c r="G510" s="27"/>
      <c r="H510" s="1" t="str">
        <f>IF(AND(I.Facility.ProductCount&gt;=1,I.Product.P1Name=""),"Incomplete","Complete")</f>
        <v>Incomplete</v>
      </c>
      <c r="I510" s="48" t="s">
        <v>1347</v>
      </c>
    </row>
    <row r="511" spans="2:9" ht="15" customHeight="1" x14ac:dyDescent="0.25">
      <c r="B511" s="26" t="s">
        <v>265</v>
      </c>
      <c r="C511" s="1">
        <v>1</v>
      </c>
      <c r="D511" s="27" t="s">
        <v>3033</v>
      </c>
      <c r="E511" s="27"/>
      <c r="F511" s="1" t="str">
        <f>IF(INDEX(I.Product.P1Sector,1)="","",INDEX(I.Product.P1Sector,1))</f>
        <v/>
      </c>
      <c r="G511" s="27"/>
      <c r="H511" s="1" t="str">
        <f>IF(AND(I.Facility.ProductCount&gt;=1,I.Product.P1Sector=""),"Incomplete","Complete")</f>
        <v>Incomplete</v>
      </c>
      <c r="I511" s="48" t="s">
        <v>1348</v>
      </c>
    </row>
    <row r="512" spans="2:9" ht="15" customHeight="1" x14ac:dyDescent="0.25">
      <c r="B512" s="26"/>
      <c r="D512" s="27"/>
      <c r="H512" s="1" t="str">
        <f>IF(AND(I.Facility.ProductCount&gt;=1,I.Facility.OilGas&lt;&gt;"Yes",I.Product.P1Sector="Upstream oil and gas"),"Incomplete","Complete")</f>
        <v>Complete</v>
      </c>
      <c r="I512" s="48" t="s">
        <v>1349</v>
      </c>
    </row>
    <row r="513" spans="2:9" ht="15" customHeight="1" x14ac:dyDescent="0.25">
      <c r="B513" s="26" t="s">
        <v>266</v>
      </c>
      <c r="C513" s="1">
        <v>1</v>
      </c>
      <c r="D513" s="27" t="s">
        <v>3034</v>
      </c>
      <c r="E513" s="27"/>
      <c r="F513" s="1" t="str">
        <f>IF(INDEX(I.Product.P1OtherSector,1)="","",INDEX(I.Product.P1OtherSector,1))</f>
        <v/>
      </c>
      <c r="G513" s="27"/>
      <c r="H513" s="1" t="str">
        <f>IF(AND(I.Facility.ProductCount&gt;=1,I.Product.P1Sector="Other sectors",I.Product.P1OtherSector=""),"Incomplete","Complete")</f>
        <v>Complete</v>
      </c>
      <c r="I513" s="48" t="s">
        <v>1350</v>
      </c>
    </row>
    <row r="514" spans="2:9" ht="15" customHeight="1" x14ac:dyDescent="0.25">
      <c r="B514" s="26"/>
      <c r="D514" s="27"/>
      <c r="H514" s="1" t="str">
        <f>IF(AND(I.Facility.ProductCount&gt;=1,I.Developer.P1C1=FALSE,I.Developer.P1C2=FALSE,I.Developer.P1C3=FALSE,I.Developer.P1C4=FALSE,I.Developer.P1C5=FALSE,I.Developer.P1C6=FALSE,I.Developer.P1C7=FALSE,I.Developer.P1C8=FALSE,I.Developer.P1C9=FALSE),"Incomplete","Complete")</f>
        <v>Incomplete</v>
      </c>
      <c r="I514" s="48" t="s">
        <v>2969</v>
      </c>
    </row>
    <row r="515" spans="2:9" ht="15" customHeight="1" x14ac:dyDescent="0.25">
      <c r="B515" s="26" t="s">
        <v>267</v>
      </c>
      <c r="C515" s="1">
        <v>1</v>
      </c>
      <c r="D515" s="27" t="s">
        <v>3035</v>
      </c>
      <c r="E515" s="27"/>
      <c r="F515" s="1" t="str">
        <f>IF(INDEX(I.Product.P1Status,1)="","",INDEX(I.Product.P1Status,1))</f>
        <v/>
      </c>
      <c r="G515" s="27"/>
      <c r="H515" s="1" t="str">
        <f>IF(AND(I.Facility.ProductCount&gt;=1,I.Product.P1Status=""),"Incomplete","Complete")</f>
        <v>Incomplete</v>
      </c>
      <c r="I515" s="48" t="s">
        <v>2995</v>
      </c>
    </row>
    <row r="516" spans="2:9" ht="15" customHeight="1" x14ac:dyDescent="0.25">
      <c r="B516" s="26" t="s">
        <v>268</v>
      </c>
      <c r="C516" s="1">
        <v>1</v>
      </c>
      <c r="D516" s="27" t="s">
        <v>3067</v>
      </c>
      <c r="E516" s="28"/>
      <c r="F516" s="28" t="str">
        <f>IF(INDEX(I.Product.P1Year1,1)="","",INDEX(I.Product.P1Year1,1))</f>
        <v/>
      </c>
      <c r="G516" s="28"/>
      <c r="H516" s="1" t="str">
        <f>IF(AND(I.Facility.ProductCount&gt;=1,I.Product.P1Year1=""),"Incomplete","Complete")</f>
        <v>Incomplete</v>
      </c>
      <c r="I516" s="48" t="s">
        <v>1351</v>
      </c>
    </row>
    <row r="517" spans="2:9" ht="15" customHeight="1" x14ac:dyDescent="0.25">
      <c r="B517" s="34" t="s">
        <v>269</v>
      </c>
      <c r="C517" s="35">
        <v>1</v>
      </c>
      <c r="D517" s="46" t="s">
        <v>3036</v>
      </c>
      <c r="E517" s="46"/>
      <c r="F517" s="35" t="str">
        <f>IF(INDEX(I.Product.P1Electricity,1)="","",INDEX(I.Product.P1Electricity,1))</f>
        <v/>
      </c>
      <c r="G517" s="46"/>
      <c r="H517" s="35" t="str">
        <f>IF(AND(I.Facility.ProductCount&gt;=1,I.Product.P1Electricity=""),"Incomplete","Complete")</f>
        <v>Incomplete</v>
      </c>
      <c r="I517" s="49" t="s">
        <v>2996</v>
      </c>
    </row>
    <row r="518" spans="2:9" ht="15" customHeight="1" x14ac:dyDescent="0.25">
      <c r="B518" s="26" t="s">
        <v>270</v>
      </c>
      <c r="C518" s="1">
        <v>1</v>
      </c>
      <c r="D518" s="27" t="s">
        <v>3037</v>
      </c>
      <c r="E518" s="27"/>
      <c r="F518" s="1" t="str">
        <f>IF(INDEX(I.Product.P2Name,1)="","",INDEX(I.Product.P2Name,1))</f>
        <v/>
      </c>
      <c r="G518" s="27"/>
      <c r="H518" s="1" t="str">
        <f>IF(AND(I.Facility.ProductCount&gt;=2,I.Product.P2Name=""),"Incomplete","Complete")</f>
        <v>Complete</v>
      </c>
      <c r="I518" s="48" t="s">
        <v>1352</v>
      </c>
    </row>
    <row r="519" spans="2:9" ht="15" customHeight="1" x14ac:dyDescent="0.25">
      <c r="B519" s="26" t="s">
        <v>271</v>
      </c>
      <c r="C519" s="1">
        <v>1</v>
      </c>
      <c r="D519" s="27" t="s">
        <v>3038</v>
      </c>
      <c r="E519" s="27"/>
      <c r="F519" s="1" t="str">
        <f>IF(INDEX(I.Product.P2Sector,1)="","",INDEX(I.Product.P2Sector,1))</f>
        <v/>
      </c>
      <c r="G519" s="27"/>
      <c r="H519" s="1" t="str">
        <f>IF(AND(I.Facility.ProductCount&gt;=2,I.Product.P2Sector=""),"Incomplete","Complete")</f>
        <v>Complete</v>
      </c>
      <c r="I519" s="48" t="s">
        <v>1353</v>
      </c>
    </row>
    <row r="520" spans="2:9" ht="15" customHeight="1" x14ac:dyDescent="0.25">
      <c r="B520" s="26"/>
      <c r="D520" s="27"/>
      <c r="H520" s="1" t="str">
        <f>IF(AND(I.Facility.ProductCount&gt;=2,I.Facility.OilGas&lt;&gt;"Yes",I.Product.P2Sector="Upstream oil and gas"),"Incomplete","Complete")</f>
        <v>Complete</v>
      </c>
      <c r="I520" s="48" t="s">
        <v>1354</v>
      </c>
    </row>
    <row r="521" spans="2:9" ht="15" customHeight="1" x14ac:dyDescent="0.25">
      <c r="B521" s="26" t="s">
        <v>272</v>
      </c>
      <c r="C521" s="1">
        <v>1</v>
      </c>
      <c r="D521" s="27" t="s">
        <v>3039</v>
      </c>
      <c r="E521" s="27"/>
      <c r="F521" s="1" t="str">
        <f>IF(INDEX(I.Product.P2OtherSector,1)="","",INDEX(I.Product.P2OtherSector,1))</f>
        <v/>
      </c>
      <c r="G521" s="27"/>
      <c r="H521" s="1" t="str">
        <f>IF(AND(I.Facility.ProductCount&gt;=2,I.Product.P2Sector="Other sectors",I.Product.P2OtherSector=""),"Incomplete","Complete")</f>
        <v>Complete</v>
      </c>
      <c r="I521" s="48" t="s">
        <v>1355</v>
      </c>
    </row>
    <row r="522" spans="2:9" ht="15" customHeight="1" x14ac:dyDescent="0.25">
      <c r="B522" s="26"/>
      <c r="D522" s="27"/>
      <c r="H522" s="1" t="str">
        <f>IF(AND(I.Facility.ProductCount&gt;=2,I.Developer.P2C1=FALSE,I.Developer.P2C2=FALSE,I.Developer.P2C3=FALSE,I.Developer.P2C4=FALSE,I.Developer.P2C5=FALSE,I.Developer.P2C6=FALSE,I.Developer.P2C7=FALSE,I.Developer.P2C8=FALSE,I.Developer.P2C9=FALSE),"Incomplete","Complete")</f>
        <v>Complete</v>
      </c>
      <c r="I522" s="48" t="s">
        <v>2970</v>
      </c>
    </row>
    <row r="523" spans="2:9" ht="15" customHeight="1" x14ac:dyDescent="0.25">
      <c r="B523" s="26" t="s">
        <v>273</v>
      </c>
      <c r="C523" s="1">
        <v>1</v>
      </c>
      <c r="D523" s="27" t="s">
        <v>3040</v>
      </c>
      <c r="E523" s="27"/>
      <c r="F523" s="1" t="str">
        <f>IF(INDEX(I.Product.P2Status,1)="","",INDEX(I.Product.P2Status,1))</f>
        <v/>
      </c>
      <c r="G523" s="27"/>
      <c r="H523" s="1" t="str">
        <f>IF(AND(I.Facility.ProductCount&gt;=2,I.Product.P2Status=""),"Incomplete","Complete")</f>
        <v>Complete</v>
      </c>
      <c r="I523" s="48" t="s">
        <v>2997</v>
      </c>
    </row>
    <row r="524" spans="2:9" ht="15" customHeight="1" x14ac:dyDescent="0.25">
      <c r="B524" s="26" t="s">
        <v>274</v>
      </c>
      <c r="C524" s="1">
        <v>1</v>
      </c>
      <c r="D524" s="27" t="s">
        <v>3068</v>
      </c>
      <c r="E524" s="28"/>
      <c r="F524" s="28" t="str">
        <f>IF(INDEX(I.Product.P2Year1,1)="","",INDEX(I.Product.P2Year1,1))</f>
        <v/>
      </c>
      <c r="G524" s="28"/>
      <c r="H524" s="1" t="str">
        <f>IF(AND(I.Facility.ProductCount&gt;=2,I.Product.P2Year1=""),"Incomplete","Complete")</f>
        <v>Complete</v>
      </c>
      <c r="I524" s="48" t="s">
        <v>1356</v>
      </c>
    </row>
    <row r="525" spans="2:9" ht="15" customHeight="1" x14ac:dyDescent="0.25">
      <c r="B525" s="34" t="s">
        <v>275</v>
      </c>
      <c r="C525" s="35">
        <v>1</v>
      </c>
      <c r="D525" s="46" t="s">
        <v>3041</v>
      </c>
      <c r="E525" s="46"/>
      <c r="F525" s="35" t="str">
        <f>IF(INDEX(I.Product.P2Electricity,1)="","",INDEX(I.Product.P2Electricity,1))</f>
        <v/>
      </c>
      <c r="G525" s="46"/>
      <c r="H525" s="35" t="str">
        <f>IF(AND(I.Facility.ProductCount&gt;=2,I.Product.P2Electricity=""),"Incomplete","Complete")</f>
        <v>Complete</v>
      </c>
      <c r="I525" s="49" t="s">
        <v>2998</v>
      </c>
    </row>
    <row r="526" spans="2:9" ht="15" customHeight="1" x14ac:dyDescent="0.25">
      <c r="B526" s="26" t="s">
        <v>276</v>
      </c>
      <c r="C526" s="1">
        <v>1</v>
      </c>
      <c r="D526" s="27" t="s">
        <v>3042</v>
      </c>
      <c r="E526" s="27"/>
      <c r="F526" s="1" t="str">
        <f>IF(INDEX(I.Product.P3Name,1)="","",INDEX(I.Product.P3Name,1))</f>
        <v/>
      </c>
      <c r="G526" s="27"/>
      <c r="H526" s="1" t="str">
        <f>IF(AND(I.Facility.ProductCount&gt;=3,I.Product.P3Name=""),"Incomplete","Complete")</f>
        <v>Complete</v>
      </c>
      <c r="I526" s="48" t="s">
        <v>1357</v>
      </c>
    </row>
    <row r="527" spans="2:9" ht="15" customHeight="1" x14ac:dyDescent="0.25">
      <c r="B527" s="26" t="s">
        <v>277</v>
      </c>
      <c r="C527" s="1">
        <v>1</v>
      </c>
      <c r="D527" s="27" t="s">
        <v>3043</v>
      </c>
      <c r="E527" s="27"/>
      <c r="F527" s="1" t="str">
        <f>IF(INDEX(I.Product.P3Sector,1)="","",INDEX(I.Product.P3Sector,1))</f>
        <v/>
      </c>
      <c r="G527" s="27"/>
      <c r="H527" s="1" t="str">
        <f>IF(AND(I.Facility.ProductCount&gt;=3,I.Product.P3Sector=""),"Incomplete","Complete")</f>
        <v>Complete</v>
      </c>
      <c r="I527" s="48" t="s">
        <v>1358</v>
      </c>
    </row>
    <row r="528" spans="2:9" ht="15" customHeight="1" x14ac:dyDescent="0.25">
      <c r="B528" s="26"/>
      <c r="D528" s="27"/>
      <c r="H528" s="1" t="str">
        <f>IF(AND(I.Facility.ProductCount&gt;=3,I.Facility.OilGas&lt;&gt;"Yes",I.Product.P3Sector="Upstream oil and gas"),"Incomplete","Complete")</f>
        <v>Complete</v>
      </c>
      <c r="I528" s="48" t="s">
        <v>1359</v>
      </c>
    </row>
    <row r="529" spans="2:9" ht="15" customHeight="1" x14ac:dyDescent="0.25">
      <c r="B529" s="26" t="s">
        <v>278</v>
      </c>
      <c r="C529" s="1">
        <v>1</v>
      </c>
      <c r="D529" s="27" t="s">
        <v>3044</v>
      </c>
      <c r="E529" s="27"/>
      <c r="F529" s="1" t="str">
        <f>IF(INDEX(I.Product.P3OtherSector,1)="","",INDEX(I.Product.P3OtherSector,1))</f>
        <v/>
      </c>
      <c r="G529" s="27"/>
      <c r="H529" s="1" t="str">
        <f>IF(AND(I.Facility.ProductCount&gt;=3,I.Product.P3Sector="Other sectors",I.Product.P3OtherSector=""),"Incomplete","Complete")</f>
        <v>Complete</v>
      </c>
      <c r="I529" s="48" t="s">
        <v>1360</v>
      </c>
    </row>
    <row r="530" spans="2:9" ht="15" customHeight="1" x14ac:dyDescent="0.25">
      <c r="B530" s="26"/>
      <c r="D530" s="27"/>
      <c r="H530" s="1" t="str">
        <f>IF(AND(I.Facility.ProductCount&gt;=3,I.Developer.P3C1=FALSE,I.Developer.P3C2=FALSE,I.Developer.P3C3=FALSE,I.Developer.P3C4=FALSE,I.Developer.P3C5=FALSE,I.Developer.P3C6=FALSE,I.Developer.P3C7=FALSE,I.Developer.P3C8=FALSE,I.Developer.P3C9=FALSE),"Incomplete","Complete")</f>
        <v>Complete</v>
      </c>
      <c r="I530" s="48" t="s">
        <v>2971</v>
      </c>
    </row>
    <row r="531" spans="2:9" ht="15" customHeight="1" x14ac:dyDescent="0.25">
      <c r="B531" s="26" t="s">
        <v>279</v>
      </c>
      <c r="C531" s="1">
        <v>1</v>
      </c>
      <c r="D531" s="27" t="s">
        <v>3045</v>
      </c>
      <c r="E531" s="27"/>
      <c r="F531" s="1" t="str">
        <f>IF(INDEX(I.Product.P3Status,1)="","",INDEX(I.Product.P3Status,1))</f>
        <v/>
      </c>
      <c r="G531" s="27"/>
      <c r="H531" s="1" t="str">
        <f>IF(AND(I.Facility.ProductCount&gt;=3,I.Product.P3Status=""),"Incomplete","Complete")</f>
        <v>Complete</v>
      </c>
      <c r="I531" s="48" t="s">
        <v>2999</v>
      </c>
    </row>
    <row r="532" spans="2:9" ht="15" customHeight="1" x14ac:dyDescent="0.25">
      <c r="B532" s="26" t="s">
        <v>280</v>
      </c>
      <c r="C532" s="1">
        <v>1</v>
      </c>
      <c r="D532" s="27" t="s">
        <v>3069</v>
      </c>
      <c r="E532" s="28"/>
      <c r="F532" s="28" t="str">
        <f>IF(INDEX(I.Product.P3Year1,1)="","",INDEX(I.Product.P3Year1,1))</f>
        <v/>
      </c>
      <c r="G532" s="28"/>
      <c r="H532" s="1" t="str">
        <f>IF(AND(I.Facility.ProductCount&gt;=3,I.Product.P3Year1=""),"Incomplete","Complete")</f>
        <v>Complete</v>
      </c>
      <c r="I532" s="48" t="s">
        <v>1361</v>
      </c>
    </row>
    <row r="533" spans="2:9" ht="15" customHeight="1" x14ac:dyDescent="0.25">
      <c r="B533" s="34" t="s">
        <v>281</v>
      </c>
      <c r="C533" s="35">
        <v>1</v>
      </c>
      <c r="D533" s="46" t="s">
        <v>3046</v>
      </c>
      <c r="E533" s="46"/>
      <c r="F533" s="35" t="str">
        <f>IF(INDEX(I.Product.P3Electricity,1)="","",INDEX(I.Product.P3Electricity,1))</f>
        <v/>
      </c>
      <c r="G533" s="46"/>
      <c r="H533" s="35" t="str">
        <f>IF(AND(I.Facility.ProductCount&gt;=3,I.Product.P3Electricity=""),"Incomplete","Complete")</f>
        <v>Complete</v>
      </c>
      <c r="I533" s="49" t="s">
        <v>3000</v>
      </c>
    </row>
    <row r="534" spans="2:9" ht="15" customHeight="1" x14ac:dyDescent="0.25">
      <c r="B534" s="26" t="s">
        <v>282</v>
      </c>
      <c r="C534" s="1">
        <v>1</v>
      </c>
      <c r="D534" s="27" t="s">
        <v>3047</v>
      </c>
      <c r="E534" s="27"/>
      <c r="F534" s="1" t="str">
        <f>IF(INDEX(I.Product.P4Name,1)="","",INDEX(I.Product.P4Name,1))</f>
        <v/>
      </c>
      <c r="G534" s="27"/>
      <c r="H534" s="1" t="str">
        <f>IF(AND(I.Facility.ProductCount&gt;=4,I.Product.P4Name=""),"Incomplete","Complete")</f>
        <v>Complete</v>
      </c>
      <c r="I534" s="48" t="s">
        <v>1362</v>
      </c>
    </row>
    <row r="535" spans="2:9" ht="15" customHeight="1" x14ac:dyDescent="0.25">
      <c r="B535" s="26" t="s">
        <v>283</v>
      </c>
      <c r="C535" s="1">
        <v>1</v>
      </c>
      <c r="D535" s="27" t="s">
        <v>3048</v>
      </c>
      <c r="E535" s="27"/>
      <c r="F535" s="1" t="str">
        <f>IF(INDEX(I.Product.P4Sector,1)="","",INDEX(I.Product.P4Sector,1))</f>
        <v/>
      </c>
      <c r="G535" s="27"/>
      <c r="H535" s="1" t="str">
        <f>IF(AND(I.Facility.ProductCount&gt;=4,I.Product.P4Sector=""),"Incomplete","Complete")</f>
        <v>Complete</v>
      </c>
      <c r="I535" s="48" t="s">
        <v>1363</v>
      </c>
    </row>
    <row r="536" spans="2:9" ht="15" customHeight="1" x14ac:dyDescent="0.25">
      <c r="B536" s="26"/>
      <c r="D536" s="27"/>
      <c r="H536" s="1" t="str">
        <f>IF(AND(I.Facility.ProductCount&gt;=4,I.Facility.OilGas&lt;&gt;"Yes",I.Product.P4Sector="Upstream oil and gas"),"Incomplete","Complete")</f>
        <v>Complete</v>
      </c>
      <c r="I536" s="48" t="s">
        <v>1364</v>
      </c>
    </row>
    <row r="537" spans="2:9" ht="15" customHeight="1" x14ac:dyDescent="0.25">
      <c r="B537" s="26" t="s">
        <v>284</v>
      </c>
      <c r="C537" s="1">
        <v>1</v>
      </c>
      <c r="D537" s="27" t="s">
        <v>3049</v>
      </c>
      <c r="E537" s="27"/>
      <c r="F537" s="1" t="str">
        <f>IF(INDEX(I.Product.P4OtherSector,1)="","",INDEX(I.Product.P4OtherSector,1))</f>
        <v/>
      </c>
      <c r="G537" s="27"/>
      <c r="H537" s="1" t="str">
        <f>IF(AND(I.Facility.ProductCount&gt;=4,I.Product.P4Sector="Other sectors",I.Product.P4OtherSector=""),"Incomplete","Complete")</f>
        <v>Complete</v>
      </c>
      <c r="I537" s="48" t="s">
        <v>1365</v>
      </c>
    </row>
    <row r="538" spans="2:9" ht="15" customHeight="1" x14ac:dyDescent="0.25">
      <c r="B538" s="26"/>
      <c r="D538" s="27"/>
      <c r="H538" s="1" t="str">
        <f>IF(AND(I.Facility.ProductCount&gt;=4,I.Developer.P4C1=FALSE,I.Developer.P4C2=FALSE,I.Developer.P4C3=FALSE,I.Developer.P4C4=FALSE,I.Developer.P4C5=FALSE,I.Developer.P4C6=FALSE,I.Developer.P4C7=FALSE,I.Developer.P4C8=FALSE,I.Developer.P4C9=FALSE),"Incomplete","Complete")</f>
        <v>Complete</v>
      </c>
      <c r="I538" s="48" t="s">
        <v>2972</v>
      </c>
    </row>
    <row r="539" spans="2:9" ht="15" customHeight="1" x14ac:dyDescent="0.25">
      <c r="B539" s="26" t="s">
        <v>285</v>
      </c>
      <c r="C539" s="1">
        <v>1</v>
      </c>
      <c r="D539" s="27" t="s">
        <v>3050</v>
      </c>
      <c r="E539" s="27"/>
      <c r="F539" s="1" t="str">
        <f>IF(INDEX(I.Product.P4Status,1)="","",INDEX(I.Product.P4Status,1))</f>
        <v/>
      </c>
      <c r="G539" s="27"/>
      <c r="H539" s="1" t="str">
        <f>IF(AND(I.Facility.ProductCount&gt;=4,I.Product.P4Status=""),"Incomplete","Complete")</f>
        <v>Complete</v>
      </c>
      <c r="I539" s="48" t="s">
        <v>3001</v>
      </c>
    </row>
    <row r="540" spans="2:9" ht="15" customHeight="1" x14ac:dyDescent="0.25">
      <c r="B540" s="26" t="s">
        <v>286</v>
      </c>
      <c r="C540" s="1">
        <v>1</v>
      </c>
      <c r="D540" s="27" t="s">
        <v>3070</v>
      </c>
      <c r="E540" s="28"/>
      <c r="F540" s="28" t="str">
        <f>IF(INDEX(I.Product.P4Year1,1)="","",INDEX(I.Product.P4Year1,1))</f>
        <v/>
      </c>
      <c r="G540" s="28"/>
      <c r="H540" s="1" t="str">
        <f>IF(AND(I.Facility.ProductCount&gt;=4,I.Product.P4Year1=""),"Incomplete","Complete")</f>
        <v>Complete</v>
      </c>
      <c r="I540" s="48" t="s">
        <v>1366</v>
      </c>
    </row>
    <row r="541" spans="2:9" ht="15" customHeight="1" x14ac:dyDescent="0.25">
      <c r="B541" s="34" t="s">
        <v>287</v>
      </c>
      <c r="C541" s="35">
        <v>1</v>
      </c>
      <c r="D541" s="46" t="s">
        <v>3051</v>
      </c>
      <c r="E541" s="46"/>
      <c r="F541" s="35" t="str">
        <f>IF(INDEX(I.Product.P4Electricity,1)="","",INDEX(I.Product.P4Electricity,1))</f>
        <v/>
      </c>
      <c r="G541" s="46"/>
      <c r="H541" s="35" t="str">
        <f>IF(AND(I.Facility.ProductCount&gt;=4,I.Product.P4Electricity=""),"Incomplete","Complete")</f>
        <v>Complete</v>
      </c>
      <c r="I541" s="49" t="s">
        <v>3002</v>
      </c>
    </row>
    <row r="542" spans="2:9" ht="15" customHeight="1" x14ac:dyDescent="0.25">
      <c r="B542" s="26" t="s">
        <v>288</v>
      </c>
      <c r="C542" s="1">
        <v>1</v>
      </c>
      <c r="D542" s="27" t="s">
        <v>3052</v>
      </c>
      <c r="E542" s="27"/>
      <c r="F542" s="1" t="str">
        <f>IF(INDEX(I.Product.P5Name,1)="","",INDEX(I.Product.P5Name,1))</f>
        <v/>
      </c>
      <c r="G542" s="27"/>
      <c r="H542" s="1" t="str">
        <f>IF(AND(I.Facility.ProductCount&gt;=5,I.Product.P5Name=""),"Incomplete","Complete")</f>
        <v>Complete</v>
      </c>
      <c r="I542" s="48" t="s">
        <v>1367</v>
      </c>
    </row>
    <row r="543" spans="2:9" ht="15" customHeight="1" x14ac:dyDescent="0.25">
      <c r="B543" s="26" t="s">
        <v>289</v>
      </c>
      <c r="C543" s="1">
        <v>1</v>
      </c>
      <c r="D543" s="27" t="s">
        <v>3053</v>
      </c>
      <c r="E543" s="27"/>
      <c r="F543" s="1" t="str">
        <f>IF(INDEX(I.Product.P5Sector,1)="","",INDEX(I.Product.P5Sector,1))</f>
        <v/>
      </c>
      <c r="G543" s="27"/>
      <c r="H543" s="1" t="str">
        <f>IF(AND(I.Facility.ProductCount&gt;=5,I.Product.P5Sector=""),"Incomplete","Complete")</f>
        <v>Complete</v>
      </c>
      <c r="I543" s="48" t="s">
        <v>1368</v>
      </c>
    </row>
    <row r="544" spans="2:9" ht="15" customHeight="1" x14ac:dyDescent="0.25">
      <c r="B544" s="26"/>
      <c r="D544" s="27"/>
      <c r="H544" s="1" t="str">
        <f>IF(AND(I.Facility.ProductCount&gt;=5,I.Facility.OilGas&lt;&gt;"Yes",I.Product.P5Sector="Upstream oil and gas"),"Incomplete","Complete")</f>
        <v>Complete</v>
      </c>
      <c r="I544" s="48" t="s">
        <v>1369</v>
      </c>
    </row>
    <row r="545" spans="2:9" ht="15" customHeight="1" x14ac:dyDescent="0.25">
      <c r="B545" s="26" t="s">
        <v>290</v>
      </c>
      <c r="C545" s="1">
        <v>1</v>
      </c>
      <c r="D545" s="27" t="s">
        <v>3054</v>
      </c>
      <c r="E545" s="27"/>
      <c r="F545" s="1" t="str">
        <f>IF(INDEX(I.Product.P5OtherSector,1)="","",INDEX(I.Product.P5OtherSector,1))</f>
        <v/>
      </c>
      <c r="G545" s="27"/>
      <c r="H545" s="1" t="str">
        <f>IF(AND(I.Facility.ProductCount&gt;=5,I.Product.P5Sector="Other sectors",I.Product.P5OtherSector=""),"Incomplete","Complete")</f>
        <v>Complete</v>
      </c>
      <c r="I545" s="48" t="s">
        <v>1370</v>
      </c>
    </row>
    <row r="546" spans="2:9" ht="15" customHeight="1" x14ac:dyDescent="0.25">
      <c r="B546" s="26"/>
      <c r="D546" s="27"/>
      <c r="H546" s="1" t="str">
        <f>IF(AND(I.Facility.ProductCount&gt;=5,I.Developer.P5C1=FALSE,I.Developer.P5C2=FALSE,I.Developer.P5C3=FALSE,I.Developer.P5C4=FALSE,I.Developer.P5C5=FALSE,I.Developer.P5C6=FALSE,I.Developer.P5C7=FALSE,I.Developer.P5C8=FALSE,I.Developer.P5C9=FALSE),"Incomplete","Complete")</f>
        <v>Complete</v>
      </c>
      <c r="I546" s="48" t="s">
        <v>2973</v>
      </c>
    </row>
    <row r="547" spans="2:9" ht="15" customHeight="1" x14ac:dyDescent="0.25">
      <c r="B547" s="26" t="s">
        <v>291</v>
      </c>
      <c r="C547" s="1">
        <v>1</v>
      </c>
      <c r="D547" s="27" t="s">
        <v>3055</v>
      </c>
      <c r="E547" s="27"/>
      <c r="F547" s="1" t="str">
        <f>IF(INDEX(I.Product.P5Status,1)="","",INDEX(I.Product.P5Status,1))</f>
        <v/>
      </c>
      <c r="G547" s="27"/>
      <c r="H547" s="1" t="str">
        <f>IF(AND(I.Facility.ProductCount&gt;=5,I.Product.P5Status=""),"Incomplete","Complete")</f>
        <v>Complete</v>
      </c>
      <c r="I547" s="48" t="s">
        <v>3003</v>
      </c>
    </row>
    <row r="548" spans="2:9" ht="15" customHeight="1" x14ac:dyDescent="0.25">
      <c r="B548" s="26" t="s">
        <v>292</v>
      </c>
      <c r="C548" s="1">
        <v>1</v>
      </c>
      <c r="D548" s="27" t="s">
        <v>3071</v>
      </c>
      <c r="E548" s="28"/>
      <c r="F548" s="28" t="str">
        <f>IF(INDEX(I.Product.P5Year1,1)="","",INDEX(I.Product.P5Year1,1))</f>
        <v/>
      </c>
      <c r="G548" s="28"/>
      <c r="H548" s="1" t="str">
        <f>IF(AND(I.Facility.ProductCount&gt;=5,I.Product.P5Year1=""),"Incomplete","Complete")</f>
        <v>Complete</v>
      </c>
      <c r="I548" s="48" t="s">
        <v>1371</v>
      </c>
    </row>
    <row r="549" spans="2:9" ht="15" customHeight="1" x14ac:dyDescent="0.25">
      <c r="B549" s="34" t="s">
        <v>293</v>
      </c>
      <c r="C549" s="35">
        <v>1</v>
      </c>
      <c r="D549" s="46" t="s">
        <v>3056</v>
      </c>
      <c r="E549" s="46"/>
      <c r="F549" s="35" t="str">
        <f>IF(INDEX(I.Product.P5Electricity,1)="","",INDEX(I.Product.P5Electricity,1))</f>
        <v/>
      </c>
      <c r="G549" s="46"/>
      <c r="H549" s="35" t="str">
        <f>IF(AND(I.Facility.ProductCount&gt;=5,I.Product.P5Electricity=""),"Incomplete","Complete")</f>
        <v>Complete</v>
      </c>
      <c r="I549" s="49" t="s">
        <v>3004</v>
      </c>
    </row>
    <row r="550" spans="2:9" ht="15" customHeight="1" x14ac:dyDescent="0.25">
      <c r="B550" s="53"/>
      <c r="C550" s="66"/>
      <c r="D550" s="83"/>
      <c r="E550" s="66"/>
      <c r="F550" s="66"/>
      <c r="G550" s="66"/>
      <c r="H550" s="66" t="str">
        <f>IF(AND(I.Facility.OilGas="Yes",I.Product.P1Sector&lt;&gt;"Upstream oil and gas",I.Product.P2Sector&lt;&gt;"Upstream oil and gas",I.Product.P3Sector&lt;&gt;"Upstream oil and gas",I.Product.P4Sector&lt;&gt;"Upstream oil and gas",I.Product.P5Sector&lt;&gt;"Upstream oil and gas"),"Incomplete","Complete")</f>
        <v>Complete</v>
      </c>
      <c r="I550" s="67" t="s">
        <v>2980</v>
      </c>
    </row>
    <row r="551" spans="2:9" ht="15" customHeight="1" x14ac:dyDescent="0.25">
      <c r="B551" s="26" t="s">
        <v>294</v>
      </c>
      <c r="C551" s="1">
        <v>1</v>
      </c>
      <c r="D551" s="27" t="s">
        <v>3057</v>
      </c>
      <c r="E551" s="27"/>
      <c r="F551" s="1" t="str">
        <f>IF(INDEX(I.Product.GasToPowerStatus,1)="","",INDEX(I.Product.GasToPowerStatus,1))</f>
        <v/>
      </c>
      <c r="G551" s="27"/>
      <c r="H551" s="1" t="str">
        <f>IF(AND(I.Facility.GasToPower="Yes",I.Product.GasToPowerStatus=""),"Incomplete","Complete")</f>
        <v>Complete</v>
      </c>
      <c r="I551" s="48" t="s">
        <v>3005</v>
      </c>
    </row>
    <row r="552" spans="2:9" ht="15" customHeight="1" x14ac:dyDescent="0.25">
      <c r="B552" s="34" t="s">
        <v>295</v>
      </c>
      <c r="C552" s="35">
        <v>1</v>
      </c>
      <c r="D552" s="46" t="s">
        <v>3072</v>
      </c>
      <c r="E552" s="44"/>
      <c r="F552" s="44" t="str">
        <f>IF(INDEX(I.Product.GasToPowerYear1,1)="","",INDEX(I.Product.GasToPowerYear1,1))</f>
        <v/>
      </c>
      <c r="G552" s="44"/>
      <c r="H552" s="35" t="str">
        <f>IF(AND(I.Product.GasToPowerStatus="Yes",I.Product.GasToPowerYear1=""),"Incomplete","Complete")</f>
        <v>Complete</v>
      </c>
      <c r="I552" s="49" t="s">
        <v>3006</v>
      </c>
    </row>
    <row r="553" spans="2:9" ht="15" customHeight="1" x14ac:dyDescent="0.25">
      <c r="B553" s="26" t="s">
        <v>296</v>
      </c>
      <c r="C553" s="1">
        <v>1</v>
      </c>
      <c r="D553" s="27" t="s">
        <v>3073</v>
      </c>
      <c r="E553" s="25"/>
      <c r="F553" s="25" t="str">
        <f>IF(INDEX(I.Production.P1Y1Quantity,1)="","",INDEX(I.Production.P1Y1Quantity,1))</f>
        <v/>
      </c>
      <c r="G553" s="25"/>
      <c r="H553" s="1" t="str">
        <f>IF(AND(I.Facility.ProductCount&gt;=1,I.Production.P1Y1Quantity=""),"Incomplete","Complete")</f>
        <v>Incomplete</v>
      </c>
      <c r="I553" s="48" t="s">
        <v>3007</v>
      </c>
    </row>
    <row r="554" spans="2:9" ht="15" customHeight="1" x14ac:dyDescent="0.25">
      <c r="B554" s="26" t="s">
        <v>297</v>
      </c>
      <c r="C554" s="1">
        <v>1</v>
      </c>
      <c r="D554" s="27" t="s">
        <v>3074</v>
      </c>
      <c r="E554" s="25"/>
      <c r="F554" s="25" t="str">
        <f>IF(INDEX(I.Production.P1Y2Quantity,1)="","",INDEX(I.Production.P1Y2Quantity,1))</f>
        <v/>
      </c>
      <c r="G554" s="25"/>
      <c r="H554" s="1" t="str">
        <f>IF(AND(I.Facility.ProductCount&gt;=1,I.Production.P1Y2Quantity=""),"Incomplete","Complete")</f>
        <v>Incomplete</v>
      </c>
      <c r="I554" s="48" t="s">
        <v>3008</v>
      </c>
    </row>
    <row r="555" spans="2:9" ht="15" customHeight="1" x14ac:dyDescent="0.25">
      <c r="B555" s="34" t="s">
        <v>298</v>
      </c>
      <c r="C555" s="35">
        <v>1</v>
      </c>
      <c r="D555" s="46" t="s">
        <v>3075</v>
      </c>
      <c r="E555" s="45"/>
      <c r="F555" s="45" t="str">
        <f>IF(INDEX(I.Production.P1Y3Quantity,1)="","",INDEX(I.Production.P1Y3Quantity,1))</f>
        <v/>
      </c>
      <c r="G555" s="45"/>
      <c r="H555" s="35" t="str">
        <f>IF(AND(I.Facility.ProductCount&gt;=1,I.Product.P1Status&lt;&gt;"Yes",I.Production.P1Y3Quantity=""),"Incomplete","Complete")</f>
        <v>Incomplete</v>
      </c>
      <c r="I555" s="49" t="s">
        <v>3009</v>
      </c>
    </row>
    <row r="556" spans="2:9" ht="15" customHeight="1" x14ac:dyDescent="0.25">
      <c r="B556" s="34" t="s">
        <v>299</v>
      </c>
      <c r="C556" s="35">
        <v>1</v>
      </c>
      <c r="D556" s="46" t="s">
        <v>3058</v>
      </c>
      <c r="E556" s="46"/>
      <c r="F556" s="35" t="str">
        <f>IF(INDEX(I.Production.P1Units,1)="","",INDEX(I.Production.P1Units,1))</f>
        <v/>
      </c>
      <c r="G556" s="46"/>
      <c r="H556" s="35" t="str">
        <f>IF(AND(I.Facility.ProductCount&gt;=1,I.Production.P1Units=""),"Incomplete","Complete")</f>
        <v>Incomplete</v>
      </c>
      <c r="I556" s="49" t="s">
        <v>1372</v>
      </c>
    </row>
    <row r="557" spans="2:9" ht="15" customHeight="1" x14ac:dyDescent="0.25">
      <c r="B557" s="26" t="s">
        <v>300</v>
      </c>
      <c r="C557" s="1">
        <v>1</v>
      </c>
      <c r="D557" s="27" t="s">
        <v>3076</v>
      </c>
      <c r="E557" s="25"/>
      <c r="F557" s="25" t="str">
        <f>IF(INDEX(I.Production.P1Y1C1,1)="","",INDEX(I.Production.P1Y1C1,1))</f>
        <v/>
      </c>
      <c r="G557" s="25"/>
      <c r="H557" s="1" t="str">
        <f t="shared" ref="H557:H562" si="0">IF(AND(I.Facility.ProductCount&gt;=1,I.Developer.P1C1=TRUE,F557=""),"Incomplete","Complete")</f>
        <v>Complete</v>
      </c>
      <c r="I557" s="48" t="s">
        <v>1373</v>
      </c>
    </row>
    <row r="558" spans="2:9" ht="15" customHeight="1" x14ac:dyDescent="0.25">
      <c r="B558" s="26" t="s">
        <v>300</v>
      </c>
      <c r="C558" s="1">
        <v>2</v>
      </c>
      <c r="D558" s="27" t="s">
        <v>3076</v>
      </c>
      <c r="E558" s="25"/>
      <c r="F558" s="25" t="str">
        <f>IF(INDEX(I.Production.P1Y1C1,2)="","",INDEX(I.Production.P1Y1C1,2))</f>
        <v/>
      </c>
      <c r="G558" s="25"/>
      <c r="H558" s="1" t="str">
        <f t="shared" si="0"/>
        <v>Complete</v>
      </c>
      <c r="I558" s="48" t="s">
        <v>1374</v>
      </c>
    </row>
    <row r="559" spans="2:9" ht="15" customHeight="1" x14ac:dyDescent="0.25">
      <c r="B559" s="34" t="s">
        <v>300</v>
      </c>
      <c r="C559" s="35">
        <v>3</v>
      </c>
      <c r="D559" s="46" t="s">
        <v>3076</v>
      </c>
      <c r="E559" s="45"/>
      <c r="F559" s="45" t="str">
        <f>IF(INDEX(I.Production.P1Y1C1,3)="","",INDEX(I.Production.P1Y1C1,3))</f>
        <v/>
      </c>
      <c r="G559" s="45"/>
      <c r="H559" s="35" t="str">
        <f t="shared" si="0"/>
        <v>Complete</v>
      </c>
      <c r="I559" s="49" t="s">
        <v>1375</v>
      </c>
    </row>
    <row r="560" spans="2:9" ht="15" customHeight="1" x14ac:dyDescent="0.25">
      <c r="B560" s="26" t="s">
        <v>301</v>
      </c>
      <c r="C560" s="1">
        <v>1</v>
      </c>
      <c r="D560" s="27" t="s">
        <v>3077</v>
      </c>
      <c r="E560" s="25"/>
      <c r="F560" s="25" t="str">
        <f>IF(INDEX(I.Production.P1Y2C1,1)="","",INDEX(I.Production.P1Y2C1,1))</f>
        <v/>
      </c>
      <c r="G560" s="25"/>
      <c r="H560" s="1" t="str">
        <f t="shared" si="0"/>
        <v>Complete</v>
      </c>
      <c r="I560" s="48" t="s">
        <v>1376</v>
      </c>
    </row>
    <row r="561" spans="2:9" ht="15" customHeight="1" x14ac:dyDescent="0.25">
      <c r="B561" s="26" t="s">
        <v>301</v>
      </c>
      <c r="C561" s="1">
        <v>2</v>
      </c>
      <c r="D561" s="27" t="s">
        <v>3077</v>
      </c>
      <c r="E561" s="25"/>
      <c r="F561" s="25" t="str">
        <f>IF(INDEX(I.Production.P1Y2C1,2)="","",INDEX(I.Production.P1Y2C1,2))</f>
        <v/>
      </c>
      <c r="G561" s="25"/>
      <c r="H561" s="1" t="str">
        <f t="shared" si="0"/>
        <v>Complete</v>
      </c>
      <c r="I561" s="48" t="s">
        <v>1377</v>
      </c>
    </row>
    <row r="562" spans="2:9" ht="15" customHeight="1" x14ac:dyDescent="0.25">
      <c r="B562" s="34" t="s">
        <v>301</v>
      </c>
      <c r="C562" s="35">
        <v>3</v>
      </c>
      <c r="D562" s="46" t="s">
        <v>3077</v>
      </c>
      <c r="E562" s="45"/>
      <c r="F562" s="45" t="str">
        <f>IF(INDEX(I.Production.P1Y2C1,3)="","",INDEX(I.Production.P1Y2C1,3))</f>
        <v/>
      </c>
      <c r="G562" s="45"/>
      <c r="H562" s="35" t="str">
        <f t="shared" si="0"/>
        <v>Complete</v>
      </c>
      <c r="I562" s="49" t="s">
        <v>1378</v>
      </c>
    </row>
    <row r="563" spans="2:9" ht="15" customHeight="1" x14ac:dyDescent="0.25">
      <c r="B563" s="26" t="s">
        <v>302</v>
      </c>
      <c r="C563" s="1">
        <v>1</v>
      </c>
      <c r="D563" s="27" t="s">
        <v>3078</v>
      </c>
      <c r="E563" s="25"/>
      <c r="F563" s="25" t="str">
        <f>IF(INDEX(I.Production.P1Y3C1,1)="","",INDEX(I.Production.P1Y3C1,1))</f>
        <v/>
      </c>
      <c r="G563" s="25"/>
      <c r="H563" s="1" t="str">
        <f>IF(AND(I.Facility.ProductCount&gt;=1,I.Developer.P1C1=TRUE,I.Product.P1Status&lt;&gt;"Yes",F563=""),"Incomplete","Complete")</f>
        <v>Complete</v>
      </c>
      <c r="I563" s="48" t="s">
        <v>1379</v>
      </c>
    </row>
    <row r="564" spans="2:9" ht="15" customHeight="1" x14ac:dyDescent="0.25">
      <c r="B564" s="26" t="s">
        <v>302</v>
      </c>
      <c r="C564" s="1">
        <v>2</v>
      </c>
      <c r="D564" s="27" t="s">
        <v>3078</v>
      </c>
      <c r="E564" s="25"/>
      <c r="F564" s="25" t="str">
        <f>IF(INDEX(I.Production.P1Y3C1,2)="","",INDEX(I.Production.P1Y3C1,2))</f>
        <v/>
      </c>
      <c r="G564" s="25"/>
      <c r="H564" s="1" t="str">
        <f>IF(AND(I.Facility.ProductCount&gt;=1,I.Developer.P1C1=TRUE,I.Product.P1Status&lt;&gt;"Yes",F564=""),"Incomplete","Complete")</f>
        <v>Complete</v>
      </c>
      <c r="I564" s="48" t="s">
        <v>1380</v>
      </c>
    </row>
    <row r="565" spans="2:9" ht="15" customHeight="1" x14ac:dyDescent="0.25">
      <c r="B565" s="34" t="s">
        <v>302</v>
      </c>
      <c r="C565" s="35">
        <v>3</v>
      </c>
      <c r="D565" s="46" t="s">
        <v>3078</v>
      </c>
      <c r="E565" s="45"/>
      <c r="F565" s="45" t="str">
        <f>IF(INDEX(I.Production.P1Y3C1,3)="","",INDEX(I.Production.P1Y3C1,3))</f>
        <v/>
      </c>
      <c r="G565" s="45"/>
      <c r="H565" s="35" t="str">
        <f>IF(AND(I.Facility.ProductCount&gt;=1,I.Developer.P1C1=TRUE,I.Product.P1Status&lt;&gt;"Yes",F565=""),"Incomplete","Complete")</f>
        <v>Complete</v>
      </c>
      <c r="I565" s="49" t="s">
        <v>1381</v>
      </c>
    </row>
    <row r="566" spans="2:9" ht="15" customHeight="1" x14ac:dyDescent="0.25">
      <c r="B566" s="26" t="s">
        <v>303</v>
      </c>
      <c r="C566" s="1">
        <v>1</v>
      </c>
      <c r="D566" s="27" t="s">
        <v>3079</v>
      </c>
      <c r="E566" s="25"/>
      <c r="F566" s="25" t="str">
        <f>IF(INDEX(I.Production.P1Y1C2,1)="","",INDEX(I.Production.P1Y1C2,1))</f>
        <v/>
      </c>
      <c r="G566" s="25"/>
      <c r="H566" s="1" t="str">
        <f t="shared" ref="H566:H613" si="1">IF(AND(I.Facility.ProductCount&gt;=1,I.Developer.P1C2=TRUE,F566=""),"Incomplete","Complete")</f>
        <v>Complete</v>
      </c>
      <c r="I566" s="48" t="s">
        <v>1382</v>
      </c>
    </row>
    <row r="567" spans="2:9" ht="15" customHeight="1" x14ac:dyDescent="0.25">
      <c r="B567" s="26" t="s">
        <v>303</v>
      </c>
      <c r="C567" s="1">
        <v>2</v>
      </c>
      <c r="D567" s="27" t="s">
        <v>3079</v>
      </c>
      <c r="E567" s="25"/>
      <c r="F567" s="25" t="str">
        <f>IF(INDEX(I.Production.P1Y1C2,2)="","",INDEX(I.Production.P1Y1C2,2))</f>
        <v/>
      </c>
      <c r="G567" s="25"/>
      <c r="H567" s="1" t="str">
        <f t="shared" si="1"/>
        <v>Complete</v>
      </c>
      <c r="I567" s="48" t="s">
        <v>1383</v>
      </c>
    </row>
    <row r="568" spans="2:9" ht="15" customHeight="1" x14ac:dyDescent="0.25">
      <c r="B568" s="26" t="s">
        <v>303</v>
      </c>
      <c r="C568" s="1">
        <v>3</v>
      </c>
      <c r="D568" s="27" t="s">
        <v>3079</v>
      </c>
      <c r="E568" s="25"/>
      <c r="F568" s="25" t="str">
        <f>IF(INDEX(I.Production.P1Y1C2,3)="","",INDEX(I.Production.P1Y1C2,3))</f>
        <v/>
      </c>
      <c r="G568" s="25"/>
      <c r="H568" s="1" t="str">
        <f t="shared" si="1"/>
        <v>Complete</v>
      </c>
      <c r="I568" s="48" t="s">
        <v>1384</v>
      </c>
    </row>
    <row r="569" spans="2:9" ht="15" customHeight="1" x14ac:dyDescent="0.25">
      <c r="B569" s="26" t="s">
        <v>303</v>
      </c>
      <c r="C569" s="1">
        <v>4</v>
      </c>
      <c r="D569" s="27" t="s">
        <v>3079</v>
      </c>
      <c r="E569" s="25"/>
      <c r="F569" s="25" t="str">
        <f>IF(INDEX(I.Production.P1Y1C2,4)="","",INDEX(I.Production.P1Y1C2,4))</f>
        <v/>
      </c>
      <c r="G569" s="25"/>
      <c r="H569" s="1" t="str">
        <f t="shared" si="1"/>
        <v>Complete</v>
      </c>
      <c r="I569" s="48" t="s">
        <v>1385</v>
      </c>
    </row>
    <row r="570" spans="2:9" ht="15" customHeight="1" x14ac:dyDescent="0.25">
      <c r="B570" s="26" t="s">
        <v>303</v>
      </c>
      <c r="C570" s="1">
        <v>5</v>
      </c>
      <c r="D570" s="27" t="s">
        <v>3079</v>
      </c>
      <c r="E570" s="25"/>
      <c r="F570" s="25" t="str">
        <f>IF(INDEX(I.Production.P1Y1C2,5)="","",INDEX(I.Production.P1Y1C2,5))</f>
        <v/>
      </c>
      <c r="G570" s="25"/>
      <c r="H570" s="1" t="str">
        <f t="shared" si="1"/>
        <v>Complete</v>
      </c>
      <c r="I570" s="48" t="s">
        <v>1386</v>
      </c>
    </row>
    <row r="571" spans="2:9" ht="15" customHeight="1" x14ac:dyDescent="0.25">
      <c r="B571" s="26" t="s">
        <v>303</v>
      </c>
      <c r="C571" s="1">
        <v>6</v>
      </c>
      <c r="D571" s="27" t="s">
        <v>3079</v>
      </c>
      <c r="E571" s="25"/>
      <c r="F571" s="25" t="str">
        <f>IF(INDEX(I.Production.P1Y1C2,6)="","",INDEX(I.Production.P1Y1C2,6))</f>
        <v/>
      </c>
      <c r="G571" s="25"/>
      <c r="H571" s="1" t="str">
        <f t="shared" si="1"/>
        <v>Complete</v>
      </c>
      <c r="I571" s="48" t="s">
        <v>1387</v>
      </c>
    </row>
    <row r="572" spans="2:9" ht="15" customHeight="1" x14ac:dyDescent="0.25">
      <c r="B572" s="26" t="s">
        <v>303</v>
      </c>
      <c r="C572" s="1">
        <v>7</v>
      </c>
      <c r="D572" s="27" t="s">
        <v>3079</v>
      </c>
      <c r="E572" s="25"/>
      <c r="F572" s="25" t="str">
        <f>IF(INDEX(I.Production.P1Y1C2,7)="","",INDEX(I.Production.P1Y1C2,7))</f>
        <v/>
      </c>
      <c r="G572" s="25"/>
      <c r="H572" s="1" t="str">
        <f t="shared" si="1"/>
        <v>Complete</v>
      </c>
      <c r="I572" s="48" t="s">
        <v>1388</v>
      </c>
    </row>
    <row r="573" spans="2:9" ht="15" customHeight="1" x14ac:dyDescent="0.25">
      <c r="B573" s="26" t="s">
        <v>303</v>
      </c>
      <c r="C573" s="1">
        <v>8</v>
      </c>
      <c r="D573" s="27" t="s">
        <v>3079</v>
      </c>
      <c r="E573" s="25"/>
      <c r="F573" s="25" t="str">
        <f>IF(INDEX(I.Production.P1Y1C2,8)="","",INDEX(I.Production.P1Y1C2,8))</f>
        <v/>
      </c>
      <c r="G573" s="25"/>
      <c r="H573" s="1" t="str">
        <f t="shared" si="1"/>
        <v>Complete</v>
      </c>
      <c r="I573" s="48" t="s">
        <v>1389</v>
      </c>
    </row>
    <row r="574" spans="2:9" ht="15" customHeight="1" x14ac:dyDescent="0.25">
      <c r="B574" s="26" t="s">
        <v>303</v>
      </c>
      <c r="C574" s="1">
        <v>9</v>
      </c>
      <c r="D574" s="27" t="s">
        <v>3079</v>
      </c>
      <c r="E574" s="25"/>
      <c r="F574" s="25" t="str">
        <f>IF(INDEX(I.Production.P1Y1C2,9)="","",INDEX(I.Production.P1Y1C2,9))</f>
        <v/>
      </c>
      <c r="G574" s="25"/>
      <c r="H574" s="1" t="str">
        <f t="shared" si="1"/>
        <v>Complete</v>
      </c>
      <c r="I574" s="48" t="s">
        <v>1390</v>
      </c>
    </row>
    <row r="575" spans="2:9" ht="15" customHeight="1" x14ac:dyDescent="0.25">
      <c r="B575" s="26" t="s">
        <v>303</v>
      </c>
      <c r="C575" s="1">
        <v>10</v>
      </c>
      <c r="D575" s="27" t="s">
        <v>3079</v>
      </c>
      <c r="E575" s="25"/>
      <c r="F575" s="25" t="str">
        <f>IF(INDEX(I.Production.P1Y1C2,10)="","",INDEX(I.Production.P1Y1C2,10))</f>
        <v/>
      </c>
      <c r="G575" s="25"/>
      <c r="H575" s="1" t="str">
        <f t="shared" si="1"/>
        <v>Complete</v>
      </c>
      <c r="I575" s="48" t="s">
        <v>1391</v>
      </c>
    </row>
    <row r="576" spans="2:9" ht="15" customHeight="1" x14ac:dyDescent="0.25">
      <c r="B576" s="26" t="s">
        <v>303</v>
      </c>
      <c r="C576" s="1">
        <v>11</v>
      </c>
      <c r="D576" s="27" t="s">
        <v>3079</v>
      </c>
      <c r="E576" s="25"/>
      <c r="F576" s="25" t="str">
        <f>IF(INDEX(I.Production.P1Y1C2,11)="","",INDEX(I.Production.P1Y1C2,11))</f>
        <v/>
      </c>
      <c r="G576" s="25"/>
      <c r="H576" s="1" t="str">
        <f t="shared" si="1"/>
        <v>Complete</v>
      </c>
      <c r="I576" s="48" t="s">
        <v>1392</v>
      </c>
    </row>
    <row r="577" spans="2:9" ht="15" customHeight="1" x14ac:dyDescent="0.25">
      <c r="B577" s="26" t="s">
        <v>303</v>
      </c>
      <c r="C577" s="1">
        <v>12</v>
      </c>
      <c r="D577" s="27" t="s">
        <v>3079</v>
      </c>
      <c r="E577" s="25"/>
      <c r="F577" s="25" t="str">
        <f>IF(INDEX(I.Production.P1Y1C2,12)="","",INDEX(I.Production.P1Y1C2,12))</f>
        <v/>
      </c>
      <c r="G577" s="25"/>
      <c r="H577" s="1" t="str">
        <f t="shared" si="1"/>
        <v>Complete</v>
      </c>
      <c r="I577" s="48" t="s">
        <v>1393</v>
      </c>
    </row>
    <row r="578" spans="2:9" ht="15" customHeight="1" x14ac:dyDescent="0.25">
      <c r="B578" s="26" t="s">
        <v>303</v>
      </c>
      <c r="C578" s="1">
        <v>13</v>
      </c>
      <c r="D578" s="27" t="s">
        <v>3079</v>
      </c>
      <c r="E578" s="25"/>
      <c r="F578" s="25" t="str">
        <f>IF(INDEX(I.Production.P1Y1C2,13)="","",INDEX(I.Production.P1Y1C2,13))</f>
        <v/>
      </c>
      <c r="G578" s="25"/>
      <c r="H578" s="1" t="str">
        <f t="shared" si="1"/>
        <v>Complete</v>
      </c>
      <c r="I578" s="48" t="s">
        <v>1394</v>
      </c>
    </row>
    <row r="579" spans="2:9" ht="15" customHeight="1" x14ac:dyDescent="0.25">
      <c r="B579" s="26" t="s">
        <v>303</v>
      </c>
      <c r="C579" s="1">
        <v>14</v>
      </c>
      <c r="D579" s="27" t="s">
        <v>3079</v>
      </c>
      <c r="E579" s="25"/>
      <c r="F579" s="25" t="str">
        <f>IF(INDEX(I.Production.P1Y1C2,14)="","",INDEX(I.Production.P1Y1C2,14))</f>
        <v/>
      </c>
      <c r="G579" s="25"/>
      <c r="H579" s="1" t="str">
        <f t="shared" si="1"/>
        <v>Complete</v>
      </c>
      <c r="I579" s="48" t="s">
        <v>1395</v>
      </c>
    </row>
    <row r="580" spans="2:9" ht="15" customHeight="1" x14ac:dyDescent="0.25">
      <c r="B580" s="26" t="s">
        <v>303</v>
      </c>
      <c r="C580" s="1">
        <v>15</v>
      </c>
      <c r="D580" s="27" t="s">
        <v>3079</v>
      </c>
      <c r="E580" s="25"/>
      <c r="F580" s="25" t="str">
        <f>IF(INDEX(I.Production.P1Y1C2,15)="","",INDEX(I.Production.P1Y1C2,15))</f>
        <v/>
      </c>
      <c r="G580" s="25"/>
      <c r="H580" s="1" t="str">
        <f t="shared" si="1"/>
        <v>Complete</v>
      </c>
      <c r="I580" s="48" t="s">
        <v>1396</v>
      </c>
    </row>
    <row r="581" spans="2:9" ht="15" customHeight="1" x14ac:dyDescent="0.25">
      <c r="B581" s="26" t="s">
        <v>303</v>
      </c>
      <c r="C581" s="1">
        <v>16</v>
      </c>
      <c r="D581" s="27" t="s">
        <v>3079</v>
      </c>
      <c r="E581" s="25"/>
      <c r="F581" s="25" t="str">
        <f>IF(INDEX(I.Production.P1Y1C2,16)="","",INDEX(I.Production.P1Y1C2,16))</f>
        <v/>
      </c>
      <c r="G581" s="25"/>
      <c r="H581" s="1" t="str">
        <f t="shared" si="1"/>
        <v>Complete</v>
      </c>
      <c r="I581" s="48" t="s">
        <v>1397</v>
      </c>
    </row>
    <row r="582" spans="2:9" ht="15" customHeight="1" x14ac:dyDescent="0.25">
      <c r="B582" s="26" t="s">
        <v>303</v>
      </c>
      <c r="C582" s="1">
        <v>17</v>
      </c>
      <c r="D582" s="27" t="s">
        <v>3079</v>
      </c>
      <c r="E582" s="25"/>
      <c r="F582" s="25" t="str">
        <f>IF(INDEX(I.Production.P1Y1C2,17)="","",INDEX(I.Production.P1Y1C2,17))</f>
        <v/>
      </c>
      <c r="G582" s="25"/>
      <c r="H582" s="1" t="str">
        <f t="shared" si="1"/>
        <v>Complete</v>
      </c>
      <c r="I582" s="48" t="s">
        <v>1398</v>
      </c>
    </row>
    <row r="583" spans="2:9" ht="15" customHeight="1" x14ac:dyDescent="0.25">
      <c r="B583" s="26" t="s">
        <v>303</v>
      </c>
      <c r="C583" s="1">
        <v>18</v>
      </c>
      <c r="D583" s="27" t="s">
        <v>3079</v>
      </c>
      <c r="E583" s="25"/>
      <c r="F583" s="25" t="str">
        <f>IF(INDEX(I.Production.P1Y1C2,18)="","",INDEX(I.Production.P1Y1C2,18))</f>
        <v/>
      </c>
      <c r="G583" s="25"/>
      <c r="H583" s="1" t="str">
        <f t="shared" si="1"/>
        <v>Complete</v>
      </c>
      <c r="I583" s="48" t="s">
        <v>1399</v>
      </c>
    </row>
    <row r="584" spans="2:9" ht="15" customHeight="1" x14ac:dyDescent="0.25">
      <c r="B584" s="26" t="s">
        <v>303</v>
      </c>
      <c r="C584" s="1">
        <v>19</v>
      </c>
      <c r="D584" s="27" t="s">
        <v>3079</v>
      </c>
      <c r="E584" s="25"/>
      <c r="F584" s="25" t="str">
        <f>IF(INDEX(I.Production.P1Y1C2,19)="","",INDEX(I.Production.P1Y1C2,19))</f>
        <v/>
      </c>
      <c r="G584" s="25"/>
      <c r="H584" s="1" t="str">
        <f t="shared" si="1"/>
        <v>Complete</v>
      </c>
      <c r="I584" s="48" t="s">
        <v>1400</v>
      </c>
    </row>
    <row r="585" spans="2:9" ht="15" customHeight="1" x14ac:dyDescent="0.25">
      <c r="B585" s="26" t="s">
        <v>303</v>
      </c>
      <c r="C585" s="1">
        <v>20</v>
      </c>
      <c r="D585" s="27" t="s">
        <v>3079</v>
      </c>
      <c r="E585" s="25"/>
      <c r="F585" s="25" t="str">
        <f>IF(INDEX(I.Production.P1Y1C2,20)="","",INDEX(I.Production.P1Y1C2,20))</f>
        <v/>
      </c>
      <c r="G585" s="25"/>
      <c r="H585" s="1" t="str">
        <f t="shared" si="1"/>
        <v>Complete</v>
      </c>
      <c r="I585" s="48" t="s">
        <v>1401</v>
      </c>
    </row>
    <row r="586" spans="2:9" ht="15" customHeight="1" x14ac:dyDescent="0.25">
      <c r="B586" s="26" t="s">
        <v>303</v>
      </c>
      <c r="C586" s="1">
        <v>21</v>
      </c>
      <c r="D586" s="27" t="s">
        <v>3079</v>
      </c>
      <c r="E586" s="25"/>
      <c r="F586" s="25" t="str">
        <f>IF(INDEX(I.Production.P1Y1C2,21)="","",INDEX(I.Production.P1Y1C2,21))</f>
        <v/>
      </c>
      <c r="G586" s="25"/>
      <c r="H586" s="1" t="str">
        <f t="shared" si="1"/>
        <v>Complete</v>
      </c>
      <c r="I586" s="48" t="s">
        <v>1402</v>
      </c>
    </row>
    <row r="587" spans="2:9" ht="15" customHeight="1" x14ac:dyDescent="0.25">
      <c r="B587" s="26" t="s">
        <v>303</v>
      </c>
      <c r="C587" s="1">
        <v>22</v>
      </c>
      <c r="D587" s="27" t="s">
        <v>3079</v>
      </c>
      <c r="E587" s="25"/>
      <c r="F587" s="25" t="str">
        <f>IF(INDEX(I.Production.P1Y1C2,22)="","",INDEX(I.Production.P1Y1C2,22))</f>
        <v/>
      </c>
      <c r="G587" s="25"/>
      <c r="H587" s="1" t="str">
        <f t="shared" si="1"/>
        <v>Complete</v>
      </c>
      <c r="I587" s="48" t="s">
        <v>1403</v>
      </c>
    </row>
    <row r="588" spans="2:9" ht="15" customHeight="1" x14ac:dyDescent="0.25">
      <c r="B588" s="26" t="s">
        <v>303</v>
      </c>
      <c r="C588" s="1">
        <v>23</v>
      </c>
      <c r="D588" s="27" t="s">
        <v>3079</v>
      </c>
      <c r="E588" s="25"/>
      <c r="F588" s="25" t="str">
        <f>IF(INDEX(I.Production.P1Y1C2,23)="","",INDEX(I.Production.P1Y1C2,23))</f>
        <v/>
      </c>
      <c r="G588" s="25"/>
      <c r="H588" s="1" t="str">
        <f t="shared" si="1"/>
        <v>Complete</v>
      </c>
      <c r="I588" s="48" t="s">
        <v>1404</v>
      </c>
    </row>
    <row r="589" spans="2:9" ht="15" customHeight="1" x14ac:dyDescent="0.25">
      <c r="B589" s="34" t="s">
        <v>303</v>
      </c>
      <c r="C589" s="35">
        <v>24</v>
      </c>
      <c r="D589" s="46" t="s">
        <v>3079</v>
      </c>
      <c r="E589" s="45"/>
      <c r="F589" s="45" t="str">
        <f>IF(INDEX(I.Production.P1Y1C2,24)="","",INDEX(I.Production.P1Y1C2,24))</f>
        <v/>
      </c>
      <c r="G589" s="45"/>
      <c r="H589" s="35" t="str">
        <f t="shared" si="1"/>
        <v>Complete</v>
      </c>
      <c r="I589" s="49" t="s">
        <v>1405</v>
      </c>
    </row>
    <row r="590" spans="2:9" ht="15" customHeight="1" x14ac:dyDescent="0.25">
      <c r="B590" s="26" t="s">
        <v>304</v>
      </c>
      <c r="C590" s="1">
        <v>1</v>
      </c>
      <c r="D590" s="27" t="s">
        <v>3080</v>
      </c>
      <c r="E590" s="25"/>
      <c r="F590" s="25" t="str">
        <f>IF(INDEX(I.Production.P1Y2C2,1)="","",INDEX(I.Production.P1Y2C2,1))</f>
        <v/>
      </c>
      <c r="G590" s="25"/>
      <c r="H590" s="1" t="str">
        <f t="shared" si="1"/>
        <v>Complete</v>
      </c>
      <c r="I590" s="48" t="s">
        <v>1406</v>
      </c>
    </row>
    <row r="591" spans="2:9" ht="15" customHeight="1" x14ac:dyDescent="0.25">
      <c r="B591" s="26" t="s">
        <v>304</v>
      </c>
      <c r="C591" s="1">
        <v>2</v>
      </c>
      <c r="D591" s="27" t="s">
        <v>3080</v>
      </c>
      <c r="E591" s="25"/>
      <c r="F591" s="25" t="str">
        <f>IF(INDEX(I.Production.P1Y2C2,2)="","",INDEX(I.Production.P1Y2C2,2))</f>
        <v/>
      </c>
      <c r="G591" s="25"/>
      <c r="H591" s="1" t="str">
        <f t="shared" si="1"/>
        <v>Complete</v>
      </c>
      <c r="I591" s="48" t="s">
        <v>1407</v>
      </c>
    </row>
    <row r="592" spans="2:9" ht="15" customHeight="1" x14ac:dyDescent="0.25">
      <c r="B592" s="26" t="s">
        <v>304</v>
      </c>
      <c r="C592" s="1">
        <v>3</v>
      </c>
      <c r="D592" s="27" t="s">
        <v>3080</v>
      </c>
      <c r="E592" s="25"/>
      <c r="F592" s="25" t="str">
        <f>IF(INDEX(I.Production.P1Y2C2,3)="","",INDEX(I.Production.P1Y2C2,3))</f>
        <v/>
      </c>
      <c r="G592" s="25"/>
      <c r="H592" s="1" t="str">
        <f t="shared" si="1"/>
        <v>Complete</v>
      </c>
      <c r="I592" s="48" t="s">
        <v>1408</v>
      </c>
    </row>
    <row r="593" spans="2:9" ht="15" customHeight="1" x14ac:dyDescent="0.25">
      <c r="B593" s="26" t="s">
        <v>304</v>
      </c>
      <c r="C593" s="1">
        <v>4</v>
      </c>
      <c r="D593" s="27" t="s">
        <v>3080</v>
      </c>
      <c r="E593" s="25"/>
      <c r="F593" s="25" t="str">
        <f>IF(INDEX(I.Production.P1Y2C2,4)="","",INDEX(I.Production.P1Y2C2,4))</f>
        <v/>
      </c>
      <c r="G593" s="25"/>
      <c r="H593" s="1" t="str">
        <f t="shared" si="1"/>
        <v>Complete</v>
      </c>
      <c r="I593" s="48" t="s">
        <v>1409</v>
      </c>
    </row>
    <row r="594" spans="2:9" ht="15" customHeight="1" x14ac:dyDescent="0.25">
      <c r="B594" s="26" t="s">
        <v>304</v>
      </c>
      <c r="C594" s="1">
        <v>5</v>
      </c>
      <c r="D594" s="27" t="s">
        <v>3080</v>
      </c>
      <c r="E594" s="25"/>
      <c r="F594" s="25" t="str">
        <f>IF(INDEX(I.Production.P1Y2C2,5)="","",INDEX(I.Production.P1Y2C2,5))</f>
        <v/>
      </c>
      <c r="G594" s="25"/>
      <c r="H594" s="1" t="str">
        <f t="shared" si="1"/>
        <v>Complete</v>
      </c>
      <c r="I594" s="48" t="s">
        <v>1410</v>
      </c>
    </row>
    <row r="595" spans="2:9" ht="15" customHeight="1" x14ac:dyDescent="0.25">
      <c r="B595" s="26" t="s">
        <v>304</v>
      </c>
      <c r="C595" s="1">
        <v>6</v>
      </c>
      <c r="D595" s="27" t="s">
        <v>3080</v>
      </c>
      <c r="E595" s="25"/>
      <c r="F595" s="25" t="str">
        <f>IF(INDEX(I.Production.P1Y2C2,6)="","",INDEX(I.Production.P1Y2C2,6))</f>
        <v/>
      </c>
      <c r="G595" s="25"/>
      <c r="H595" s="1" t="str">
        <f t="shared" si="1"/>
        <v>Complete</v>
      </c>
      <c r="I595" s="48" t="s">
        <v>1411</v>
      </c>
    </row>
    <row r="596" spans="2:9" ht="15" customHeight="1" x14ac:dyDescent="0.25">
      <c r="B596" s="26" t="s">
        <v>304</v>
      </c>
      <c r="C596" s="1">
        <v>7</v>
      </c>
      <c r="D596" s="27" t="s">
        <v>3080</v>
      </c>
      <c r="E596" s="25"/>
      <c r="F596" s="25" t="str">
        <f>IF(INDEX(I.Production.P1Y2C2,7)="","",INDEX(I.Production.P1Y2C2,7))</f>
        <v/>
      </c>
      <c r="G596" s="25"/>
      <c r="H596" s="1" t="str">
        <f t="shared" si="1"/>
        <v>Complete</v>
      </c>
      <c r="I596" s="48" t="s">
        <v>1412</v>
      </c>
    </row>
    <row r="597" spans="2:9" ht="15" customHeight="1" x14ac:dyDescent="0.25">
      <c r="B597" s="26" t="s">
        <v>304</v>
      </c>
      <c r="C597" s="1">
        <v>8</v>
      </c>
      <c r="D597" s="27" t="s">
        <v>3080</v>
      </c>
      <c r="E597" s="25"/>
      <c r="F597" s="25" t="str">
        <f>IF(INDEX(I.Production.P1Y2C2,8)="","",INDEX(I.Production.P1Y2C2,8))</f>
        <v/>
      </c>
      <c r="G597" s="25"/>
      <c r="H597" s="1" t="str">
        <f t="shared" si="1"/>
        <v>Complete</v>
      </c>
      <c r="I597" s="48" t="s">
        <v>1413</v>
      </c>
    </row>
    <row r="598" spans="2:9" ht="15" customHeight="1" x14ac:dyDescent="0.25">
      <c r="B598" s="26" t="s">
        <v>304</v>
      </c>
      <c r="C598" s="1">
        <v>9</v>
      </c>
      <c r="D598" s="27" t="s">
        <v>3080</v>
      </c>
      <c r="E598" s="25"/>
      <c r="F598" s="25" t="str">
        <f>IF(INDEX(I.Production.P1Y2C2,9)="","",INDEX(I.Production.P1Y2C2,9))</f>
        <v/>
      </c>
      <c r="G598" s="25"/>
      <c r="H598" s="1" t="str">
        <f t="shared" si="1"/>
        <v>Complete</v>
      </c>
      <c r="I598" s="48" t="s">
        <v>1414</v>
      </c>
    </row>
    <row r="599" spans="2:9" ht="15" customHeight="1" x14ac:dyDescent="0.25">
      <c r="B599" s="26" t="s">
        <v>304</v>
      </c>
      <c r="C599" s="1">
        <v>10</v>
      </c>
      <c r="D599" s="27" t="s">
        <v>3080</v>
      </c>
      <c r="E599" s="25"/>
      <c r="F599" s="25" t="str">
        <f>IF(INDEX(I.Production.P1Y2C2,10)="","",INDEX(I.Production.P1Y2C2,10))</f>
        <v/>
      </c>
      <c r="G599" s="25"/>
      <c r="H599" s="1" t="str">
        <f t="shared" si="1"/>
        <v>Complete</v>
      </c>
      <c r="I599" s="48" t="s">
        <v>1415</v>
      </c>
    </row>
    <row r="600" spans="2:9" ht="15" customHeight="1" x14ac:dyDescent="0.25">
      <c r="B600" s="26" t="s">
        <v>304</v>
      </c>
      <c r="C600" s="1">
        <v>11</v>
      </c>
      <c r="D600" s="27" t="s">
        <v>3080</v>
      </c>
      <c r="E600" s="25"/>
      <c r="F600" s="25" t="str">
        <f>IF(INDEX(I.Production.P1Y2C2,11)="","",INDEX(I.Production.P1Y2C2,11))</f>
        <v/>
      </c>
      <c r="G600" s="25"/>
      <c r="H600" s="1" t="str">
        <f t="shared" si="1"/>
        <v>Complete</v>
      </c>
      <c r="I600" s="48" t="s">
        <v>1416</v>
      </c>
    </row>
    <row r="601" spans="2:9" ht="15" customHeight="1" x14ac:dyDescent="0.25">
      <c r="B601" s="26" t="s">
        <v>304</v>
      </c>
      <c r="C601" s="1">
        <v>12</v>
      </c>
      <c r="D601" s="27" t="s">
        <v>3080</v>
      </c>
      <c r="E601" s="25"/>
      <c r="F601" s="25" t="str">
        <f>IF(INDEX(I.Production.P1Y2C2,12)="","",INDEX(I.Production.P1Y2C2,12))</f>
        <v/>
      </c>
      <c r="G601" s="25"/>
      <c r="H601" s="1" t="str">
        <f t="shared" si="1"/>
        <v>Complete</v>
      </c>
      <c r="I601" s="48" t="s">
        <v>1417</v>
      </c>
    </row>
    <row r="602" spans="2:9" ht="15" customHeight="1" x14ac:dyDescent="0.25">
      <c r="B602" s="26" t="s">
        <v>304</v>
      </c>
      <c r="C602" s="1">
        <v>13</v>
      </c>
      <c r="D602" s="27" t="s">
        <v>3080</v>
      </c>
      <c r="E602" s="25"/>
      <c r="F602" s="25" t="str">
        <f>IF(INDEX(I.Production.P1Y2C2,13)="","",INDEX(I.Production.P1Y2C2,13))</f>
        <v/>
      </c>
      <c r="G602" s="25"/>
      <c r="H602" s="1" t="str">
        <f t="shared" si="1"/>
        <v>Complete</v>
      </c>
      <c r="I602" s="48" t="s">
        <v>1418</v>
      </c>
    </row>
    <row r="603" spans="2:9" ht="15" customHeight="1" x14ac:dyDescent="0.25">
      <c r="B603" s="26" t="s">
        <v>304</v>
      </c>
      <c r="C603" s="1">
        <v>14</v>
      </c>
      <c r="D603" s="27" t="s">
        <v>3080</v>
      </c>
      <c r="E603" s="25"/>
      <c r="F603" s="25" t="str">
        <f>IF(INDEX(I.Production.P1Y2C2,14)="","",INDEX(I.Production.P1Y2C2,14))</f>
        <v/>
      </c>
      <c r="G603" s="25"/>
      <c r="H603" s="1" t="str">
        <f t="shared" si="1"/>
        <v>Complete</v>
      </c>
      <c r="I603" s="48" t="s">
        <v>1419</v>
      </c>
    </row>
    <row r="604" spans="2:9" ht="15" customHeight="1" x14ac:dyDescent="0.25">
      <c r="B604" s="26" t="s">
        <v>304</v>
      </c>
      <c r="C604" s="1">
        <v>15</v>
      </c>
      <c r="D604" s="27" t="s">
        <v>3080</v>
      </c>
      <c r="E604" s="25"/>
      <c r="F604" s="25" t="str">
        <f>IF(INDEX(I.Production.P1Y2C2,15)="","",INDEX(I.Production.P1Y2C2,15))</f>
        <v/>
      </c>
      <c r="G604" s="25"/>
      <c r="H604" s="1" t="str">
        <f t="shared" si="1"/>
        <v>Complete</v>
      </c>
      <c r="I604" s="48" t="s">
        <v>1420</v>
      </c>
    </row>
    <row r="605" spans="2:9" ht="15" customHeight="1" x14ac:dyDescent="0.25">
      <c r="B605" s="26" t="s">
        <v>304</v>
      </c>
      <c r="C605" s="1">
        <v>16</v>
      </c>
      <c r="D605" s="27" t="s">
        <v>3080</v>
      </c>
      <c r="E605" s="25"/>
      <c r="F605" s="25" t="str">
        <f>IF(INDEX(I.Production.P1Y2C2,16)="","",INDEX(I.Production.P1Y2C2,16))</f>
        <v/>
      </c>
      <c r="G605" s="25"/>
      <c r="H605" s="1" t="str">
        <f t="shared" si="1"/>
        <v>Complete</v>
      </c>
      <c r="I605" s="48" t="s">
        <v>1421</v>
      </c>
    </row>
    <row r="606" spans="2:9" ht="15" customHeight="1" x14ac:dyDescent="0.25">
      <c r="B606" s="26" t="s">
        <v>304</v>
      </c>
      <c r="C606" s="1">
        <v>17</v>
      </c>
      <c r="D606" s="27" t="s">
        <v>3080</v>
      </c>
      <c r="E606" s="25"/>
      <c r="F606" s="25" t="str">
        <f>IF(INDEX(I.Production.P1Y2C2,17)="","",INDEX(I.Production.P1Y2C2,17))</f>
        <v/>
      </c>
      <c r="G606" s="25"/>
      <c r="H606" s="1" t="str">
        <f t="shared" si="1"/>
        <v>Complete</v>
      </c>
      <c r="I606" s="48" t="s">
        <v>1422</v>
      </c>
    </row>
    <row r="607" spans="2:9" ht="15" customHeight="1" x14ac:dyDescent="0.25">
      <c r="B607" s="26" t="s">
        <v>304</v>
      </c>
      <c r="C607" s="1">
        <v>18</v>
      </c>
      <c r="D607" s="27" t="s">
        <v>3080</v>
      </c>
      <c r="E607" s="25"/>
      <c r="F607" s="25" t="str">
        <f>IF(INDEX(I.Production.P1Y2C2,18)="","",INDEX(I.Production.P1Y2C2,18))</f>
        <v/>
      </c>
      <c r="G607" s="25"/>
      <c r="H607" s="1" t="str">
        <f t="shared" si="1"/>
        <v>Complete</v>
      </c>
      <c r="I607" s="48" t="s">
        <v>1423</v>
      </c>
    </row>
    <row r="608" spans="2:9" ht="15" customHeight="1" x14ac:dyDescent="0.25">
      <c r="B608" s="26" t="s">
        <v>304</v>
      </c>
      <c r="C608" s="1">
        <v>19</v>
      </c>
      <c r="D608" s="27" t="s">
        <v>3080</v>
      </c>
      <c r="E608" s="25"/>
      <c r="F608" s="25" t="str">
        <f>IF(INDEX(I.Production.P1Y2C2,19)="","",INDEX(I.Production.P1Y2C2,19))</f>
        <v/>
      </c>
      <c r="G608" s="25"/>
      <c r="H608" s="1" t="str">
        <f t="shared" si="1"/>
        <v>Complete</v>
      </c>
      <c r="I608" s="48" t="s">
        <v>1424</v>
      </c>
    </row>
    <row r="609" spans="2:9" ht="15" customHeight="1" x14ac:dyDescent="0.25">
      <c r="B609" s="26" t="s">
        <v>304</v>
      </c>
      <c r="C609" s="1">
        <v>20</v>
      </c>
      <c r="D609" s="27" t="s">
        <v>3080</v>
      </c>
      <c r="E609" s="25"/>
      <c r="F609" s="25" t="str">
        <f>IF(INDEX(I.Production.P1Y2C2,20)="","",INDEX(I.Production.P1Y2C2,20))</f>
        <v/>
      </c>
      <c r="G609" s="25"/>
      <c r="H609" s="1" t="str">
        <f t="shared" si="1"/>
        <v>Complete</v>
      </c>
      <c r="I609" s="48" t="s">
        <v>1425</v>
      </c>
    </row>
    <row r="610" spans="2:9" ht="15" customHeight="1" x14ac:dyDescent="0.25">
      <c r="B610" s="26" t="s">
        <v>304</v>
      </c>
      <c r="C610" s="1">
        <v>21</v>
      </c>
      <c r="D610" s="27" t="s">
        <v>3080</v>
      </c>
      <c r="E610" s="25"/>
      <c r="F610" s="25" t="str">
        <f>IF(INDEX(I.Production.P1Y2C2,21)="","",INDEX(I.Production.P1Y2C2,21))</f>
        <v/>
      </c>
      <c r="G610" s="25"/>
      <c r="H610" s="1" t="str">
        <f t="shared" si="1"/>
        <v>Complete</v>
      </c>
      <c r="I610" s="48" t="s">
        <v>1426</v>
      </c>
    </row>
    <row r="611" spans="2:9" ht="15" customHeight="1" x14ac:dyDescent="0.25">
      <c r="B611" s="26" t="s">
        <v>304</v>
      </c>
      <c r="C611" s="1">
        <v>22</v>
      </c>
      <c r="D611" s="27" t="s">
        <v>3080</v>
      </c>
      <c r="E611" s="25"/>
      <c r="F611" s="25" t="str">
        <f>IF(INDEX(I.Production.P1Y2C2,22)="","",INDEX(I.Production.P1Y2C2,22))</f>
        <v/>
      </c>
      <c r="G611" s="25"/>
      <c r="H611" s="1" t="str">
        <f t="shared" si="1"/>
        <v>Complete</v>
      </c>
      <c r="I611" s="48" t="s">
        <v>1427</v>
      </c>
    </row>
    <row r="612" spans="2:9" ht="15" customHeight="1" x14ac:dyDescent="0.25">
      <c r="B612" s="26" t="s">
        <v>304</v>
      </c>
      <c r="C612" s="1">
        <v>23</v>
      </c>
      <c r="D612" s="27" t="s">
        <v>3080</v>
      </c>
      <c r="E612" s="25"/>
      <c r="F612" s="25" t="str">
        <f>IF(INDEX(I.Production.P1Y2C2,23)="","",INDEX(I.Production.P1Y2C2,23))</f>
        <v/>
      </c>
      <c r="G612" s="25"/>
      <c r="H612" s="1" t="str">
        <f t="shared" si="1"/>
        <v>Complete</v>
      </c>
      <c r="I612" s="48" t="s">
        <v>1428</v>
      </c>
    </row>
    <row r="613" spans="2:9" ht="15" customHeight="1" x14ac:dyDescent="0.25">
      <c r="B613" s="34" t="s">
        <v>304</v>
      </c>
      <c r="C613" s="35">
        <v>24</v>
      </c>
      <c r="D613" s="46" t="s">
        <v>3080</v>
      </c>
      <c r="E613" s="45"/>
      <c r="F613" s="45" t="str">
        <f>IF(INDEX(I.Production.P1Y2C2,24)="","",INDEX(I.Production.P1Y2C2,24))</f>
        <v/>
      </c>
      <c r="G613" s="45"/>
      <c r="H613" s="35" t="str">
        <f t="shared" si="1"/>
        <v>Complete</v>
      </c>
      <c r="I613" s="49" t="s">
        <v>1429</v>
      </c>
    </row>
    <row r="614" spans="2:9" ht="15" customHeight="1" x14ac:dyDescent="0.25">
      <c r="B614" s="26" t="s">
        <v>305</v>
      </c>
      <c r="C614" s="1">
        <v>1</v>
      </c>
      <c r="D614" s="27" t="s">
        <v>3081</v>
      </c>
      <c r="E614" s="25"/>
      <c r="F614" s="25" t="str">
        <f>IF(INDEX(I.Production.P1Y3C2,1)="","",INDEX(I.Production.P1Y3C2,1))</f>
        <v/>
      </c>
      <c r="G614" s="25"/>
      <c r="H614" s="1" t="str">
        <f t="shared" ref="H614:H637" si="2">IF(AND(I.Facility.ProductCount&gt;=1,I.Developer.P1C2=TRUE,I.Product.P1Status&lt;&gt;"Yes",F614=""),"Incomplete","Complete")</f>
        <v>Complete</v>
      </c>
      <c r="I614" s="48" t="s">
        <v>1430</v>
      </c>
    </row>
    <row r="615" spans="2:9" ht="15" customHeight="1" x14ac:dyDescent="0.25">
      <c r="B615" s="26" t="s">
        <v>305</v>
      </c>
      <c r="C615" s="1">
        <v>2</v>
      </c>
      <c r="D615" s="27" t="s">
        <v>3081</v>
      </c>
      <c r="E615" s="25"/>
      <c r="F615" s="25" t="str">
        <f>IF(INDEX(I.Production.P1Y3C2,2)="","",INDEX(I.Production.P1Y3C2,2))</f>
        <v/>
      </c>
      <c r="G615" s="25"/>
      <c r="H615" s="1" t="str">
        <f t="shared" si="2"/>
        <v>Complete</v>
      </c>
      <c r="I615" s="48" t="s">
        <v>1431</v>
      </c>
    </row>
    <row r="616" spans="2:9" ht="15" customHeight="1" x14ac:dyDescent="0.25">
      <c r="B616" s="26" t="s">
        <v>305</v>
      </c>
      <c r="C616" s="1">
        <v>3</v>
      </c>
      <c r="D616" s="27" t="s">
        <v>3081</v>
      </c>
      <c r="E616" s="25"/>
      <c r="F616" s="25" t="str">
        <f>IF(INDEX(I.Production.P1Y3C2,3)="","",INDEX(I.Production.P1Y3C2,3))</f>
        <v/>
      </c>
      <c r="G616" s="25"/>
      <c r="H616" s="1" t="str">
        <f t="shared" si="2"/>
        <v>Complete</v>
      </c>
      <c r="I616" s="48" t="s">
        <v>1432</v>
      </c>
    </row>
    <row r="617" spans="2:9" ht="15" customHeight="1" x14ac:dyDescent="0.25">
      <c r="B617" s="26" t="s">
        <v>305</v>
      </c>
      <c r="C617" s="1">
        <v>4</v>
      </c>
      <c r="D617" s="27" t="s">
        <v>3081</v>
      </c>
      <c r="E617" s="25"/>
      <c r="F617" s="25" t="str">
        <f>IF(INDEX(I.Production.P1Y3C2,4)="","",INDEX(I.Production.P1Y3C2,4))</f>
        <v/>
      </c>
      <c r="G617" s="25"/>
      <c r="H617" s="1" t="str">
        <f t="shared" si="2"/>
        <v>Complete</v>
      </c>
      <c r="I617" s="48" t="s">
        <v>1433</v>
      </c>
    </row>
    <row r="618" spans="2:9" ht="15" customHeight="1" x14ac:dyDescent="0.25">
      <c r="B618" s="26" t="s">
        <v>305</v>
      </c>
      <c r="C618" s="1">
        <v>5</v>
      </c>
      <c r="D618" s="27" t="s">
        <v>3081</v>
      </c>
      <c r="E618" s="25"/>
      <c r="F618" s="25" t="str">
        <f>IF(INDEX(I.Production.P1Y3C2,5)="","",INDEX(I.Production.P1Y3C2,5))</f>
        <v/>
      </c>
      <c r="G618" s="25"/>
      <c r="H618" s="1" t="str">
        <f t="shared" si="2"/>
        <v>Complete</v>
      </c>
      <c r="I618" s="48" t="s">
        <v>1434</v>
      </c>
    </row>
    <row r="619" spans="2:9" ht="15" customHeight="1" x14ac:dyDescent="0.25">
      <c r="B619" s="26" t="s">
        <v>305</v>
      </c>
      <c r="C619" s="1">
        <v>6</v>
      </c>
      <c r="D619" s="27" t="s">
        <v>3081</v>
      </c>
      <c r="E619" s="25"/>
      <c r="F619" s="25" t="str">
        <f>IF(INDEX(I.Production.P1Y3C2,6)="","",INDEX(I.Production.P1Y3C2,6))</f>
        <v/>
      </c>
      <c r="G619" s="25"/>
      <c r="H619" s="1" t="str">
        <f t="shared" si="2"/>
        <v>Complete</v>
      </c>
      <c r="I619" s="48" t="s">
        <v>1435</v>
      </c>
    </row>
    <row r="620" spans="2:9" ht="15" customHeight="1" x14ac:dyDescent="0.25">
      <c r="B620" s="26" t="s">
        <v>305</v>
      </c>
      <c r="C620" s="1">
        <v>7</v>
      </c>
      <c r="D620" s="27" t="s">
        <v>3081</v>
      </c>
      <c r="E620" s="25"/>
      <c r="F620" s="25" t="str">
        <f>IF(INDEX(I.Production.P1Y3C2,7)="","",INDEX(I.Production.P1Y3C2,7))</f>
        <v/>
      </c>
      <c r="G620" s="25"/>
      <c r="H620" s="1" t="str">
        <f t="shared" si="2"/>
        <v>Complete</v>
      </c>
      <c r="I620" s="48" t="s">
        <v>1436</v>
      </c>
    </row>
    <row r="621" spans="2:9" ht="15" customHeight="1" x14ac:dyDescent="0.25">
      <c r="B621" s="26" t="s">
        <v>305</v>
      </c>
      <c r="C621" s="1">
        <v>8</v>
      </c>
      <c r="D621" s="27" t="s">
        <v>3081</v>
      </c>
      <c r="E621" s="25"/>
      <c r="F621" s="25" t="str">
        <f>IF(INDEX(I.Production.P1Y3C2,8)="","",INDEX(I.Production.P1Y3C2,8))</f>
        <v/>
      </c>
      <c r="G621" s="25"/>
      <c r="H621" s="1" t="str">
        <f t="shared" si="2"/>
        <v>Complete</v>
      </c>
      <c r="I621" s="48" t="s">
        <v>1437</v>
      </c>
    </row>
    <row r="622" spans="2:9" ht="15" customHeight="1" x14ac:dyDescent="0.25">
      <c r="B622" s="26" t="s">
        <v>305</v>
      </c>
      <c r="C622" s="1">
        <v>9</v>
      </c>
      <c r="D622" s="27" t="s">
        <v>3081</v>
      </c>
      <c r="E622" s="25"/>
      <c r="F622" s="25" t="str">
        <f>IF(INDEX(I.Production.P1Y3C2,9)="","",INDEX(I.Production.P1Y3C2,9))</f>
        <v/>
      </c>
      <c r="G622" s="25"/>
      <c r="H622" s="1" t="str">
        <f t="shared" si="2"/>
        <v>Complete</v>
      </c>
      <c r="I622" s="48" t="s">
        <v>1438</v>
      </c>
    </row>
    <row r="623" spans="2:9" ht="15" customHeight="1" x14ac:dyDescent="0.25">
      <c r="B623" s="26" t="s">
        <v>305</v>
      </c>
      <c r="C623" s="1">
        <v>10</v>
      </c>
      <c r="D623" s="27" t="s">
        <v>3081</v>
      </c>
      <c r="E623" s="25"/>
      <c r="F623" s="25" t="str">
        <f>IF(INDEX(I.Production.P1Y3C2,10)="","",INDEX(I.Production.P1Y3C2,10))</f>
        <v/>
      </c>
      <c r="G623" s="25"/>
      <c r="H623" s="1" t="str">
        <f t="shared" si="2"/>
        <v>Complete</v>
      </c>
      <c r="I623" s="48" t="s">
        <v>1439</v>
      </c>
    </row>
    <row r="624" spans="2:9" ht="15" customHeight="1" x14ac:dyDescent="0.25">
      <c r="B624" s="26" t="s">
        <v>305</v>
      </c>
      <c r="C624" s="1">
        <v>11</v>
      </c>
      <c r="D624" s="27" t="s">
        <v>3081</v>
      </c>
      <c r="E624" s="25"/>
      <c r="F624" s="25" t="str">
        <f>IF(INDEX(I.Production.P1Y3C2,11)="","",INDEX(I.Production.P1Y3C2,11))</f>
        <v/>
      </c>
      <c r="G624" s="25"/>
      <c r="H624" s="1" t="str">
        <f t="shared" si="2"/>
        <v>Complete</v>
      </c>
      <c r="I624" s="48" t="s">
        <v>1440</v>
      </c>
    </row>
    <row r="625" spans="2:9" ht="15" customHeight="1" x14ac:dyDescent="0.25">
      <c r="B625" s="26" t="s">
        <v>305</v>
      </c>
      <c r="C625" s="1">
        <v>12</v>
      </c>
      <c r="D625" s="27" t="s">
        <v>3081</v>
      </c>
      <c r="E625" s="25"/>
      <c r="F625" s="25" t="str">
        <f>IF(INDEX(I.Production.P1Y3C2,12)="","",INDEX(I.Production.P1Y3C2,12))</f>
        <v/>
      </c>
      <c r="G625" s="25"/>
      <c r="H625" s="1" t="str">
        <f t="shared" si="2"/>
        <v>Complete</v>
      </c>
      <c r="I625" s="48" t="s">
        <v>1441</v>
      </c>
    </row>
    <row r="626" spans="2:9" ht="15" customHeight="1" x14ac:dyDescent="0.25">
      <c r="B626" s="26" t="s">
        <v>305</v>
      </c>
      <c r="C626" s="1">
        <v>13</v>
      </c>
      <c r="D626" s="27" t="s">
        <v>3081</v>
      </c>
      <c r="E626" s="25"/>
      <c r="F626" s="25" t="str">
        <f>IF(INDEX(I.Production.P1Y3C2,13)="","",INDEX(I.Production.P1Y3C2,13))</f>
        <v/>
      </c>
      <c r="G626" s="25"/>
      <c r="H626" s="1" t="str">
        <f t="shared" si="2"/>
        <v>Complete</v>
      </c>
      <c r="I626" s="48" t="s">
        <v>1442</v>
      </c>
    </row>
    <row r="627" spans="2:9" ht="15" customHeight="1" x14ac:dyDescent="0.25">
      <c r="B627" s="26" t="s">
        <v>305</v>
      </c>
      <c r="C627" s="1">
        <v>14</v>
      </c>
      <c r="D627" s="27" t="s">
        <v>3081</v>
      </c>
      <c r="E627" s="25"/>
      <c r="F627" s="25" t="str">
        <f>IF(INDEX(I.Production.P1Y3C2,14)="","",INDEX(I.Production.P1Y3C2,14))</f>
        <v/>
      </c>
      <c r="G627" s="25"/>
      <c r="H627" s="1" t="str">
        <f t="shared" si="2"/>
        <v>Complete</v>
      </c>
      <c r="I627" s="48" t="s">
        <v>1443</v>
      </c>
    </row>
    <row r="628" spans="2:9" ht="15" customHeight="1" x14ac:dyDescent="0.25">
      <c r="B628" s="26" t="s">
        <v>305</v>
      </c>
      <c r="C628" s="1">
        <v>15</v>
      </c>
      <c r="D628" s="27" t="s">
        <v>3081</v>
      </c>
      <c r="E628" s="25"/>
      <c r="F628" s="25" t="str">
        <f>IF(INDEX(I.Production.P1Y3C2,15)="","",INDEX(I.Production.P1Y3C2,15))</f>
        <v/>
      </c>
      <c r="G628" s="25"/>
      <c r="H628" s="1" t="str">
        <f t="shared" si="2"/>
        <v>Complete</v>
      </c>
      <c r="I628" s="48" t="s">
        <v>1444</v>
      </c>
    </row>
    <row r="629" spans="2:9" ht="15" customHeight="1" x14ac:dyDescent="0.25">
      <c r="B629" s="26" t="s">
        <v>305</v>
      </c>
      <c r="C629" s="1">
        <v>16</v>
      </c>
      <c r="D629" s="27" t="s">
        <v>3081</v>
      </c>
      <c r="E629" s="25"/>
      <c r="F629" s="25" t="str">
        <f>IF(INDEX(I.Production.P1Y3C2,16)="","",INDEX(I.Production.P1Y3C2,16))</f>
        <v/>
      </c>
      <c r="G629" s="25"/>
      <c r="H629" s="1" t="str">
        <f t="shared" si="2"/>
        <v>Complete</v>
      </c>
      <c r="I629" s="48" t="s">
        <v>1445</v>
      </c>
    </row>
    <row r="630" spans="2:9" ht="15" customHeight="1" x14ac:dyDescent="0.25">
      <c r="B630" s="26" t="s">
        <v>305</v>
      </c>
      <c r="C630" s="1">
        <v>17</v>
      </c>
      <c r="D630" s="27" t="s">
        <v>3081</v>
      </c>
      <c r="E630" s="25"/>
      <c r="F630" s="25" t="str">
        <f>IF(INDEX(I.Production.P1Y3C2,17)="","",INDEX(I.Production.P1Y3C2,17))</f>
        <v/>
      </c>
      <c r="G630" s="25"/>
      <c r="H630" s="1" t="str">
        <f t="shared" si="2"/>
        <v>Complete</v>
      </c>
      <c r="I630" s="48" t="s">
        <v>1446</v>
      </c>
    </row>
    <row r="631" spans="2:9" ht="15" customHeight="1" x14ac:dyDescent="0.25">
      <c r="B631" s="26" t="s">
        <v>305</v>
      </c>
      <c r="C631" s="1">
        <v>18</v>
      </c>
      <c r="D631" s="27" t="s">
        <v>3081</v>
      </c>
      <c r="E631" s="25"/>
      <c r="F631" s="25" t="str">
        <f>IF(INDEX(I.Production.P1Y3C2,18)="","",INDEX(I.Production.P1Y3C2,18))</f>
        <v/>
      </c>
      <c r="G631" s="25"/>
      <c r="H631" s="1" t="str">
        <f t="shared" si="2"/>
        <v>Complete</v>
      </c>
      <c r="I631" s="48" t="s">
        <v>1447</v>
      </c>
    </row>
    <row r="632" spans="2:9" ht="15" customHeight="1" x14ac:dyDescent="0.25">
      <c r="B632" s="26" t="s">
        <v>305</v>
      </c>
      <c r="C632" s="1">
        <v>19</v>
      </c>
      <c r="D632" s="27" t="s">
        <v>3081</v>
      </c>
      <c r="E632" s="25"/>
      <c r="F632" s="25" t="str">
        <f>IF(INDEX(I.Production.P1Y3C2,19)="","",INDEX(I.Production.P1Y3C2,19))</f>
        <v/>
      </c>
      <c r="G632" s="25"/>
      <c r="H632" s="1" t="str">
        <f t="shared" si="2"/>
        <v>Complete</v>
      </c>
      <c r="I632" s="48" t="s">
        <v>1448</v>
      </c>
    </row>
    <row r="633" spans="2:9" ht="15" customHeight="1" x14ac:dyDescent="0.25">
      <c r="B633" s="26" t="s">
        <v>305</v>
      </c>
      <c r="C633" s="1">
        <v>20</v>
      </c>
      <c r="D633" s="27" t="s">
        <v>3081</v>
      </c>
      <c r="E633" s="25"/>
      <c r="F633" s="25" t="str">
        <f>IF(INDEX(I.Production.P1Y3C2,20)="","",INDEX(I.Production.P1Y3C2,20))</f>
        <v/>
      </c>
      <c r="G633" s="25"/>
      <c r="H633" s="1" t="str">
        <f t="shared" si="2"/>
        <v>Complete</v>
      </c>
      <c r="I633" s="48" t="s">
        <v>1449</v>
      </c>
    </row>
    <row r="634" spans="2:9" ht="15" customHeight="1" x14ac:dyDescent="0.25">
      <c r="B634" s="26" t="s">
        <v>305</v>
      </c>
      <c r="C634" s="1">
        <v>21</v>
      </c>
      <c r="D634" s="27" t="s">
        <v>3081</v>
      </c>
      <c r="E634" s="25"/>
      <c r="F634" s="25" t="str">
        <f>IF(INDEX(I.Production.P1Y3C2,21)="","",INDEX(I.Production.P1Y3C2,21))</f>
        <v/>
      </c>
      <c r="G634" s="25"/>
      <c r="H634" s="1" t="str">
        <f t="shared" si="2"/>
        <v>Complete</v>
      </c>
      <c r="I634" s="48" t="s">
        <v>1450</v>
      </c>
    </row>
    <row r="635" spans="2:9" ht="15" customHeight="1" x14ac:dyDescent="0.25">
      <c r="B635" s="26" t="s">
        <v>305</v>
      </c>
      <c r="C635" s="1">
        <v>22</v>
      </c>
      <c r="D635" s="27" t="s">
        <v>3081</v>
      </c>
      <c r="E635" s="25"/>
      <c r="F635" s="25" t="str">
        <f>IF(INDEX(I.Production.P1Y3C2,22)="","",INDEX(I.Production.P1Y3C2,22))</f>
        <v/>
      </c>
      <c r="G635" s="25"/>
      <c r="H635" s="1" t="str">
        <f t="shared" si="2"/>
        <v>Complete</v>
      </c>
      <c r="I635" s="48" t="s">
        <v>1451</v>
      </c>
    </row>
    <row r="636" spans="2:9" ht="15" customHeight="1" x14ac:dyDescent="0.25">
      <c r="B636" s="26" t="s">
        <v>305</v>
      </c>
      <c r="C636" s="1">
        <v>23</v>
      </c>
      <c r="D636" s="27" t="s">
        <v>3081</v>
      </c>
      <c r="E636" s="25"/>
      <c r="F636" s="25" t="str">
        <f>IF(INDEX(I.Production.P1Y3C2,23)="","",INDEX(I.Production.P1Y3C2,23))</f>
        <v/>
      </c>
      <c r="G636" s="25"/>
      <c r="H636" s="1" t="str">
        <f t="shared" si="2"/>
        <v>Complete</v>
      </c>
      <c r="I636" s="48" t="s">
        <v>1452</v>
      </c>
    </row>
    <row r="637" spans="2:9" ht="15" customHeight="1" x14ac:dyDescent="0.25">
      <c r="B637" s="34" t="s">
        <v>305</v>
      </c>
      <c r="C637" s="35">
        <v>24</v>
      </c>
      <c r="D637" s="46" t="s">
        <v>3081</v>
      </c>
      <c r="E637" s="45"/>
      <c r="F637" s="45" t="str">
        <f>IF(INDEX(I.Production.P1Y3C2,24)="","",INDEX(I.Production.P1Y3C2,24))</f>
        <v/>
      </c>
      <c r="G637" s="45"/>
      <c r="H637" s="35" t="str">
        <f t="shared" si="2"/>
        <v>Complete</v>
      </c>
      <c r="I637" s="49" t="s">
        <v>1453</v>
      </c>
    </row>
    <row r="638" spans="2:9" ht="15" customHeight="1" x14ac:dyDescent="0.25">
      <c r="B638" s="26" t="s">
        <v>306</v>
      </c>
      <c r="C638" s="1">
        <v>1</v>
      </c>
      <c r="D638" s="27" t="s">
        <v>3082</v>
      </c>
      <c r="E638" s="25"/>
      <c r="F638" s="25" t="str">
        <f>IF(INDEX(I.Production.P1Y1C3,1)="","",INDEX(I.Production.P1Y1C3,1))</f>
        <v/>
      </c>
      <c r="G638" s="25"/>
      <c r="H638" s="1" t="str">
        <f t="shared" ref="H638:H679" si="3">IF(AND(I.Facility.ProductCount&gt;=1,I.Developer.P1C3=TRUE,F638=""),"Incomplete","Complete")</f>
        <v>Complete</v>
      </c>
      <c r="I638" s="48" t="s">
        <v>1454</v>
      </c>
    </row>
    <row r="639" spans="2:9" ht="15" customHeight="1" x14ac:dyDescent="0.25">
      <c r="B639" s="26" t="s">
        <v>306</v>
      </c>
      <c r="C639" s="1">
        <v>2</v>
      </c>
      <c r="D639" s="27" t="s">
        <v>3082</v>
      </c>
      <c r="E639" s="25"/>
      <c r="F639" s="25" t="str">
        <f>IF(INDEX(I.Production.P1Y1C3,2)="","",INDEX(I.Production.P1Y1C3,2))</f>
        <v/>
      </c>
      <c r="G639" s="25"/>
      <c r="H639" s="1" t="str">
        <f t="shared" si="3"/>
        <v>Complete</v>
      </c>
      <c r="I639" s="48" t="s">
        <v>1455</v>
      </c>
    </row>
    <row r="640" spans="2:9" ht="15" customHeight="1" x14ac:dyDescent="0.25">
      <c r="B640" s="26" t="s">
        <v>306</v>
      </c>
      <c r="C640" s="1">
        <v>3</v>
      </c>
      <c r="D640" s="27" t="s">
        <v>3082</v>
      </c>
      <c r="E640" s="25"/>
      <c r="F640" s="25" t="str">
        <f>IF(INDEX(I.Production.P1Y1C3,3)="","",INDEX(I.Production.P1Y1C3,3))</f>
        <v/>
      </c>
      <c r="G640" s="25"/>
      <c r="H640" s="1" t="str">
        <f t="shared" si="3"/>
        <v>Complete</v>
      </c>
      <c r="I640" s="48" t="s">
        <v>1456</v>
      </c>
    </row>
    <row r="641" spans="2:9" ht="15" customHeight="1" x14ac:dyDescent="0.25">
      <c r="B641" s="26" t="s">
        <v>306</v>
      </c>
      <c r="C641" s="1">
        <v>4</v>
      </c>
      <c r="D641" s="27" t="s">
        <v>3082</v>
      </c>
      <c r="E641" s="25"/>
      <c r="F641" s="25" t="str">
        <f>IF(INDEX(I.Production.P1Y1C3,4)="","",INDEX(I.Production.P1Y1C3,4))</f>
        <v/>
      </c>
      <c r="G641" s="25"/>
      <c r="H641" s="1" t="str">
        <f t="shared" si="3"/>
        <v>Complete</v>
      </c>
      <c r="I641" s="48" t="s">
        <v>1457</v>
      </c>
    </row>
    <row r="642" spans="2:9" ht="15" customHeight="1" x14ac:dyDescent="0.25">
      <c r="B642" s="26" t="s">
        <v>306</v>
      </c>
      <c r="C642" s="1">
        <v>5</v>
      </c>
      <c r="D642" s="27" t="s">
        <v>3082</v>
      </c>
      <c r="E642" s="25"/>
      <c r="F642" s="25" t="str">
        <f>IF(INDEX(I.Production.P1Y1C3,5)="","",INDEX(I.Production.P1Y1C3,5))</f>
        <v/>
      </c>
      <c r="G642" s="25"/>
      <c r="H642" s="1" t="str">
        <f t="shared" si="3"/>
        <v>Complete</v>
      </c>
      <c r="I642" s="48" t="s">
        <v>1458</v>
      </c>
    </row>
    <row r="643" spans="2:9" ht="15" customHeight="1" x14ac:dyDescent="0.25">
      <c r="B643" s="26" t="s">
        <v>306</v>
      </c>
      <c r="C643" s="1">
        <v>6</v>
      </c>
      <c r="D643" s="27" t="s">
        <v>3082</v>
      </c>
      <c r="E643" s="25"/>
      <c r="F643" s="25" t="str">
        <f>IF(INDEX(I.Production.P1Y1C3,6)="","",INDEX(I.Production.P1Y1C3,6))</f>
        <v/>
      </c>
      <c r="G643" s="25"/>
      <c r="H643" s="1" t="str">
        <f t="shared" si="3"/>
        <v>Complete</v>
      </c>
      <c r="I643" s="48" t="s">
        <v>1459</v>
      </c>
    </row>
    <row r="644" spans="2:9" ht="15" customHeight="1" x14ac:dyDescent="0.25">
      <c r="B644" s="26" t="s">
        <v>306</v>
      </c>
      <c r="C644" s="1">
        <v>7</v>
      </c>
      <c r="D644" s="27" t="s">
        <v>3082</v>
      </c>
      <c r="E644" s="25"/>
      <c r="F644" s="25" t="str">
        <f>IF(INDEX(I.Production.P1Y1C3,7)="","",INDEX(I.Production.P1Y1C3,7))</f>
        <v/>
      </c>
      <c r="G644" s="25"/>
      <c r="H644" s="1" t="str">
        <f t="shared" si="3"/>
        <v>Complete</v>
      </c>
      <c r="I644" s="48" t="s">
        <v>1460</v>
      </c>
    </row>
    <row r="645" spans="2:9" ht="15" customHeight="1" x14ac:dyDescent="0.25">
      <c r="B645" s="26" t="s">
        <v>306</v>
      </c>
      <c r="C645" s="1">
        <v>8</v>
      </c>
      <c r="D645" s="27" t="s">
        <v>3082</v>
      </c>
      <c r="E645" s="25"/>
      <c r="F645" s="25" t="str">
        <f>IF(INDEX(I.Production.P1Y1C3,8)="","",INDEX(I.Production.P1Y1C3,8))</f>
        <v/>
      </c>
      <c r="G645" s="25"/>
      <c r="H645" s="1" t="str">
        <f t="shared" si="3"/>
        <v>Complete</v>
      </c>
      <c r="I645" s="48" t="s">
        <v>1461</v>
      </c>
    </row>
    <row r="646" spans="2:9" ht="15" customHeight="1" x14ac:dyDescent="0.25">
      <c r="B646" s="26" t="s">
        <v>306</v>
      </c>
      <c r="C646" s="1">
        <v>9</v>
      </c>
      <c r="D646" s="27" t="s">
        <v>3082</v>
      </c>
      <c r="E646" s="25"/>
      <c r="F646" s="25" t="str">
        <f>IF(INDEX(I.Production.P1Y1C3,9)="","",INDEX(I.Production.P1Y1C3,9))</f>
        <v/>
      </c>
      <c r="G646" s="25"/>
      <c r="H646" s="1" t="str">
        <f t="shared" si="3"/>
        <v>Complete</v>
      </c>
      <c r="I646" s="48" t="s">
        <v>1462</v>
      </c>
    </row>
    <row r="647" spans="2:9" ht="15" customHeight="1" x14ac:dyDescent="0.25">
      <c r="B647" s="26" t="s">
        <v>306</v>
      </c>
      <c r="C647" s="1">
        <v>10</v>
      </c>
      <c r="D647" s="27" t="s">
        <v>3082</v>
      </c>
      <c r="E647" s="25"/>
      <c r="F647" s="25" t="str">
        <f>IF(INDEX(I.Production.P1Y1C3,10)="","",INDEX(I.Production.P1Y1C3,10))</f>
        <v/>
      </c>
      <c r="G647" s="25"/>
      <c r="H647" s="1" t="str">
        <f t="shared" si="3"/>
        <v>Complete</v>
      </c>
      <c r="I647" s="48" t="s">
        <v>1463</v>
      </c>
    </row>
    <row r="648" spans="2:9" ht="15" customHeight="1" x14ac:dyDescent="0.25">
      <c r="B648" s="26" t="s">
        <v>306</v>
      </c>
      <c r="C648" s="1">
        <v>11</v>
      </c>
      <c r="D648" s="27" t="s">
        <v>3082</v>
      </c>
      <c r="E648" s="25"/>
      <c r="F648" s="25" t="str">
        <f>IF(INDEX(I.Production.P1Y1C3,11)="","",INDEX(I.Production.P1Y1C3,11))</f>
        <v/>
      </c>
      <c r="G648" s="25"/>
      <c r="H648" s="1" t="str">
        <f t="shared" si="3"/>
        <v>Complete</v>
      </c>
      <c r="I648" s="48" t="s">
        <v>1464</v>
      </c>
    </row>
    <row r="649" spans="2:9" ht="15" customHeight="1" x14ac:dyDescent="0.25">
      <c r="B649" s="26" t="s">
        <v>306</v>
      </c>
      <c r="C649" s="1">
        <v>12</v>
      </c>
      <c r="D649" s="27" t="s">
        <v>3082</v>
      </c>
      <c r="E649" s="25"/>
      <c r="F649" s="25" t="str">
        <f>IF(INDEX(I.Production.P1Y1C3,12)="","",INDEX(I.Production.P1Y1C3,12))</f>
        <v/>
      </c>
      <c r="G649" s="25"/>
      <c r="H649" s="1" t="str">
        <f t="shared" si="3"/>
        <v>Complete</v>
      </c>
      <c r="I649" s="48" t="s">
        <v>1465</v>
      </c>
    </row>
    <row r="650" spans="2:9" ht="15" customHeight="1" x14ac:dyDescent="0.25">
      <c r="B650" s="26" t="s">
        <v>306</v>
      </c>
      <c r="C650" s="1">
        <v>13</v>
      </c>
      <c r="D650" s="27" t="s">
        <v>3082</v>
      </c>
      <c r="E650" s="25"/>
      <c r="F650" s="25" t="str">
        <f>IF(INDEX(I.Production.P1Y1C3,13)="","",INDEX(I.Production.P1Y1C3,13))</f>
        <v/>
      </c>
      <c r="G650" s="25"/>
      <c r="H650" s="1" t="str">
        <f t="shared" si="3"/>
        <v>Complete</v>
      </c>
      <c r="I650" s="48" t="s">
        <v>1466</v>
      </c>
    </row>
    <row r="651" spans="2:9" ht="15" customHeight="1" x14ac:dyDescent="0.25">
      <c r="B651" s="26" t="s">
        <v>306</v>
      </c>
      <c r="C651" s="1">
        <v>14</v>
      </c>
      <c r="D651" s="27" t="s">
        <v>3082</v>
      </c>
      <c r="E651" s="25"/>
      <c r="F651" s="25" t="str">
        <f>IF(INDEX(I.Production.P1Y1C3,14)="","",INDEX(I.Production.P1Y1C3,14))</f>
        <v/>
      </c>
      <c r="G651" s="25"/>
      <c r="H651" s="1" t="str">
        <f t="shared" si="3"/>
        <v>Complete</v>
      </c>
      <c r="I651" s="48" t="s">
        <v>1467</v>
      </c>
    </row>
    <row r="652" spans="2:9" ht="15" customHeight="1" x14ac:dyDescent="0.25">
      <c r="B652" s="26" t="s">
        <v>306</v>
      </c>
      <c r="C652" s="1">
        <v>15</v>
      </c>
      <c r="D652" s="27" t="s">
        <v>3082</v>
      </c>
      <c r="E652" s="25"/>
      <c r="F652" s="25" t="str">
        <f>IF(INDEX(I.Production.P1Y1C3,15)="","",INDEX(I.Production.P1Y1C3,15))</f>
        <v/>
      </c>
      <c r="G652" s="25"/>
      <c r="H652" s="1" t="str">
        <f t="shared" si="3"/>
        <v>Complete</v>
      </c>
      <c r="I652" s="48" t="s">
        <v>1468</v>
      </c>
    </row>
    <row r="653" spans="2:9" ht="15" customHeight="1" x14ac:dyDescent="0.25">
      <c r="B653" s="26" t="s">
        <v>306</v>
      </c>
      <c r="C653" s="1">
        <v>16</v>
      </c>
      <c r="D653" s="27" t="s">
        <v>3082</v>
      </c>
      <c r="E653" s="25"/>
      <c r="F653" s="25" t="str">
        <f>IF(INDEX(I.Production.P1Y1C3,16)="","",INDEX(I.Production.P1Y1C3,16))</f>
        <v/>
      </c>
      <c r="G653" s="25"/>
      <c r="H653" s="1" t="str">
        <f t="shared" si="3"/>
        <v>Complete</v>
      </c>
      <c r="I653" s="48" t="s">
        <v>1469</v>
      </c>
    </row>
    <row r="654" spans="2:9" ht="15" customHeight="1" x14ac:dyDescent="0.25">
      <c r="B654" s="26" t="s">
        <v>306</v>
      </c>
      <c r="C654" s="1">
        <v>17</v>
      </c>
      <c r="D654" s="27" t="s">
        <v>3082</v>
      </c>
      <c r="E654" s="25"/>
      <c r="F654" s="25" t="str">
        <f>IF(INDEX(I.Production.P1Y1C3,17)="","",INDEX(I.Production.P1Y1C3,17))</f>
        <v/>
      </c>
      <c r="G654" s="25"/>
      <c r="H654" s="1" t="str">
        <f t="shared" si="3"/>
        <v>Complete</v>
      </c>
      <c r="I654" s="48" t="s">
        <v>1470</v>
      </c>
    </row>
    <row r="655" spans="2:9" ht="15" customHeight="1" x14ac:dyDescent="0.25">
      <c r="B655" s="26" t="s">
        <v>306</v>
      </c>
      <c r="C655" s="1">
        <v>18</v>
      </c>
      <c r="D655" s="27" t="s">
        <v>3082</v>
      </c>
      <c r="E655" s="25"/>
      <c r="F655" s="25" t="str">
        <f>IF(INDEX(I.Production.P1Y1C3,18)="","",INDEX(I.Production.P1Y1C3,18))</f>
        <v/>
      </c>
      <c r="G655" s="25"/>
      <c r="H655" s="1" t="str">
        <f t="shared" si="3"/>
        <v>Complete</v>
      </c>
      <c r="I655" s="48" t="s">
        <v>1471</v>
      </c>
    </row>
    <row r="656" spans="2:9" ht="15" customHeight="1" x14ac:dyDescent="0.25">
      <c r="B656" s="26" t="s">
        <v>306</v>
      </c>
      <c r="C656" s="1">
        <v>19</v>
      </c>
      <c r="D656" s="27" t="s">
        <v>3082</v>
      </c>
      <c r="E656" s="25"/>
      <c r="F656" s="25" t="str">
        <f>IF(INDEX(I.Production.P1Y1C3,19)="","",INDEX(I.Production.P1Y1C3,19))</f>
        <v/>
      </c>
      <c r="G656" s="25"/>
      <c r="H656" s="1" t="str">
        <f t="shared" si="3"/>
        <v>Complete</v>
      </c>
      <c r="I656" s="48" t="s">
        <v>1472</v>
      </c>
    </row>
    <row r="657" spans="2:9" ht="15" customHeight="1" x14ac:dyDescent="0.25">
      <c r="B657" s="26" t="s">
        <v>306</v>
      </c>
      <c r="C657" s="1">
        <v>20</v>
      </c>
      <c r="D657" s="27" t="s">
        <v>3082</v>
      </c>
      <c r="E657" s="25"/>
      <c r="F657" s="25" t="str">
        <f>IF(INDEX(I.Production.P1Y1C3,20)="","",INDEX(I.Production.P1Y1C3,20))</f>
        <v/>
      </c>
      <c r="G657" s="25"/>
      <c r="H657" s="1" t="str">
        <f t="shared" si="3"/>
        <v>Complete</v>
      </c>
      <c r="I657" s="48" t="s">
        <v>1473</v>
      </c>
    </row>
    <row r="658" spans="2:9" ht="15" customHeight="1" x14ac:dyDescent="0.25">
      <c r="B658" s="34" t="s">
        <v>306</v>
      </c>
      <c r="C658" s="35">
        <v>21</v>
      </c>
      <c r="D658" s="46" t="s">
        <v>3082</v>
      </c>
      <c r="E658" s="45"/>
      <c r="F658" s="45" t="str">
        <f>IF(INDEX(I.Production.P1Y1C3,21)="","",INDEX(I.Production.P1Y1C3,21))</f>
        <v/>
      </c>
      <c r="G658" s="45"/>
      <c r="H658" s="35" t="str">
        <f t="shared" si="3"/>
        <v>Complete</v>
      </c>
      <c r="I658" s="49" t="s">
        <v>1474</v>
      </c>
    </row>
    <row r="659" spans="2:9" ht="15" customHeight="1" x14ac:dyDescent="0.25">
      <c r="B659" s="26" t="s">
        <v>307</v>
      </c>
      <c r="C659" s="1">
        <v>1</v>
      </c>
      <c r="D659" s="27" t="s">
        <v>3083</v>
      </c>
      <c r="E659" s="25"/>
      <c r="F659" s="25" t="str">
        <f>IF(INDEX(I.Production.P1Y2C3,1)="","",INDEX(I.Production.P1Y2C3,1))</f>
        <v/>
      </c>
      <c r="G659" s="25"/>
      <c r="H659" s="1" t="str">
        <f t="shared" si="3"/>
        <v>Complete</v>
      </c>
      <c r="I659" s="48" t="s">
        <v>1475</v>
      </c>
    </row>
    <row r="660" spans="2:9" ht="15" customHeight="1" x14ac:dyDescent="0.25">
      <c r="B660" s="26" t="s">
        <v>307</v>
      </c>
      <c r="C660" s="1">
        <v>2</v>
      </c>
      <c r="D660" s="27" t="s">
        <v>3083</v>
      </c>
      <c r="E660" s="25"/>
      <c r="F660" s="25" t="str">
        <f>IF(INDEX(I.Production.P1Y2C3,2)="","",INDEX(I.Production.P1Y2C3,2))</f>
        <v/>
      </c>
      <c r="G660" s="25"/>
      <c r="H660" s="1" t="str">
        <f t="shared" si="3"/>
        <v>Complete</v>
      </c>
      <c r="I660" s="48" t="s">
        <v>1476</v>
      </c>
    </row>
    <row r="661" spans="2:9" ht="15" customHeight="1" x14ac:dyDescent="0.25">
      <c r="B661" s="26" t="s">
        <v>307</v>
      </c>
      <c r="C661" s="1">
        <v>3</v>
      </c>
      <c r="D661" s="27" t="s">
        <v>3083</v>
      </c>
      <c r="E661" s="25"/>
      <c r="F661" s="25" t="str">
        <f>IF(INDEX(I.Production.P1Y2C3,3)="","",INDEX(I.Production.P1Y2C3,3))</f>
        <v/>
      </c>
      <c r="G661" s="25"/>
      <c r="H661" s="1" t="str">
        <f t="shared" si="3"/>
        <v>Complete</v>
      </c>
      <c r="I661" s="48" t="s">
        <v>1477</v>
      </c>
    </row>
    <row r="662" spans="2:9" ht="15" customHeight="1" x14ac:dyDescent="0.25">
      <c r="B662" s="26" t="s">
        <v>307</v>
      </c>
      <c r="C662" s="1">
        <v>4</v>
      </c>
      <c r="D662" s="27" t="s">
        <v>3083</v>
      </c>
      <c r="E662" s="25"/>
      <c r="F662" s="25" t="str">
        <f>IF(INDEX(I.Production.P1Y2C3,4)="","",INDEX(I.Production.P1Y2C3,4))</f>
        <v/>
      </c>
      <c r="G662" s="25"/>
      <c r="H662" s="1" t="str">
        <f t="shared" si="3"/>
        <v>Complete</v>
      </c>
      <c r="I662" s="48" t="s">
        <v>1478</v>
      </c>
    </row>
    <row r="663" spans="2:9" ht="15" customHeight="1" x14ac:dyDescent="0.25">
      <c r="B663" s="26" t="s">
        <v>307</v>
      </c>
      <c r="C663" s="1">
        <v>5</v>
      </c>
      <c r="D663" s="27" t="s">
        <v>3083</v>
      </c>
      <c r="E663" s="25"/>
      <c r="F663" s="25" t="str">
        <f>IF(INDEX(I.Production.P1Y2C3,5)="","",INDEX(I.Production.P1Y2C3,5))</f>
        <v/>
      </c>
      <c r="G663" s="25"/>
      <c r="H663" s="1" t="str">
        <f t="shared" si="3"/>
        <v>Complete</v>
      </c>
      <c r="I663" s="48" t="s">
        <v>1479</v>
      </c>
    </row>
    <row r="664" spans="2:9" ht="15" customHeight="1" x14ac:dyDescent="0.25">
      <c r="B664" s="26" t="s">
        <v>307</v>
      </c>
      <c r="C664" s="1">
        <v>6</v>
      </c>
      <c r="D664" s="27" t="s">
        <v>3083</v>
      </c>
      <c r="E664" s="25"/>
      <c r="F664" s="25" t="str">
        <f>IF(INDEX(I.Production.P1Y2C3,6)="","",INDEX(I.Production.P1Y2C3,6))</f>
        <v/>
      </c>
      <c r="G664" s="25"/>
      <c r="H664" s="1" t="str">
        <f t="shared" si="3"/>
        <v>Complete</v>
      </c>
      <c r="I664" s="48" t="s">
        <v>1480</v>
      </c>
    </row>
    <row r="665" spans="2:9" ht="15" customHeight="1" x14ac:dyDescent="0.25">
      <c r="B665" s="26" t="s">
        <v>307</v>
      </c>
      <c r="C665" s="1">
        <v>7</v>
      </c>
      <c r="D665" s="27" t="s">
        <v>3083</v>
      </c>
      <c r="E665" s="25"/>
      <c r="F665" s="25" t="str">
        <f>IF(INDEX(I.Production.P1Y2C3,7)="","",INDEX(I.Production.P1Y2C3,7))</f>
        <v/>
      </c>
      <c r="G665" s="25"/>
      <c r="H665" s="1" t="str">
        <f t="shared" si="3"/>
        <v>Complete</v>
      </c>
      <c r="I665" s="48" t="s">
        <v>1481</v>
      </c>
    </row>
    <row r="666" spans="2:9" ht="15" customHeight="1" x14ac:dyDescent="0.25">
      <c r="B666" s="26" t="s">
        <v>307</v>
      </c>
      <c r="C666" s="1">
        <v>8</v>
      </c>
      <c r="D666" s="27" t="s">
        <v>3083</v>
      </c>
      <c r="E666" s="25"/>
      <c r="F666" s="25" t="str">
        <f>IF(INDEX(I.Production.P1Y2C3,8)="","",INDEX(I.Production.P1Y2C3,8))</f>
        <v/>
      </c>
      <c r="G666" s="25"/>
      <c r="H666" s="1" t="str">
        <f t="shared" si="3"/>
        <v>Complete</v>
      </c>
      <c r="I666" s="48" t="s">
        <v>1482</v>
      </c>
    </row>
    <row r="667" spans="2:9" ht="15" customHeight="1" x14ac:dyDescent="0.25">
      <c r="B667" s="26" t="s">
        <v>307</v>
      </c>
      <c r="C667" s="1">
        <v>9</v>
      </c>
      <c r="D667" s="27" t="s">
        <v>3083</v>
      </c>
      <c r="E667" s="25"/>
      <c r="F667" s="25" t="str">
        <f>IF(INDEX(I.Production.P1Y2C3,9)="","",INDEX(I.Production.P1Y2C3,9))</f>
        <v/>
      </c>
      <c r="G667" s="25"/>
      <c r="H667" s="1" t="str">
        <f t="shared" si="3"/>
        <v>Complete</v>
      </c>
      <c r="I667" s="48" t="s">
        <v>1483</v>
      </c>
    </row>
    <row r="668" spans="2:9" ht="15" customHeight="1" x14ac:dyDescent="0.25">
      <c r="B668" s="26" t="s">
        <v>307</v>
      </c>
      <c r="C668" s="1">
        <v>10</v>
      </c>
      <c r="D668" s="27" t="s">
        <v>3083</v>
      </c>
      <c r="E668" s="25"/>
      <c r="F668" s="25" t="str">
        <f>IF(INDEX(I.Production.P1Y2C3,10)="","",INDEX(I.Production.P1Y2C3,10))</f>
        <v/>
      </c>
      <c r="G668" s="25"/>
      <c r="H668" s="1" t="str">
        <f t="shared" si="3"/>
        <v>Complete</v>
      </c>
      <c r="I668" s="48" t="s">
        <v>1484</v>
      </c>
    </row>
    <row r="669" spans="2:9" ht="15" customHeight="1" x14ac:dyDescent="0.25">
      <c r="B669" s="26" t="s">
        <v>307</v>
      </c>
      <c r="C669" s="1">
        <v>11</v>
      </c>
      <c r="D669" s="27" t="s">
        <v>3083</v>
      </c>
      <c r="E669" s="25"/>
      <c r="F669" s="25" t="str">
        <f>IF(INDEX(I.Production.P1Y2C3,11)="","",INDEX(I.Production.P1Y2C3,11))</f>
        <v/>
      </c>
      <c r="G669" s="25"/>
      <c r="H669" s="1" t="str">
        <f t="shared" si="3"/>
        <v>Complete</v>
      </c>
      <c r="I669" s="48" t="s">
        <v>1485</v>
      </c>
    </row>
    <row r="670" spans="2:9" ht="15" customHeight="1" x14ac:dyDescent="0.25">
      <c r="B670" s="26" t="s">
        <v>307</v>
      </c>
      <c r="C670" s="1">
        <v>12</v>
      </c>
      <c r="D670" s="27" t="s">
        <v>3083</v>
      </c>
      <c r="E670" s="25"/>
      <c r="F670" s="25" t="str">
        <f>IF(INDEX(I.Production.P1Y2C3,12)="","",INDEX(I.Production.P1Y2C3,12))</f>
        <v/>
      </c>
      <c r="G670" s="25"/>
      <c r="H670" s="1" t="str">
        <f t="shared" si="3"/>
        <v>Complete</v>
      </c>
      <c r="I670" s="48" t="s">
        <v>1486</v>
      </c>
    </row>
    <row r="671" spans="2:9" ht="15" customHeight="1" x14ac:dyDescent="0.25">
      <c r="B671" s="26" t="s">
        <v>307</v>
      </c>
      <c r="C671" s="1">
        <v>13</v>
      </c>
      <c r="D671" s="27" t="s">
        <v>3083</v>
      </c>
      <c r="E671" s="25"/>
      <c r="F671" s="25" t="str">
        <f>IF(INDEX(I.Production.P1Y2C3,13)="","",INDEX(I.Production.P1Y2C3,13))</f>
        <v/>
      </c>
      <c r="G671" s="25"/>
      <c r="H671" s="1" t="str">
        <f t="shared" si="3"/>
        <v>Complete</v>
      </c>
      <c r="I671" s="48" t="s">
        <v>1487</v>
      </c>
    </row>
    <row r="672" spans="2:9" ht="15" customHeight="1" x14ac:dyDescent="0.25">
      <c r="B672" s="26" t="s">
        <v>307</v>
      </c>
      <c r="C672" s="1">
        <v>14</v>
      </c>
      <c r="D672" s="27" t="s">
        <v>3083</v>
      </c>
      <c r="E672" s="25"/>
      <c r="F672" s="25" t="str">
        <f>IF(INDEX(I.Production.P1Y2C3,14)="","",INDEX(I.Production.P1Y2C3,14))</f>
        <v/>
      </c>
      <c r="G672" s="25"/>
      <c r="H672" s="1" t="str">
        <f t="shared" si="3"/>
        <v>Complete</v>
      </c>
      <c r="I672" s="48" t="s">
        <v>1488</v>
      </c>
    </row>
    <row r="673" spans="2:9" ht="15" customHeight="1" x14ac:dyDescent="0.25">
      <c r="B673" s="26" t="s">
        <v>307</v>
      </c>
      <c r="C673" s="1">
        <v>15</v>
      </c>
      <c r="D673" s="27" t="s">
        <v>3083</v>
      </c>
      <c r="E673" s="25"/>
      <c r="F673" s="25" t="str">
        <f>IF(INDEX(I.Production.P1Y2C3,15)="","",INDEX(I.Production.P1Y2C3,15))</f>
        <v/>
      </c>
      <c r="G673" s="25"/>
      <c r="H673" s="1" t="str">
        <f t="shared" si="3"/>
        <v>Complete</v>
      </c>
      <c r="I673" s="48" t="s">
        <v>1489</v>
      </c>
    </row>
    <row r="674" spans="2:9" ht="15" customHeight="1" x14ac:dyDescent="0.25">
      <c r="B674" s="26" t="s">
        <v>307</v>
      </c>
      <c r="C674" s="1">
        <v>16</v>
      </c>
      <c r="D674" s="27" t="s">
        <v>3083</v>
      </c>
      <c r="E674" s="25"/>
      <c r="F674" s="25" t="str">
        <f>IF(INDEX(I.Production.P1Y2C3,16)="","",INDEX(I.Production.P1Y2C3,16))</f>
        <v/>
      </c>
      <c r="G674" s="25"/>
      <c r="H674" s="1" t="str">
        <f t="shared" si="3"/>
        <v>Complete</v>
      </c>
      <c r="I674" s="48" t="s">
        <v>1490</v>
      </c>
    </row>
    <row r="675" spans="2:9" ht="15" customHeight="1" x14ac:dyDescent="0.25">
      <c r="B675" s="26" t="s">
        <v>307</v>
      </c>
      <c r="C675" s="1">
        <v>17</v>
      </c>
      <c r="D675" s="27" t="s">
        <v>3083</v>
      </c>
      <c r="E675" s="25"/>
      <c r="F675" s="25" t="str">
        <f>IF(INDEX(I.Production.P1Y2C3,17)="","",INDEX(I.Production.P1Y2C3,17))</f>
        <v/>
      </c>
      <c r="G675" s="25"/>
      <c r="H675" s="1" t="str">
        <f t="shared" si="3"/>
        <v>Complete</v>
      </c>
      <c r="I675" s="48" t="s">
        <v>1491</v>
      </c>
    </row>
    <row r="676" spans="2:9" ht="15" customHeight="1" x14ac:dyDescent="0.25">
      <c r="B676" s="26" t="s">
        <v>307</v>
      </c>
      <c r="C676" s="1">
        <v>18</v>
      </c>
      <c r="D676" s="27" t="s">
        <v>3083</v>
      </c>
      <c r="E676" s="25"/>
      <c r="F676" s="25" t="str">
        <f>IF(INDEX(I.Production.P1Y2C3,18)="","",INDEX(I.Production.P1Y2C3,18))</f>
        <v/>
      </c>
      <c r="G676" s="25"/>
      <c r="H676" s="1" t="str">
        <f t="shared" si="3"/>
        <v>Complete</v>
      </c>
      <c r="I676" s="48" t="s">
        <v>1492</v>
      </c>
    </row>
    <row r="677" spans="2:9" ht="15" customHeight="1" x14ac:dyDescent="0.25">
      <c r="B677" s="26" t="s">
        <v>307</v>
      </c>
      <c r="C677" s="1">
        <v>19</v>
      </c>
      <c r="D677" s="27" t="s">
        <v>3083</v>
      </c>
      <c r="E677" s="25"/>
      <c r="F677" s="25" t="str">
        <f>IF(INDEX(I.Production.P1Y2C3,19)="","",INDEX(I.Production.P1Y2C3,19))</f>
        <v/>
      </c>
      <c r="G677" s="25"/>
      <c r="H677" s="1" t="str">
        <f t="shared" si="3"/>
        <v>Complete</v>
      </c>
      <c r="I677" s="48" t="s">
        <v>1493</v>
      </c>
    </row>
    <row r="678" spans="2:9" ht="15" customHeight="1" x14ac:dyDescent="0.25">
      <c r="B678" s="26" t="s">
        <v>307</v>
      </c>
      <c r="C678" s="1">
        <v>20</v>
      </c>
      <c r="D678" s="27" t="s">
        <v>3083</v>
      </c>
      <c r="E678" s="25"/>
      <c r="F678" s="25" t="str">
        <f>IF(INDEX(I.Production.P1Y2C3,20)="","",INDEX(I.Production.P1Y2C3,20))</f>
        <v/>
      </c>
      <c r="G678" s="25"/>
      <c r="H678" s="1" t="str">
        <f t="shared" si="3"/>
        <v>Complete</v>
      </c>
      <c r="I678" s="48" t="s">
        <v>1494</v>
      </c>
    </row>
    <row r="679" spans="2:9" ht="15" customHeight="1" x14ac:dyDescent="0.25">
      <c r="B679" s="34" t="s">
        <v>307</v>
      </c>
      <c r="C679" s="35">
        <v>21</v>
      </c>
      <c r="D679" s="46" t="s">
        <v>3083</v>
      </c>
      <c r="E679" s="45"/>
      <c r="F679" s="45" t="str">
        <f>IF(INDEX(I.Production.P1Y2C3,21)="","",INDEX(I.Production.P1Y2C3,21))</f>
        <v/>
      </c>
      <c r="G679" s="45"/>
      <c r="H679" s="35" t="str">
        <f t="shared" si="3"/>
        <v>Complete</v>
      </c>
      <c r="I679" s="49" t="s">
        <v>1495</v>
      </c>
    </row>
    <row r="680" spans="2:9" ht="15" customHeight="1" x14ac:dyDescent="0.25">
      <c r="B680" s="26" t="s">
        <v>308</v>
      </c>
      <c r="C680" s="1">
        <v>1</v>
      </c>
      <c r="D680" s="27" t="s">
        <v>3084</v>
      </c>
      <c r="E680" s="25"/>
      <c r="F680" s="25" t="str">
        <f>IF(INDEX(I.Production.P1Y3C3,1)="","",INDEX(I.Production.P1Y3C3,1))</f>
        <v/>
      </c>
      <c r="G680" s="25"/>
      <c r="H680" s="1" t="str">
        <f t="shared" ref="H680:H700" si="4">IF(AND(I.Facility.ProductCount&gt;=1,I.Developer.P1C3=TRUE,I.Product.P1Status&lt;&gt;"Yes",F680=""),"Incomplete","Complete")</f>
        <v>Complete</v>
      </c>
      <c r="I680" s="48" t="s">
        <v>1496</v>
      </c>
    </row>
    <row r="681" spans="2:9" ht="15" customHeight="1" x14ac:dyDescent="0.25">
      <c r="B681" s="26" t="s">
        <v>308</v>
      </c>
      <c r="C681" s="1">
        <v>2</v>
      </c>
      <c r="D681" s="27" t="s">
        <v>3084</v>
      </c>
      <c r="E681" s="25"/>
      <c r="F681" s="25" t="str">
        <f>IF(INDEX(I.Production.P1Y3C3,2)="","",INDEX(I.Production.P1Y3C3,2))</f>
        <v/>
      </c>
      <c r="G681" s="25"/>
      <c r="H681" s="1" t="str">
        <f t="shared" si="4"/>
        <v>Complete</v>
      </c>
      <c r="I681" s="48" t="s">
        <v>1497</v>
      </c>
    </row>
    <row r="682" spans="2:9" ht="15" customHeight="1" x14ac:dyDescent="0.25">
      <c r="B682" s="26" t="s">
        <v>308</v>
      </c>
      <c r="C682" s="1">
        <v>3</v>
      </c>
      <c r="D682" s="27" t="s">
        <v>3084</v>
      </c>
      <c r="E682" s="25"/>
      <c r="F682" s="25" t="str">
        <f>IF(INDEX(I.Production.P1Y3C3,3)="","",INDEX(I.Production.P1Y3C3,3))</f>
        <v/>
      </c>
      <c r="G682" s="25"/>
      <c r="H682" s="1" t="str">
        <f t="shared" si="4"/>
        <v>Complete</v>
      </c>
      <c r="I682" s="48" t="s">
        <v>1498</v>
      </c>
    </row>
    <row r="683" spans="2:9" ht="15" customHeight="1" x14ac:dyDescent="0.25">
      <c r="B683" s="26" t="s">
        <v>308</v>
      </c>
      <c r="C683" s="1">
        <v>4</v>
      </c>
      <c r="D683" s="27" t="s">
        <v>3084</v>
      </c>
      <c r="E683" s="25"/>
      <c r="F683" s="25" t="str">
        <f>IF(INDEX(I.Production.P1Y3C3,4)="","",INDEX(I.Production.P1Y3C3,4))</f>
        <v/>
      </c>
      <c r="G683" s="25"/>
      <c r="H683" s="1" t="str">
        <f t="shared" si="4"/>
        <v>Complete</v>
      </c>
      <c r="I683" s="48" t="s">
        <v>1499</v>
      </c>
    </row>
    <row r="684" spans="2:9" ht="15" customHeight="1" x14ac:dyDescent="0.25">
      <c r="B684" s="26" t="s">
        <v>308</v>
      </c>
      <c r="C684" s="1">
        <v>5</v>
      </c>
      <c r="D684" s="27" t="s">
        <v>3084</v>
      </c>
      <c r="E684" s="25"/>
      <c r="F684" s="25" t="str">
        <f>IF(INDEX(I.Production.P1Y3C3,5)="","",INDEX(I.Production.P1Y3C3,5))</f>
        <v/>
      </c>
      <c r="G684" s="25"/>
      <c r="H684" s="1" t="str">
        <f t="shared" si="4"/>
        <v>Complete</v>
      </c>
      <c r="I684" s="48" t="s">
        <v>1500</v>
      </c>
    </row>
    <row r="685" spans="2:9" ht="15" customHeight="1" x14ac:dyDescent="0.25">
      <c r="B685" s="26" t="s">
        <v>308</v>
      </c>
      <c r="C685" s="1">
        <v>6</v>
      </c>
      <c r="D685" s="27" t="s">
        <v>3084</v>
      </c>
      <c r="E685" s="25"/>
      <c r="F685" s="25" t="str">
        <f>IF(INDEX(I.Production.P1Y3C3,6)="","",INDEX(I.Production.P1Y3C3,6))</f>
        <v/>
      </c>
      <c r="G685" s="25"/>
      <c r="H685" s="1" t="str">
        <f t="shared" si="4"/>
        <v>Complete</v>
      </c>
      <c r="I685" s="48" t="s">
        <v>1501</v>
      </c>
    </row>
    <row r="686" spans="2:9" ht="15" customHeight="1" x14ac:dyDescent="0.25">
      <c r="B686" s="26" t="s">
        <v>308</v>
      </c>
      <c r="C686" s="1">
        <v>7</v>
      </c>
      <c r="D686" s="27" t="s">
        <v>3084</v>
      </c>
      <c r="E686" s="25"/>
      <c r="F686" s="25" t="str">
        <f>IF(INDEX(I.Production.P1Y3C3,7)="","",INDEX(I.Production.P1Y3C3,7))</f>
        <v/>
      </c>
      <c r="G686" s="25"/>
      <c r="H686" s="1" t="str">
        <f t="shared" si="4"/>
        <v>Complete</v>
      </c>
      <c r="I686" s="48" t="s">
        <v>1502</v>
      </c>
    </row>
    <row r="687" spans="2:9" ht="15" customHeight="1" x14ac:dyDescent="0.25">
      <c r="B687" s="26" t="s">
        <v>308</v>
      </c>
      <c r="C687" s="1">
        <v>8</v>
      </c>
      <c r="D687" s="27" t="s">
        <v>3084</v>
      </c>
      <c r="E687" s="25"/>
      <c r="F687" s="25" t="str">
        <f>IF(INDEX(I.Production.P1Y3C3,8)="","",INDEX(I.Production.P1Y3C3,8))</f>
        <v/>
      </c>
      <c r="G687" s="25"/>
      <c r="H687" s="1" t="str">
        <f t="shared" si="4"/>
        <v>Complete</v>
      </c>
      <c r="I687" s="48" t="s">
        <v>1503</v>
      </c>
    </row>
    <row r="688" spans="2:9" ht="15" customHeight="1" x14ac:dyDescent="0.25">
      <c r="B688" s="26" t="s">
        <v>308</v>
      </c>
      <c r="C688" s="1">
        <v>9</v>
      </c>
      <c r="D688" s="27" t="s">
        <v>3084</v>
      </c>
      <c r="E688" s="25"/>
      <c r="F688" s="25" t="str">
        <f>IF(INDEX(I.Production.P1Y3C3,9)="","",INDEX(I.Production.P1Y3C3,9))</f>
        <v/>
      </c>
      <c r="G688" s="25"/>
      <c r="H688" s="1" t="str">
        <f t="shared" si="4"/>
        <v>Complete</v>
      </c>
      <c r="I688" s="48" t="s">
        <v>1504</v>
      </c>
    </row>
    <row r="689" spans="2:9" ht="15" customHeight="1" x14ac:dyDescent="0.25">
      <c r="B689" s="26" t="s">
        <v>308</v>
      </c>
      <c r="C689" s="1">
        <v>10</v>
      </c>
      <c r="D689" s="27" t="s">
        <v>3084</v>
      </c>
      <c r="E689" s="25"/>
      <c r="F689" s="25" t="str">
        <f>IF(INDEX(I.Production.P1Y3C3,10)="","",INDEX(I.Production.P1Y3C3,10))</f>
        <v/>
      </c>
      <c r="G689" s="25"/>
      <c r="H689" s="1" t="str">
        <f t="shared" si="4"/>
        <v>Complete</v>
      </c>
      <c r="I689" s="48" t="s">
        <v>1505</v>
      </c>
    </row>
    <row r="690" spans="2:9" ht="15" customHeight="1" x14ac:dyDescent="0.25">
      <c r="B690" s="26" t="s">
        <v>308</v>
      </c>
      <c r="C690" s="1">
        <v>11</v>
      </c>
      <c r="D690" s="27" t="s">
        <v>3084</v>
      </c>
      <c r="E690" s="25"/>
      <c r="F690" s="25" t="str">
        <f>IF(INDEX(I.Production.P1Y3C3,11)="","",INDEX(I.Production.P1Y3C3,11))</f>
        <v/>
      </c>
      <c r="G690" s="25"/>
      <c r="H690" s="1" t="str">
        <f t="shared" si="4"/>
        <v>Complete</v>
      </c>
      <c r="I690" s="48" t="s">
        <v>1506</v>
      </c>
    </row>
    <row r="691" spans="2:9" ht="15" customHeight="1" x14ac:dyDescent="0.25">
      <c r="B691" s="26" t="s">
        <v>308</v>
      </c>
      <c r="C691" s="1">
        <v>12</v>
      </c>
      <c r="D691" s="27" t="s">
        <v>3084</v>
      </c>
      <c r="E691" s="25"/>
      <c r="F691" s="25" t="str">
        <f>IF(INDEX(I.Production.P1Y3C3,12)="","",INDEX(I.Production.P1Y3C3,12))</f>
        <v/>
      </c>
      <c r="G691" s="25"/>
      <c r="H691" s="1" t="str">
        <f t="shared" si="4"/>
        <v>Complete</v>
      </c>
      <c r="I691" s="48" t="s">
        <v>1507</v>
      </c>
    </row>
    <row r="692" spans="2:9" ht="15" customHeight="1" x14ac:dyDescent="0.25">
      <c r="B692" s="26" t="s">
        <v>308</v>
      </c>
      <c r="C692" s="1">
        <v>13</v>
      </c>
      <c r="D692" s="27" t="s">
        <v>3084</v>
      </c>
      <c r="E692" s="25"/>
      <c r="F692" s="25" t="str">
        <f>IF(INDEX(I.Production.P1Y3C3,13)="","",INDEX(I.Production.P1Y3C3,13))</f>
        <v/>
      </c>
      <c r="G692" s="25"/>
      <c r="H692" s="1" t="str">
        <f t="shared" si="4"/>
        <v>Complete</v>
      </c>
      <c r="I692" s="48" t="s">
        <v>1508</v>
      </c>
    </row>
    <row r="693" spans="2:9" ht="15" customHeight="1" x14ac:dyDescent="0.25">
      <c r="B693" s="26" t="s">
        <v>308</v>
      </c>
      <c r="C693" s="1">
        <v>14</v>
      </c>
      <c r="D693" s="27" t="s">
        <v>3084</v>
      </c>
      <c r="E693" s="25"/>
      <c r="F693" s="25" t="str">
        <f>IF(INDEX(I.Production.P1Y3C3,14)="","",INDEX(I.Production.P1Y3C3,14))</f>
        <v/>
      </c>
      <c r="G693" s="25"/>
      <c r="H693" s="1" t="str">
        <f t="shared" si="4"/>
        <v>Complete</v>
      </c>
      <c r="I693" s="48" t="s">
        <v>1509</v>
      </c>
    </row>
    <row r="694" spans="2:9" ht="15" customHeight="1" x14ac:dyDescent="0.25">
      <c r="B694" s="26" t="s">
        <v>308</v>
      </c>
      <c r="C694" s="1">
        <v>15</v>
      </c>
      <c r="D694" s="27" t="s">
        <v>3084</v>
      </c>
      <c r="E694" s="25"/>
      <c r="F694" s="25" t="str">
        <f>IF(INDEX(I.Production.P1Y3C3,15)="","",INDEX(I.Production.P1Y3C3,15))</f>
        <v/>
      </c>
      <c r="G694" s="25"/>
      <c r="H694" s="1" t="str">
        <f t="shared" si="4"/>
        <v>Complete</v>
      </c>
      <c r="I694" s="48" t="s">
        <v>1510</v>
      </c>
    </row>
    <row r="695" spans="2:9" ht="15" customHeight="1" x14ac:dyDescent="0.25">
      <c r="B695" s="26" t="s">
        <v>308</v>
      </c>
      <c r="C695" s="1">
        <v>16</v>
      </c>
      <c r="D695" s="27" t="s">
        <v>3084</v>
      </c>
      <c r="E695" s="25"/>
      <c r="F695" s="25" t="str">
        <f>IF(INDEX(I.Production.P1Y3C3,16)="","",INDEX(I.Production.P1Y3C3,16))</f>
        <v/>
      </c>
      <c r="G695" s="25"/>
      <c r="H695" s="1" t="str">
        <f t="shared" si="4"/>
        <v>Complete</v>
      </c>
      <c r="I695" s="48" t="s">
        <v>1511</v>
      </c>
    </row>
    <row r="696" spans="2:9" ht="15" customHeight="1" x14ac:dyDescent="0.25">
      <c r="B696" s="26" t="s">
        <v>308</v>
      </c>
      <c r="C696" s="1">
        <v>17</v>
      </c>
      <c r="D696" s="27" t="s">
        <v>3084</v>
      </c>
      <c r="E696" s="25"/>
      <c r="F696" s="25" t="str">
        <f>IF(INDEX(I.Production.P1Y3C3,17)="","",INDEX(I.Production.P1Y3C3,17))</f>
        <v/>
      </c>
      <c r="G696" s="25"/>
      <c r="H696" s="1" t="str">
        <f t="shared" si="4"/>
        <v>Complete</v>
      </c>
      <c r="I696" s="48" t="s">
        <v>1512</v>
      </c>
    </row>
    <row r="697" spans="2:9" ht="15" customHeight="1" x14ac:dyDescent="0.25">
      <c r="B697" s="26" t="s">
        <v>308</v>
      </c>
      <c r="C697" s="1">
        <v>18</v>
      </c>
      <c r="D697" s="27" t="s">
        <v>3084</v>
      </c>
      <c r="E697" s="25"/>
      <c r="F697" s="25" t="str">
        <f>IF(INDEX(I.Production.P1Y3C3,18)="","",INDEX(I.Production.P1Y3C3,18))</f>
        <v/>
      </c>
      <c r="G697" s="25"/>
      <c r="H697" s="1" t="str">
        <f t="shared" si="4"/>
        <v>Complete</v>
      </c>
      <c r="I697" s="48" t="s">
        <v>1513</v>
      </c>
    </row>
    <row r="698" spans="2:9" ht="15" customHeight="1" x14ac:dyDescent="0.25">
      <c r="B698" s="26" t="s">
        <v>308</v>
      </c>
      <c r="C698" s="1">
        <v>19</v>
      </c>
      <c r="D698" s="27" t="s">
        <v>3084</v>
      </c>
      <c r="E698" s="25"/>
      <c r="F698" s="25" t="str">
        <f>IF(INDEX(I.Production.P1Y3C3,19)="","",INDEX(I.Production.P1Y3C3,19))</f>
        <v/>
      </c>
      <c r="G698" s="25"/>
      <c r="H698" s="1" t="str">
        <f t="shared" si="4"/>
        <v>Complete</v>
      </c>
      <c r="I698" s="48" t="s">
        <v>1514</v>
      </c>
    </row>
    <row r="699" spans="2:9" ht="15" customHeight="1" x14ac:dyDescent="0.25">
      <c r="B699" s="26" t="s">
        <v>308</v>
      </c>
      <c r="C699" s="1">
        <v>20</v>
      </c>
      <c r="D699" s="27" t="s">
        <v>3084</v>
      </c>
      <c r="E699" s="25"/>
      <c r="F699" s="25" t="str">
        <f>IF(INDEX(I.Production.P1Y3C3,20)="","",INDEX(I.Production.P1Y3C3,20))</f>
        <v/>
      </c>
      <c r="G699" s="25"/>
      <c r="H699" s="1" t="str">
        <f t="shared" si="4"/>
        <v>Complete</v>
      </c>
      <c r="I699" s="48" t="s">
        <v>1515</v>
      </c>
    </row>
    <row r="700" spans="2:9" ht="15" customHeight="1" x14ac:dyDescent="0.25">
      <c r="B700" s="34" t="s">
        <v>308</v>
      </c>
      <c r="C700" s="35">
        <v>21</v>
      </c>
      <c r="D700" s="46" t="s">
        <v>3084</v>
      </c>
      <c r="E700" s="45"/>
      <c r="F700" s="45" t="str">
        <f>IF(INDEX(I.Production.P1Y3C3,21)="","",INDEX(I.Production.P1Y3C3,21))</f>
        <v/>
      </c>
      <c r="G700" s="45"/>
      <c r="H700" s="35" t="str">
        <f t="shared" si="4"/>
        <v>Complete</v>
      </c>
      <c r="I700" s="49" t="s">
        <v>1516</v>
      </c>
    </row>
    <row r="701" spans="2:9" ht="15" customHeight="1" x14ac:dyDescent="0.25">
      <c r="B701" s="26" t="s">
        <v>309</v>
      </c>
      <c r="C701" s="1">
        <v>1</v>
      </c>
      <c r="D701" s="27" t="s">
        <v>3085</v>
      </c>
      <c r="E701" s="25"/>
      <c r="F701" s="25" t="str">
        <f>IF(INDEX(I.Production.P1Y1C4,1)="","",INDEX(I.Production.P1Y1C4,1))</f>
        <v/>
      </c>
      <c r="G701" s="25"/>
      <c r="H701" s="1" t="str">
        <f t="shared" ref="H701:H706" si="5">IF(AND(I.Facility.ProductCount&gt;=1,I.Developer.P1C4=TRUE,F701=""),"Incomplete","Complete")</f>
        <v>Complete</v>
      </c>
      <c r="I701" s="48" t="s">
        <v>1517</v>
      </c>
    </row>
    <row r="702" spans="2:9" ht="15" customHeight="1" x14ac:dyDescent="0.25">
      <c r="B702" s="26" t="s">
        <v>309</v>
      </c>
      <c r="C702" s="1">
        <v>2</v>
      </c>
      <c r="D702" s="27" t="s">
        <v>3085</v>
      </c>
      <c r="E702" s="25"/>
      <c r="F702" s="25" t="str">
        <f>IF(INDEX(I.Production.P1Y1C4,2)="","",INDEX(I.Production.P1Y1C4,2))</f>
        <v/>
      </c>
      <c r="G702" s="25"/>
      <c r="H702" s="1" t="str">
        <f t="shared" si="5"/>
        <v>Complete</v>
      </c>
      <c r="I702" s="48" t="s">
        <v>1518</v>
      </c>
    </row>
    <row r="703" spans="2:9" ht="15" customHeight="1" x14ac:dyDescent="0.25">
      <c r="B703" s="34" t="s">
        <v>309</v>
      </c>
      <c r="C703" s="35">
        <v>3</v>
      </c>
      <c r="D703" s="46" t="s">
        <v>3085</v>
      </c>
      <c r="E703" s="45"/>
      <c r="F703" s="45" t="str">
        <f>IF(INDEX(I.Production.P1Y1C4,3)="","",INDEX(I.Production.P1Y1C4,3))</f>
        <v/>
      </c>
      <c r="G703" s="45"/>
      <c r="H703" s="35" t="str">
        <f t="shared" si="5"/>
        <v>Complete</v>
      </c>
      <c r="I703" s="49" t="s">
        <v>1519</v>
      </c>
    </row>
    <row r="704" spans="2:9" ht="15" customHeight="1" x14ac:dyDescent="0.25">
      <c r="B704" s="26" t="s">
        <v>310</v>
      </c>
      <c r="C704" s="1">
        <v>1</v>
      </c>
      <c r="D704" s="27" t="s">
        <v>3086</v>
      </c>
      <c r="E704" s="25"/>
      <c r="F704" s="25" t="str">
        <f>IF(INDEX(I.Production.P1Y2C4,1)="","",INDEX(I.Production.P1Y2C4,1))</f>
        <v/>
      </c>
      <c r="G704" s="25"/>
      <c r="H704" s="1" t="str">
        <f t="shared" si="5"/>
        <v>Complete</v>
      </c>
      <c r="I704" s="48" t="s">
        <v>1520</v>
      </c>
    </row>
    <row r="705" spans="2:9" ht="15" customHeight="1" x14ac:dyDescent="0.25">
      <c r="B705" s="26" t="s">
        <v>310</v>
      </c>
      <c r="C705" s="1">
        <v>2</v>
      </c>
      <c r="D705" s="27" t="s">
        <v>3086</v>
      </c>
      <c r="E705" s="25"/>
      <c r="F705" s="25" t="str">
        <f>IF(INDEX(I.Production.P1Y2C4,2)="","",INDEX(I.Production.P1Y2C4,2))</f>
        <v/>
      </c>
      <c r="G705" s="25"/>
      <c r="H705" s="1" t="str">
        <f t="shared" si="5"/>
        <v>Complete</v>
      </c>
      <c r="I705" s="48" t="s">
        <v>1521</v>
      </c>
    </row>
    <row r="706" spans="2:9" ht="15" customHeight="1" x14ac:dyDescent="0.25">
      <c r="B706" s="34" t="s">
        <v>310</v>
      </c>
      <c r="C706" s="35">
        <v>3</v>
      </c>
      <c r="D706" s="46" t="s">
        <v>3086</v>
      </c>
      <c r="E706" s="45"/>
      <c r="F706" s="45" t="str">
        <f>IF(INDEX(I.Production.P1Y2C4,3)="","",INDEX(I.Production.P1Y2C4,3))</f>
        <v/>
      </c>
      <c r="G706" s="45"/>
      <c r="H706" s="35" t="str">
        <f t="shared" si="5"/>
        <v>Complete</v>
      </c>
      <c r="I706" s="49" t="s">
        <v>1522</v>
      </c>
    </row>
    <row r="707" spans="2:9" ht="15" customHeight="1" x14ac:dyDescent="0.25">
      <c r="B707" s="26" t="s">
        <v>311</v>
      </c>
      <c r="C707" s="1">
        <v>1</v>
      </c>
      <c r="D707" s="27" t="s">
        <v>3087</v>
      </c>
      <c r="E707" s="25"/>
      <c r="F707" s="25" t="str">
        <f>IF(INDEX(I.Production.P1Y3C4,1)="","",INDEX(I.Production.P1Y3C4,1))</f>
        <v/>
      </c>
      <c r="G707" s="25"/>
      <c r="H707" s="1" t="str">
        <f>IF(AND(I.Facility.ProductCount&gt;=1,I.Developer.P1C4=TRUE,I.Product.P1Status&lt;&gt;"Yes",F707=""),"Incomplete","Complete")</f>
        <v>Complete</v>
      </c>
      <c r="I707" s="48" t="s">
        <v>1523</v>
      </c>
    </row>
    <row r="708" spans="2:9" ht="15" customHeight="1" x14ac:dyDescent="0.25">
      <c r="B708" s="26" t="s">
        <v>311</v>
      </c>
      <c r="C708" s="1">
        <v>2</v>
      </c>
      <c r="D708" s="27" t="s">
        <v>3087</v>
      </c>
      <c r="E708" s="25"/>
      <c r="F708" s="25" t="str">
        <f>IF(INDEX(I.Production.P1Y3C4,2)="","",INDEX(I.Production.P1Y3C4,2))</f>
        <v/>
      </c>
      <c r="G708" s="25"/>
      <c r="H708" s="1" t="str">
        <f>IF(AND(I.Facility.ProductCount&gt;=1,I.Developer.P1C4=TRUE,I.Product.P1Status&lt;&gt;"Yes",F708=""),"Incomplete","Complete")</f>
        <v>Complete</v>
      </c>
      <c r="I708" s="48" t="s">
        <v>1524</v>
      </c>
    </row>
    <row r="709" spans="2:9" ht="15" customHeight="1" x14ac:dyDescent="0.25">
      <c r="B709" s="34" t="s">
        <v>311</v>
      </c>
      <c r="C709" s="35">
        <v>3</v>
      </c>
      <c r="D709" s="46" t="s">
        <v>3087</v>
      </c>
      <c r="E709" s="45"/>
      <c r="F709" s="45" t="str">
        <f>IF(INDEX(I.Production.P1Y3C4,3)="","",INDEX(I.Production.P1Y3C4,3))</f>
        <v/>
      </c>
      <c r="G709" s="45"/>
      <c r="H709" s="35" t="str">
        <f>IF(AND(I.Facility.ProductCount&gt;=1,I.Developer.P1C4=TRUE,I.Product.P1Status&lt;&gt;"Yes",F709=""),"Incomplete","Complete")</f>
        <v>Complete</v>
      </c>
      <c r="I709" s="49" t="s">
        <v>1525</v>
      </c>
    </row>
    <row r="710" spans="2:9" ht="15" customHeight="1" x14ac:dyDescent="0.25">
      <c r="B710" s="26" t="s">
        <v>312</v>
      </c>
      <c r="C710" s="1">
        <v>1</v>
      </c>
      <c r="D710" s="27" t="s">
        <v>3088</v>
      </c>
      <c r="E710" s="25"/>
      <c r="F710" s="25" t="str">
        <f>IF(INDEX(I.Production.P1Y1C5,1)="","",INDEX(I.Production.P1Y1C5,1))</f>
        <v/>
      </c>
      <c r="G710" s="25"/>
      <c r="H710" s="1" t="str">
        <f t="shared" ref="H710:H715" si="6">IF(AND(I.Facility.ProductCount&gt;=1,I.Developer.P1C5=TRUE,F710=""),"Incomplete","Complete")</f>
        <v>Complete</v>
      </c>
      <c r="I710" s="48" t="s">
        <v>1526</v>
      </c>
    </row>
    <row r="711" spans="2:9" ht="15" customHeight="1" x14ac:dyDescent="0.25">
      <c r="B711" s="26" t="s">
        <v>312</v>
      </c>
      <c r="C711" s="1">
        <v>2</v>
      </c>
      <c r="D711" s="27" t="s">
        <v>3088</v>
      </c>
      <c r="E711" s="25"/>
      <c r="F711" s="25" t="str">
        <f>IF(INDEX(I.Production.P1Y1C5,2)="","",INDEX(I.Production.P1Y1C5,2))</f>
        <v/>
      </c>
      <c r="G711" s="25"/>
      <c r="H711" s="1" t="str">
        <f t="shared" si="6"/>
        <v>Complete</v>
      </c>
      <c r="I711" s="48" t="s">
        <v>1527</v>
      </c>
    </row>
    <row r="712" spans="2:9" ht="15" customHeight="1" x14ac:dyDescent="0.25">
      <c r="B712" s="34" t="s">
        <v>312</v>
      </c>
      <c r="C712" s="35">
        <v>3</v>
      </c>
      <c r="D712" s="46" t="s">
        <v>3088</v>
      </c>
      <c r="E712" s="45"/>
      <c r="F712" s="45" t="str">
        <f>IF(INDEX(I.Production.P1Y1C5,3)="","",INDEX(I.Production.P1Y1C5,3))</f>
        <v/>
      </c>
      <c r="G712" s="45"/>
      <c r="H712" s="35" t="str">
        <f t="shared" si="6"/>
        <v>Complete</v>
      </c>
      <c r="I712" s="49" t="s">
        <v>1528</v>
      </c>
    </row>
    <row r="713" spans="2:9" ht="15" customHeight="1" x14ac:dyDescent="0.25">
      <c r="B713" s="26" t="s">
        <v>313</v>
      </c>
      <c r="C713" s="1">
        <v>1</v>
      </c>
      <c r="D713" s="27" t="s">
        <v>3089</v>
      </c>
      <c r="E713" s="25"/>
      <c r="F713" s="25" t="str">
        <f>IF(INDEX(I.Production.P1Y2C5,1)="","",INDEX(I.Production.P1Y2C5,1))</f>
        <v/>
      </c>
      <c r="G713" s="25"/>
      <c r="H713" s="1" t="str">
        <f t="shared" si="6"/>
        <v>Complete</v>
      </c>
      <c r="I713" s="48" t="s">
        <v>1529</v>
      </c>
    </row>
    <row r="714" spans="2:9" ht="15" customHeight="1" x14ac:dyDescent="0.25">
      <c r="B714" s="26" t="s">
        <v>313</v>
      </c>
      <c r="C714" s="1">
        <v>2</v>
      </c>
      <c r="D714" s="27" t="s">
        <v>3089</v>
      </c>
      <c r="E714" s="25"/>
      <c r="F714" s="25" t="str">
        <f>IF(INDEX(I.Production.P1Y2C5,2)="","",INDEX(I.Production.P1Y2C5,2))</f>
        <v/>
      </c>
      <c r="G714" s="25"/>
      <c r="H714" s="1" t="str">
        <f t="shared" si="6"/>
        <v>Complete</v>
      </c>
      <c r="I714" s="48" t="s">
        <v>1530</v>
      </c>
    </row>
    <row r="715" spans="2:9" ht="15" customHeight="1" x14ac:dyDescent="0.25">
      <c r="B715" s="34" t="s">
        <v>313</v>
      </c>
      <c r="C715" s="35">
        <v>3</v>
      </c>
      <c r="D715" s="46" t="s">
        <v>3089</v>
      </c>
      <c r="E715" s="45"/>
      <c r="F715" s="45" t="str">
        <f>IF(INDEX(I.Production.P1Y2C5,3)="","",INDEX(I.Production.P1Y2C5,3))</f>
        <v/>
      </c>
      <c r="G715" s="45"/>
      <c r="H715" s="35" t="str">
        <f t="shared" si="6"/>
        <v>Complete</v>
      </c>
      <c r="I715" s="49" t="s">
        <v>1531</v>
      </c>
    </row>
    <row r="716" spans="2:9" ht="15" customHeight="1" x14ac:dyDescent="0.25">
      <c r="B716" s="26" t="s">
        <v>314</v>
      </c>
      <c r="C716" s="1">
        <v>1</v>
      </c>
      <c r="D716" s="27" t="s">
        <v>3090</v>
      </c>
      <c r="E716" s="25"/>
      <c r="F716" s="25" t="str">
        <f>IF(INDEX(I.Production.P1Y3C5,1)="","",INDEX(I.Production.P1Y3C5,1))</f>
        <v/>
      </c>
      <c r="G716" s="25"/>
      <c r="H716" s="1" t="str">
        <f>IF(AND(I.Facility.ProductCount&gt;=1,I.Developer.P1C5=TRUE,I.Product.P1Status&lt;&gt;"Yes",F716=""),"Incomplete","Complete")</f>
        <v>Complete</v>
      </c>
      <c r="I716" s="48" t="s">
        <v>1532</v>
      </c>
    </row>
    <row r="717" spans="2:9" ht="15" customHeight="1" x14ac:dyDescent="0.25">
      <c r="B717" s="26" t="s">
        <v>314</v>
      </c>
      <c r="C717" s="1">
        <v>2</v>
      </c>
      <c r="D717" s="27" t="s">
        <v>3090</v>
      </c>
      <c r="E717" s="25"/>
      <c r="F717" s="25" t="str">
        <f>IF(INDEX(I.Production.P1Y3C5,2)="","",INDEX(I.Production.P1Y3C5,2))</f>
        <v/>
      </c>
      <c r="G717" s="25"/>
      <c r="H717" s="1" t="str">
        <f>IF(AND(I.Facility.ProductCount&gt;=1,I.Developer.P1C5=TRUE,I.Product.P1Status&lt;&gt;"Yes",F717=""),"Incomplete","Complete")</f>
        <v>Complete</v>
      </c>
      <c r="I717" s="48" t="s">
        <v>1533</v>
      </c>
    </row>
    <row r="718" spans="2:9" ht="15" customHeight="1" x14ac:dyDescent="0.25">
      <c r="B718" s="34" t="s">
        <v>314</v>
      </c>
      <c r="C718" s="35">
        <v>3</v>
      </c>
      <c r="D718" s="46" t="s">
        <v>3090</v>
      </c>
      <c r="E718" s="45"/>
      <c r="F718" s="45" t="str">
        <f>IF(INDEX(I.Production.P1Y3C5,3)="","",INDEX(I.Production.P1Y3C5,3))</f>
        <v/>
      </c>
      <c r="G718" s="45"/>
      <c r="H718" s="35" t="str">
        <f>IF(AND(I.Facility.ProductCount&gt;=1,I.Developer.P1C5=TRUE,I.Product.P1Status&lt;&gt;"Yes",F718=""),"Incomplete","Complete")</f>
        <v>Complete</v>
      </c>
      <c r="I718" s="49" t="s">
        <v>1534</v>
      </c>
    </row>
    <row r="719" spans="2:9" ht="15" customHeight="1" x14ac:dyDescent="0.25">
      <c r="B719" s="26" t="s">
        <v>315</v>
      </c>
      <c r="C719" s="1">
        <v>1</v>
      </c>
      <c r="D719" s="27" t="s">
        <v>3091</v>
      </c>
      <c r="E719" s="25"/>
      <c r="F719" s="25" t="str">
        <f>IF(INDEX(I.Production.P1Y1C6,1)="","",INDEX(I.Production.P1Y1C6,1))</f>
        <v/>
      </c>
      <c r="G719" s="25"/>
      <c r="H719" s="1" t="str">
        <f t="shared" ref="H719:H724" si="7">IF(AND(I.Facility.ProductCount&gt;=1,I.Developer.P1C6=TRUE,F719=""),"Incomplete","Complete")</f>
        <v>Complete</v>
      </c>
      <c r="I719" s="48" t="s">
        <v>1535</v>
      </c>
    </row>
    <row r="720" spans="2:9" ht="15" customHeight="1" x14ac:dyDescent="0.25">
      <c r="B720" s="26" t="s">
        <v>315</v>
      </c>
      <c r="C720" s="1">
        <v>2</v>
      </c>
      <c r="D720" s="27" t="s">
        <v>3091</v>
      </c>
      <c r="E720" s="25"/>
      <c r="F720" s="25" t="str">
        <f>IF(INDEX(I.Production.P1Y1C6,2)="","",INDEX(I.Production.P1Y1C6,2))</f>
        <v/>
      </c>
      <c r="G720" s="25"/>
      <c r="H720" s="1" t="str">
        <f t="shared" si="7"/>
        <v>Complete</v>
      </c>
      <c r="I720" s="48" t="s">
        <v>1536</v>
      </c>
    </row>
    <row r="721" spans="2:9" ht="15" customHeight="1" x14ac:dyDescent="0.25">
      <c r="B721" s="34" t="s">
        <v>315</v>
      </c>
      <c r="C721" s="35">
        <v>3</v>
      </c>
      <c r="D721" s="46" t="s">
        <v>3091</v>
      </c>
      <c r="E721" s="45"/>
      <c r="F721" s="45" t="str">
        <f>IF(INDEX(I.Production.P1Y1C6,3)="","",INDEX(I.Production.P1Y1C6,3))</f>
        <v/>
      </c>
      <c r="G721" s="45"/>
      <c r="H721" s="35" t="str">
        <f t="shared" si="7"/>
        <v>Complete</v>
      </c>
      <c r="I721" s="49" t="s">
        <v>1537</v>
      </c>
    </row>
    <row r="722" spans="2:9" ht="15" customHeight="1" x14ac:dyDescent="0.25">
      <c r="B722" s="26" t="s">
        <v>316</v>
      </c>
      <c r="C722" s="1">
        <v>1</v>
      </c>
      <c r="D722" s="27" t="s">
        <v>3092</v>
      </c>
      <c r="E722" s="25"/>
      <c r="F722" s="25" t="str">
        <f>IF(INDEX(I.Production.P1Y2C6,1)="","",INDEX(I.Production.P1Y2C6,1))</f>
        <v/>
      </c>
      <c r="G722" s="25"/>
      <c r="H722" s="1" t="str">
        <f t="shared" si="7"/>
        <v>Complete</v>
      </c>
      <c r="I722" s="48" t="s">
        <v>1538</v>
      </c>
    </row>
    <row r="723" spans="2:9" ht="15" customHeight="1" x14ac:dyDescent="0.25">
      <c r="B723" s="26" t="s">
        <v>316</v>
      </c>
      <c r="C723" s="1">
        <v>2</v>
      </c>
      <c r="D723" s="27" t="s">
        <v>3092</v>
      </c>
      <c r="E723" s="25"/>
      <c r="F723" s="25" t="str">
        <f>IF(INDEX(I.Production.P1Y2C6,2)="","",INDEX(I.Production.P1Y2C6,2))</f>
        <v/>
      </c>
      <c r="G723" s="25"/>
      <c r="H723" s="1" t="str">
        <f t="shared" si="7"/>
        <v>Complete</v>
      </c>
      <c r="I723" s="48" t="s">
        <v>1539</v>
      </c>
    </row>
    <row r="724" spans="2:9" ht="15" customHeight="1" x14ac:dyDescent="0.25">
      <c r="B724" s="34" t="s">
        <v>316</v>
      </c>
      <c r="C724" s="35">
        <v>3</v>
      </c>
      <c r="D724" s="46" t="s">
        <v>3092</v>
      </c>
      <c r="E724" s="45"/>
      <c r="F724" s="45" t="str">
        <f>IF(INDEX(I.Production.P1Y2C6,3)="","",INDEX(I.Production.P1Y2C6,3))</f>
        <v/>
      </c>
      <c r="G724" s="45"/>
      <c r="H724" s="35" t="str">
        <f t="shared" si="7"/>
        <v>Complete</v>
      </c>
      <c r="I724" s="49" t="s">
        <v>1540</v>
      </c>
    </row>
    <row r="725" spans="2:9" ht="15" customHeight="1" x14ac:dyDescent="0.25">
      <c r="B725" s="26" t="s">
        <v>317</v>
      </c>
      <c r="C725" s="1">
        <v>1</v>
      </c>
      <c r="D725" s="27" t="s">
        <v>3093</v>
      </c>
      <c r="E725" s="25"/>
      <c r="F725" s="25" t="str">
        <f>IF(INDEX(I.Production.P1Y3C6,1)="","",INDEX(I.Production.P1Y3C6,1))</f>
        <v/>
      </c>
      <c r="G725" s="25"/>
      <c r="H725" s="1" t="str">
        <f>IF(AND(I.Facility.ProductCount&gt;=1,I.Developer.P1C6=TRUE,I.Product.P1Status&lt;&gt;"Yes",F725=""),"Incomplete","Complete")</f>
        <v>Complete</v>
      </c>
      <c r="I725" s="48" t="s">
        <v>1541</v>
      </c>
    </row>
    <row r="726" spans="2:9" ht="15" customHeight="1" x14ac:dyDescent="0.25">
      <c r="B726" s="26" t="s">
        <v>317</v>
      </c>
      <c r="C726" s="1">
        <v>2</v>
      </c>
      <c r="D726" s="27" t="s">
        <v>3093</v>
      </c>
      <c r="E726" s="25"/>
      <c r="F726" s="25" t="str">
        <f>IF(INDEX(I.Production.P1Y3C6,2)="","",INDEX(I.Production.P1Y3C6,2))</f>
        <v/>
      </c>
      <c r="G726" s="25"/>
      <c r="H726" s="1" t="str">
        <f>IF(AND(I.Facility.ProductCount&gt;=1,I.Developer.P1C6=TRUE,I.Product.P1Status&lt;&gt;"Yes",F726=""),"Incomplete","Complete")</f>
        <v>Complete</v>
      </c>
      <c r="I726" s="48" t="s">
        <v>1542</v>
      </c>
    </row>
    <row r="727" spans="2:9" ht="15" customHeight="1" x14ac:dyDescent="0.25">
      <c r="B727" s="34" t="s">
        <v>317</v>
      </c>
      <c r="C727" s="35">
        <v>3</v>
      </c>
      <c r="D727" s="46" t="s">
        <v>3093</v>
      </c>
      <c r="E727" s="45"/>
      <c r="F727" s="45" t="str">
        <f>IF(INDEX(I.Production.P1Y3C6,3)="","",INDEX(I.Production.P1Y3C6,3))</f>
        <v/>
      </c>
      <c r="G727" s="45"/>
      <c r="H727" s="35" t="str">
        <f>IF(AND(I.Facility.ProductCount&gt;=1,I.Developer.P1C6=TRUE,I.Product.P1Status&lt;&gt;"Yes",F727=""),"Incomplete","Complete")</f>
        <v>Complete</v>
      </c>
      <c r="I727" s="49" t="s">
        <v>1543</v>
      </c>
    </row>
    <row r="728" spans="2:9" ht="15" customHeight="1" x14ac:dyDescent="0.25">
      <c r="B728" s="26" t="s">
        <v>318</v>
      </c>
      <c r="C728" s="1">
        <v>1</v>
      </c>
      <c r="D728" s="27" t="s">
        <v>3094</v>
      </c>
      <c r="E728" s="25"/>
      <c r="F728" s="25" t="str">
        <f>IF(INDEX(I.Production.P1Y1C7,1)="","",INDEX(I.Production.P1Y1C7,1))</f>
        <v/>
      </c>
      <c r="G728" s="25"/>
      <c r="H728" s="1" t="str">
        <f t="shared" ref="H728:H733" si="8">IF(AND(I.Facility.ProductCount&gt;=1,I.Developer.P1C7=TRUE,F728=""),"Incomplete","Complete")</f>
        <v>Complete</v>
      </c>
      <c r="I728" s="48" t="s">
        <v>1544</v>
      </c>
    </row>
    <row r="729" spans="2:9" ht="15" customHeight="1" x14ac:dyDescent="0.25">
      <c r="B729" s="26" t="s">
        <v>318</v>
      </c>
      <c r="C729" s="1">
        <v>2</v>
      </c>
      <c r="D729" s="27" t="s">
        <v>3094</v>
      </c>
      <c r="E729" s="25"/>
      <c r="F729" s="25" t="str">
        <f>IF(INDEX(I.Production.P1Y1C7,2)="","",INDEX(I.Production.P1Y1C7,2))</f>
        <v/>
      </c>
      <c r="G729" s="25"/>
      <c r="H729" s="1" t="str">
        <f t="shared" si="8"/>
        <v>Complete</v>
      </c>
      <c r="I729" s="48" t="s">
        <v>1545</v>
      </c>
    </row>
    <row r="730" spans="2:9" ht="15" customHeight="1" x14ac:dyDescent="0.25">
      <c r="B730" s="34" t="s">
        <v>318</v>
      </c>
      <c r="C730" s="35">
        <v>3</v>
      </c>
      <c r="D730" s="46" t="s">
        <v>3094</v>
      </c>
      <c r="E730" s="45"/>
      <c r="F730" s="45" t="str">
        <f>IF(INDEX(I.Production.P1Y1C7,3)="","",INDEX(I.Production.P1Y1C7,3))</f>
        <v/>
      </c>
      <c r="G730" s="45"/>
      <c r="H730" s="35" t="str">
        <f t="shared" si="8"/>
        <v>Complete</v>
      </c>
      <c r="I730" s="49" t="s">
        <v>1546</v>
      </c>
    </row>
    <row r="731" spans="2:9" ht="15" customHeight="1" x14ac:dyDescent="0.25">
      <c r="B731" s="26" t="s">
        <v>319</v>
      </c>
      <c r="C731" s="1">
        <v>1</v>
      </c>
      <c r="D731" s="27" t="s">
        <v>3095</v>
      </c>
      <c r="E731" s="25"/>
      <c r="F731" s="25" t="str">
        <f>IF(INDEX(I.Production.P1Y2C7,1)="","",INDEX(I.Production.P1Y2C7,1))</f>
        <v/>
      </c>
      <c r="G731" s="25"/>
      <c r="H731" s="1" t="str">
        <f t="shared" si="8"/>
        <v>Complete</v>
      </c>
      <c r="I731" s="48" t="s">
        <v>1547</v>
      </c>
    </row>
    <row r="732" spans="2:9" ht="15" customHeight="1" x14ac:dyDescent="0.25">
      <c r="B732" s="26" t="s">
        <v>319</v>
      </c>
      <c r="C732" s="1">
        <v>2</v>
      </c>
      <c r="D732" s="27" t="s">
        <v>3095</v>
      </c>
      <c r="E732" s="25"/>
      <c r="F732" s="25" t="str">
        <f>IF(INDEX(I.Production.P1Y2C7,2)="","",INDEX(I.Production.P1Y2C7,2))</f>
        <v/>
      </c>
      <c r="G732" s="25"/>
      <c r="H732" s="1" t="str">
        <f t="shared" si="8"/>
        <v>Complete</v>
      </c>
      <c r="I732" s="48" t="s">
        <v>1548</v>
      </c>
    </row>
    <row r="733" spans="2:9" ht="15" customHeight="1" x14ac:dyDescent="0.25">
      <c r="B733" s="34" t="s">
        <v>319</v>
      </c>
      <c r="C733" s="35">
        <v>3</v>
      </c>
      <c r="D733" s="46" t="s">
        <v>3095</v>
      </c>
      <c r="E733" s="45"/>
      <c r="F733" s="45" t="str">
        <f>IF(INDEX(I.Production.P1Y2C7,3)="","",INDEX(I.Production.P1Y2C7,3))</f>
        <v/>
      </c>
      <c r="G733" s="45"/>
      <c r="H733" s="35" t="str">
        <f t="shared" si="8"/>
        <v>Complete</v>
      </c>
      <c r="I733" s="49" t="s">
        <v>1549</v>
      </c>
    </row>
    <row r="734" spans="2:9" ht="15" customHeight="1" x14ac:dyDescent="0.25">
      <c r="B734" s="26" t="s">
        <v>320</v>
      </c>
      <c r="C734" s="1">
        <v>1</v>
      </c>
      <c r="D734" s="27" t="s">
        <v>3096</v>
      </c>
      <c r="E734" s="25"/>
      <c r="F734" s="25" t="str">
        <f>IF(INDEX(I.Production.P1Y3C7,1)="","",INDEX(I.Production.P1Y3C7,1))</f>
        <v/>
      </c>
      <c r="G734" s="25"/>
      <c r="H734" s="1" t="str">
        <f>IF(AND(I.Facility.ProductCount&gt;=1,I.Developer.P1C7=TRUE,I.Product.P1Status&lt;&gt;"Yes",F734=""),"Incomplete","Complete")</f>
        <v>Complete</v>
      </c>
      <c r="I734" s="48" t="s">
        <v>1550</v>
      </c>
    </row>
    <row r="735" spans="2:9" ht="15" customHeight="1" x14ac:dyDescent="0.25">
      <c r="B735" s="26" t="s">
        <v>320</v>
      </c>
      <c r="C735" s="1">
        <v>2</v>
      </c>
      <c r="D735" s="27" t="s">
        <v>3096</v>
      </c>
      <c r="E735" s="25"/>
      <c r="F735" s="25" t="str">
        <f>IF(INDEX(I.Production.P1Y3C7,2)="","",INDEX(I.Production.P1Y3C7,2))</f>
        <v/>
      </c>
      <c r="G735" s="25"/>
      <c r="H735" s="1" t="str">
        <f>IF(AND(I.Facility.ProductCount&gt;=1,I.Developer.P1C7=TRUE,I.Product.P1Status&lt;&gt;"Yes",F735=""),"Incomplete","Complete")</f>
        <v>Complete</v>
      </c>
      <c r="I735" s="48" t="s">
        <v>1551</v>
      </c>
    </row>
    <row r="736" spans="2:9" ht="15" customHeight="1" x14ac:dyDescent="0.25">
      <c r="B736" s="34" t="s">
        <v>320</v>
      </c>
      <c r="C736" s="35">
        <v>3</v>
      </c>
      <c r="D736" s="46" t="s">
        <v>3096</v>
      </c>
      <c r="E736" s="45"/>
      <c r="F736" s="45" t="str">
        <f>IF(INDEX(I.Production.P1Y3C7,3)="","",INDEX(I.Production.P1Y3C7,3))</f>
        <v/>
      </c>
      <c r="G736" s="45"/>
      <c r="H736" s="35" t="str">
        <f>IF(AND(I.Facility.ProductCount&gt;=1,I.Developer.P1C7=TRUE,I.Product.P1Status&lt;&gt;"Yes",F736=""),"Incomplete","Complete")</f>
        <v>Complete</v>
      </c>
      <c r="I736" s="49" t="s">
        <v>1552</v>
      </c>
    </row>
    <row r="737" spans="2:9" ht="15" customHeight="1" x14ac:dyDescent="0.25">
      <c r="B737" s="26" t="s">
        <v>321</v>
      </c>
      <c r="C737" s="1">
        <v>1</v>
      </c>
      <c r="D737" s="27" t="s">
        <v>3097</v>
      </c>
      <c r="E737" s="25"/>
      <c r="F737" s="25" t="str">
        <f>IF(INDEX(I.Production.P1Y1C8,1)="","",INDEX(I.Production.P1Y1C8,1))</f>
        <v/>
      </c>
      <c r="G737" s="25"/>
      <c r="H737" s="1" t="str">
        <f t="shared" ref="H737:H742" si="9">IF(AND(I.Facility.ProductCount&gt;=1,I.Developer.P1C8=TRUE,F737=""),"Incomplete","Complete")</f>
        <v>Complete</v>
      </c>
      <c r="I737" s="48" t="s">
        <v>1553</v>
      </c>
    </row>
    <row r="738" spans="2:9" ht="15" customHeight="1" x14ac:dyDescent="0.25">
      <c r="B738" s="26" t="s">
        <v>321</v>
      </c>
      <c r="C738" s="1">
        <v>2</v>
      </c>
      <c r="D738" s="27" t="s">
        <v>3097</v>
      </c>
      <c r="E738" s="25"/>
      <c r="F738" s="25" t="str">
        <f>IF(INDEX(I.Production.P1Y1C8,2)="","",INDEX(I.Production.P1Y1C8,2))</f>
        <v/>
      </c>
      <c r="G738" s="25"/>
      <c r="H738" s="1" t="str">
        <f t="shared" si="9"/>
        <v>Complete</v>
      </c>
      <c r="I738" s="48" t="s">
        <v>1554</v>
      </c>
    </row>
    <row r="739" spans="2:9" ht="15" customHeight="1" x14ac:dyDescent="0.25">
      <c r="B739" s="34" t="s">
        <v>321</v>
      </c>
      <c r="C739" s="35">
        <v>3</v>
      </c>
      <c r="D739" s="46" t="s">
        <v>3097</v>
      </c>
      <c r="E739" s="45"/>
      <c r="F739" s="45" t="str">
        <f>IF(INDEX(I.Production.P1Y1C8,3)="","",INDEX(I.Production.P1Y1C8,3))</f>
        <v/>
      </c>
      <c r="G739" s="45"/>
      <c r="H739" s="35" t="str">
        <f t="shared" si="9"/>
        <v>Complete</v>
      </c>
      <c r="I739" s="49" t="s">
        <v>1555</v>
      </c>
    </row>
    <row r="740" spans="2:9" ht="15" customHeight="1" x14ac:dyDescent="0.25">
      <c r="B740" s="26" t="s">
        <v>322</v>
      </c>
      <c r="C740" s="1">
        <v>1</v>
      </c>
      <c r="D740" s="27" t="s">
        <v>3098</v>
      </c>
      <c r="E740" s="25"/>
      <c r="F740" s="25" t="str">
        <f>IF(INDEX(I.Production.P1Y2C8,1)="","",INDEX(I.Production.P1Y2C8,1))</f>
        <v/>
      </c>
      <c r="G740" s="25"/>
      <c r="H740" s="1" t="str">
        <f t="shared" si="9"/>
        <v>Complete</v>
      </c>
      <c r="I740" s="48" t="s">
        <v>1556</v>
      </c>
    </row>
    <row r="741" spans="2:9" ht="15" customHeight="1" x14ac:dyDescent="0.25">
      <c r="B741" s="26" t="s">
        <v>322</v>
      </c>
      <c r="C741" s="1">
        <v>2</v>
      </c>
      <c r="D741" s="27" t="s">
        <v>3098</v>
      </c>
      <c r="E741" s="25"/>
      <c r="F741" s="25" t="str">
        <f>IF(INDEX(I.Production.P1Y2C8,2)="","",INDEX(I.Production.P1Y2C8,2))</f>
        <v/>
      </c>
      <c r="G741" s="25"/>
      <c r="H741" s="1" t="str">
        <f t="shared" si="9"/>
        <v>Complete</v>
      </c>
      <c r="I741" s="48" t="s">
        <v>1557</v>
      </c>
    </row>
    <row r="742" spans="2:9" ht="15" customHeight="1" x14ac:dyDescent="0.25">
      <c r="B742" s="34" t="s">
        <v>322</v>
      </c>
      <c r="C742" s="35">
        <v>3</v>
      </c>
      <c r="D742" s="46" t="s">
        <v>3098</v>
      </c>
      <c r="E742" s="45"/>
      <c r="F742" s="45" t="str">
        <f>IF(INDEX(I.Production.P1Y2C8,3)="","",INDEX(I.Production.P1Y2C8,3))</f>
        <v/>
      </c>
      <c r="G742" s="45"/>
      <c r="H742" s="35" t="str">
        <f t="shared" si="9"/>
        <v>Complete</v>
      </c>
      <c r="I742" s="49" t="s">
        <v>1558</v>
      </c>
    </row>
    <row r="743" spans="2:9" ht="15" customHeight="1" x14ac:dyDescent="0.25">
      <c r="B743" s="26" t="s">
        <v>323</v>
      </c>
      <c r="C743" s="1">
        <v>1</v>
      </c>
      <c r="D743" s="27" t="s">
        <v>3099</v>
      </c>
      <c r="E743" s="25"/>
      <c r="F743" s="25" t="str">
        <f>IF(INDEX(I.Production.P1Y3C8,1)="","",INDEX(I.Production.P1Y3C8,1))</f>
        <v/>
      </c>
      <c r="G743" s="25"/>
      <c r="H743" s="1" t="str">
        <f>IF(AND(I.Facility.ProductCount&gt;=1,I.Developer.P1C8=TRUE,I.Product.P1Status&lt;&gt;"Yes",F743=""),"Incomplete","Complete")</f>
        <v>Complete</v>
      </c>
      <c r="I743" s="48" t="s">
        <v>1559</v>
      </c>
    </row>
    <row r="744" spans="2:9" ht="15" customHeight="1" x14ac:dyDescent="0.25">
      <c r="B744" s="26" t="s">
        <v>323</v>
      </c>
      <c r="C744" s="1">
        <v>2</v>
      </c>
      <c r="D744" s="27" t="s">
        <v>3099</v>
      </c>
      <c r="E744" s="25"/>
      <c r="F744" s="25" t="str">
        <f>IF(INDEX(I.Production.P1Y3C8,2)="","",INDEX(I.Production.P1Y3C8,2))</f>
        <v/>
      </c>
      <c r="G744" s="25"/>
      <c r="H744" s="1" t="str">
        <f>IF(AND(I.Facility.ProductCount&gt;=1,I.Developer.P1C8=TRUE,I.Product.P1Status&lt;&gt;"Yes",F744=""),"Incomplete","Complete")</f>
        <v>Complete</v>
      </c>
      <c r="I744" s="48" t="s">
        <v>1560</v>
      </c>
    </row>
    <row r="745" spans="2:9" ht="15" customHeight="1" x14ac:dyDescent="0.25">
      <c r="B745" s="34" t="s">
        <v>323</v>
      </c>
      <c r="C745" s="35">
        <v>3</v>
      </c>
      <c r="D745" s="46" t="s">
        <v>3099</v>
      </c>
      <c r="E745" s="45"/>
      <c r="F745" s="45" t="str">
        <f>IF(INDEX(I.Production.P1Y3C8,3)="","",INDEX(I.Production.P1Y3C8,3))</f>
        <v/>
      </c>
      <c r="G745" s="45"/>
      <c r="H745" s="35" t="str">
        <f>IF(AND(I.Facility.ProductCount&gt;=1,I.Developer.P1C8=TRUE,I.Product.P1Status&lt;&gt;"Yes",F745=""),"Incomplete","Complete")</f>
        <v>Complete</v>
      </c>
      <c r="I745" s="49" t="s">
        <v>1561</v>
      </c>
    </row>
    <row r="746" spans="2:9" ht="15" customHeight="1" x14ac:dyDescent="0.25">
      <c r="B746" s="26" t="s">
        <v>324</v>
      </c>
      <c r="C746" s="1">
        <v>1</v>
      </c>
      <c r="D746" s="27" t="s">
        <v>3100</v>
      </c>
      <c r="E746" s="25"/>
      <c r="F746" s="25" t="str">
        <f>IF(INDEX(I.Production.P1Y1C9,1)="","",INDEX(I.Production.P1Y1C9,1))</f>
        <v/>
      </c>
      <c r="G746" s="25"/>
      <c r="H746" s="1" t="str">
        <f t="shared" ref="H746:H751" si="10">IF(AND(I.Facility.ProductCount&gt;=1,I.Developer.P1C9=TRUE,F746=""),"Incomplete","Complete")</f>
        <v>Complete</v>
      </c>
      <c r="I746" s="48" t="s">
        <v>1562</v>
      </c>
    </row>
    <row r="747" spans="2:9" ht="15" customHeight="1" x14ac:dyDescent="0.25">
      <c r="B747" s="26" t="s">
        <v>324</v>
      </c>
      <c r="C747" s="1">
        <v>2</v>
      </c>
      <c r="D747" s="27" t="s">
        <v>3100</v>
      </c>
      <c r="E747" s="25"/>
      <c r="F747" s="25" t="str">
        <f>IF(INDEX(I.Production.P1Y1C9,2)="","",INDEX(I.Production.P1Y1C9,2))</f>
        <v/>
      </c>
      <c r="G747" s="25"/>
      <c r="H747" s="1" t="str">
        <f t="shared" si="10"/>
        <v>Complete</v>
      </c>
      <c r="I747" s="48" t="s">
        <v>1563</v>
      </c>
    </row>
    <row r="748" spans="2:9" ht="15" customHeight="1" x14ac:dyDescent="0.25">
      <c r="B748" s="34" t="s">
        <v>324</v>
      </c>
      <c r="C748" s="35">
        <v>3</v>
      </c>
      <c r="D748" s="46" t="s">
        <v>3100</v>
      </c>
      <c r="E748" s="45"/>
      <c r="F748" s="45" t="str">
        <f>IF(INDEX(I.Production.P1Y1C9,3)="","",INDEX(I.Production.P1Y1C9,3))</f>
        <v/>
      </c>
      <c r="G748" s="45"/>
      <c r="H748" s="35" t="str">
        <f t="shared" si="10"/>
        <v>Complete</v>
      </c>
      <c r="I748" s="49" t="s">
        <v>1564</v>
      </c>
    </row>
    <row r="749" spans="2:9" ht="15" customHeight="1" x14ac:dyDescent="0.25">
      <c r="B749" s="26" t="s">
        <v>325</v>
      </c>
      <c r="C749" s="1">
        <v>1</v>
      </c>
      <c r="D749" s="27" t="s">
        <v>3101</v>
      </c>
      <c r="E749" s="25"/>
      <c r="F749" s="25" t="str">
        <f>IF(INDEX(I.Production.P1Y2C9,1)="","",INDEX(I.Production.P1Y2C9,1))</f>
        <v/>
      </c>
      <c r="G749" s="25"/>
      <c r="H749" s="1" t="str">
        <f t="shared" si="10"/>
        <v>Complete</v>
      </c>
      <c r="I749" s="48" t="s">
        <v>1565</v>
      </c>
    </row>
    <row r="750" spans="2:9" ht="15" customHeight="1" x14ac:dyDescent="0.25">
      <c r="B750" s="26" t="s">
        <v>325</v>
      </c>
      <c r="C750" s="1">
        <v>2</v>
      </c>
      <c r="D750" s="27" t="s">
        <v>3101</v>
      </c>
      <c r="E750" s="25"/>
      <c r="F750" s="25" t="str">
        <f>IF(INDEX(I.Production.P1Y2C9,2)="","",INDEX(I.Production.P1Y2C9,2))</f>
        <v/>
      </c>
      <c r="G750" s="25"/>
      <c r="H750" s="1" t="str">
        <f t="shared" si="10"/>
        <v>Complete</v>
      </c>
      <c r="I750" s="48" t="s">
        <v>1566</v>
      </c>
    </row>
    <row r="751" spans="2:9" ht="15" customHeight="1" x14ac:dyDescent="0.25">
      <c r="B751" s="34" t="s">
        <v>325</v>
      </c>
      <c r="C751" s="35">
        <v>3</v>
      </c>
      <c r="D751" s="46" t="s">
        <v>3101</v>
      </c>
      <c r="E751" s="45"/>
      <c r="F751" s="45" t="str">
        <f>IF(INDEX(I.Production.P1Y2C9,3)="","",INDEX(I.Production.P1Y2C9,3))</f>
        <v/>
      </c>
      <c r="G751" s="45"/>
      <c r="H751" s="35" t="str">
        <f t="shared" si="10"/>
        <v>Complete</v>
      </c>
      <c r="I751" s="49" t="s">
        <v>1567</v>
      </c>
    </row>
    <row r="752" spans="2:9" ht="15" customHeight="1" x14ac:dyDescent="0.25">
      <c r="B752" s="26" t="s">
        <v>326</v>
      </c>
      <c r="C752" s="1">
        <v>1</v>
      </c>
      <c r="D752" s="27" t="s">
        <v>3102</v>
      </c>
      <c r="E752" s="25"/>
      <c r="F752" s="25" t="str">
        <f>IF(INDEX(I.Production.P1Y3C9,1)="","",INDEX(I.Production.P1Y3C9,1))</f>
        <v/>
      </c>
      <c r="G752" s="25"/>
      <c r="H752" s="1" t="str">
        <f>IF(AND(I.Facility.ProductCount&gt;=1,I.Developer.P1C9=TRUE,I.Product.P1Status&lt;&gt;"Yes",F752=""),"Incomplete","Complete")</f>
        <v>Complete</v>
      </c>
      <c r="I752" s="48" t="s">
        <v>1568</v>
      </c>
    </row>
    <row r="753" spans="2:9" ht="15" customHeight="1" x14ac:dyDescent="0.25">
      <c r="B753" s="26" t="s">
        <v>326</v>
      </c>
      <c r="C753" s="1">
        <v>2</v>
      </c>
      <c r="D753" s="27" t="s">
        <v>3102</v>
      </c>
      <c r="E753" s="25"/>
      <c r="F753" s="25" t="str">
        <f>IF(INDEX(I.Production.P1Y3C9,2)="","",INDEX(I.Production.P1Y3C9,2))</f>
        <v/>
      </c>
      <c r="G753" s="25"/>
      <c r="H753" s="1" t="str">
        <f>IF(AND(I.Facility.ProductCount&gt;=1,I.Developer.P1C9=TRUE,I.Product.P1Status&lt;&gt;"Yes",F753=""),"Incomplete","Complete")</f>
        <v>Complete</v>
      </c>
      <c r="I753" s="48" t="s">
        <v>1569</v>
      </c>
    </row>
    <row r="754" spans="2:9" ht="15" customHeight="1" x14ac:dyDescent="0.25">
      <c r="B754" s="34" t="s">
        <v>326</v>
      </c>
      <c r="C754" s="35">
        <v>3</v>
      </c>
      <c r="D754" s="46" t="s">
        <v>3102</v>
      </c>
      <c r="E754" s="45"/>
      <c r="F754" s="45" t="str">
        <f>IF(INDEX(I.Production.P1Y3C9,3)="","",INDEX(I.Production.P1Y3C9,3))</f>
        <v/>
      </c>
      <c r="G754" s="45"/>
      <c r="H754" s="35" t="str">
        <f>IF(AND(I.Facility.ProductCount&gt;=1,I.Developer.P1C9=TRUE,I.Product.P1Status&lt;&gt;"Yes",F754=""),"Incomplete","Complete")</f>
        <v>Complete</v>
      </c>
      <c r="I754" s="49" t="s">
        <v>1570</v>
      </c>
    </row>
    <row r="755" spans="2:9" ht="15" customHeight="1" x14ac:dyDescent="0.25">
      <c r="B755" s="26" t="s">
        <v>327</v>
      </c>
      <c r="C755" s="1">
        <v>1</v>
      </c>
      <c r="D755" s="27" t="s">
        <v>3103</v>
      </c>
      <c r="E755" s="25"/>
      <c r="F755" s="25" t="str">
        <f>IF(INDEX(I.Production.P2Y1Quantity,1)="","",INDEX(I.Production.P2Y1Quantity,1))</f>
        <v/>
      </c>
      <c r="G755" s="25"/>
      <c r="H755" s="1" t="str">
        <f>IF(AND(I.Facility.ProductCount&gt;=2,I.Production.P2Y1Quantity=""),"Incomplete","Complete")</f>
        <v>Complete</v>
      </c>
      <c r="I755" s="48" t="s">
        <v>3010</v>
      </c>
    </row>
    <row r="756" spans="2:9" ht="15" customHeight="1" x14ac:dyDescent="0.25">
      <c r="B756" s="26" t="s">
        <v>328</v>
      </c>
      <c r="C756" s="1">
        <v>1</v>
      </c>
      <c r="D756" s="27" t="s">
        <v>3104</v>
      </c>
      <c r="E756" s="25"/>
      <c r="F756" s="25" t="str">
        <f>IF(INDEX(I.Production.P2Y2Quantity,1)="","",INDEX(I.Production.P2Y2Quantity,1))</f>
        <v/>
      </c>
      <c r="G756" s="25"/>
      <c r="H756" s="1" t="str">
        <f>IF(AND(I.Facility.ProductCount&gt;=2,I.Production.P2Y2Quantity=""),"Incomplete","Complete")</f>
        <v>Complete</v>
      </c>
      <c r="I756" s="48" t="s">
        <v>3011</v>
      </c>
    </row>
    <row r="757" spans="2:9" ht="15" customHeight="1" x14ac:dyDescent="0.25">
      <c r="B757" s="34" t="s">
        <v>329</v>
      </c>
      <c r="C757" s="35">
        <v>1</v>
      </c>
      <c r="D757" s="46" t="s">
        <v>3105</v>
      </c>
      <c r="E757" s="45"/>
      <c r="F757" s="45" t="str">
        <f>IF(INDEX(I.Production.P2Y3Quantity,1)="","",INDEX(I.Production.P2Y3Quantity,1))</f>
        <v/>
      </c>
      <c r="G757" s="45"/>
      <c r="H757" s="35" t="str">
        <f>IF(AND(I.Facility.ProductCount&gt;=2,I.Product.P2Status&lt;&gt;"Yes",I.Production.P2Y3Quantity=""),"Incomplete","Complete")</f>
        <v>Complete</v>
      </c>
      <c r="I757" s="49" t="s">
        <v>3012</v>
      </c>
    </row>
    <row r="758" spans="2:9" ht="15" customHeight="1" x14ac:dyDescent="0.25">
      <c r="B758" s="34" t="s">
        <v>330</v>
      </c>
      <c r="C758" s="35">
        <v>1</v>
      </c>
      <c r="D758" s="46" t="s">
        <v>3059</v>
      </c>
      <c r="E758" s="46"/>
      <c r="F758" s="35" t="str">
        <f>IF(INDEX(I.Production.P2Units,1)="","",INDEX(I.Production.P2Units,1))</f>
        <v/>
      </c>
      <c r="G758" s="46"/>
      <c r="H758" s="35" t="str">
        <f>IF(AND(I.Facility.ProductCount&gt;=2,I.Production.P2Units=""),"Incomplete","Complete")</f>
        <v>Complete</v>
      </c>
      <c r="I758" s="49" t="s">
        <v>1571</v>
      </c>
    </row>
    <row r="759" spans="2:9" ht="15" customHeight="1" x14ac:dyDescent="0.25">
      <c r="B759" s="26" t="s">
        <v>331</v>
      </c>
      <c r="C759" s="1">
        <v>1</v>
      </c>
      <c r="D759" s="27" t="s">
        <v>3106</v>
      </c>
      <c r="E759" s="25"/>
      <c r="F759" s="25" t="str">
        <f>IF(INDEX(I.Production.P2Y1C1,1)="","",INDEX(I.Production.P2Y1C1,1))</f>
        <v/>
      </c>
      <c r="G759" s="25"/>
      <c r="H759" s="1" t="str">
        <f t="shared" ref="H759:H764" si="11">IF(AND(I.Facility.ProductCount&gt;=2,I.Developer.P2C1=TRUE,F759=""),"Incomplete","Complete")</f>
        <v>Complete</v>
      </c>
      <c r="I759" s="48" t="s">
        <v>1572</v>
      </c>
    </row>
    <row r="760" spans="2:9" ht="15" customHeight="1" x14ac:dyDescent="0.25">
      <c r="B760" s="26" t="s">
        <v>331</v>
      </c>
      <c r="C760" s="1">
        <v>2</v>
      </c>
      <c r="D760" s="27" t="s">
        <v>3106</v>
      </c>
      <c r="E760" s="25"/>
      <c r="F760" s="25" t="str">
        <f>IF(INDEX(I.Production.P2Y1C1,2)="","",INDEX(I.Production.P2Y1C1,2))</f>
        <v/>
      </c>
      <c r="G760" s="25"/>
      <c r="H760" s="1" t="str">
        <f t="shared" si="11"/>
        <v>Complete</v>
      </c>
      <c r="I760" s="48" t="s">
        <v>1573</v>
      </c>
    </row>
    <row r="761" spans="2:9" ht="15" customHeight="1" x14ac:dyDescent="0.25">
      <c r="B761" s="34" t="s">
        <v>331</v>
      </c>
      <c r="C761" s="35">
        <v>3</v>
      </c>
      <c r="D761" s="46" t="s">
        <v>3106</v>
      </c>
      <c r="E761" s="45"/>
      <c r="F761" s="45" t="str">
        <f>IF(INDEX(I.Production.P2Y1C1,3)="","",INDEX(I.Production.P2Y1C1,3))</f>
        <v/>
      </c>
      <c r="G761" s="45"/>
      <c r="H761" s="35" t="str">
        <f t="shared" si="11"/>
        <v>Complete</v>
      </c>
      <c r="I761" s="49" t="s">
        <v>1574</v>
      </c>
    </row>
    <row r="762" spans="2:9" ht="15" customHeight="1" x14ac:dyDescent="0.25">
      <c r="B762" s="26" t="s">
        <v>332</v>
      </c>
      <c r="C762" s="1">
        <v>1</v>
      </c>
      <c r="D762" s="27" t="s">
        <v>3107</v>
      </c>
      <c r="E762" s="25"/>
      <c r="F762" s="25" t="str">
        <f>IF(INDEX(I.Production.P2Y2C1,1)="","",INDEX(I.Production.P2Y2C1,1))</f>
        <v/>
      </c>
      <c r="G762" s="25"/>
      <c r="H762" s="1" t="str">
        <f t="shared" si="11"/>
        <v>Complete</v>
      </c>
      <c r="I762" s="48" t="s">
        <v>1575</v>
      </c>
    </row>
    <row r="763" spans="2:9" ht="15" customHeight="1" x14ac:dyDescent="0.25">
      <c r="B763" s="26" t="s">
        <v>332</v>
      </c>
      <c r="C763" s="1">
        <v>2</v>
      </c>
      <c r="D763" s="27" t="s">
        <v>3107</v>
      </c>
      <c r="E763" s="25"/>
      <c r="F763" s="25" t="str">
        <f>IF(INDEX(I.Production.P2Y2C1,2)="","",INDEX(I.Production.P2Y2C1,2))</f>
        <v/>
      </c>
      <c r="G763" s="25"/>
      <c r="H763" s="1" t="str">
        <f t="shared" si="11"/>
        <v>Complete</v>
      </c>
      <c r="I763" s="48" t="s">
        <v>1576</v>
      </c>
    </row>
    <row r="764" spans="2:9" ht="15" customHeight="1" x14ac:dyDescent="0.25">
      <c r="B764" s="34" t="s">
        <v>332</v>
      </c>
      <c r="C764" s="35">
        <v>3</v>
      </c>
      <c r="D764" s="46" t="s">
        <v>3107</v>
      </c>
      <c r="E764" s="45"/>
      <c r="F764" s="45" t="str">
        <f>IF(INDEX(I.Production.P2Y2C1,3)="","",INDEX(I.Production.P2Y2C1,3))</f>
        <v/>
      </c>
      <c r="G764" s="45"/>
      <c r="H764" s="35" t="str">
        <f t="shared" si="11"/>
        <v>Complete</v>
      </c>
      <c r="I764" s="49" t="s">
        <v>1577</v>
      </c>
    </row>
    <row r="765" spans="2:9" ht="15" customHeight="1" x14ac:dyDescent="0.25">
      <c r="B765" s="26" t="s">
        <v>333</v>
      </c>
      <c r="C765" s="1">
        <v>1</v>
      </c>
      <c r="D765" s="27" t="s">
        <v>3108</v>
      </c>
      <c r="E765" s="25"/>
      <c r="F765" s="25" t="str">
        <f>IF(INDEX(I.Production.P2Y3C1,1)="","",INDEX(I.Production.P2Y3C1,1))</f>
        <v/>
      </c>
      <c r="G765" s="25"/>
      <c r="H765" s="1" t="str">
        <f>IF(AND(I.Facility.ProductCount&gt;=2,I.Developer.P2C1=TRUE,I.Product.P2Status&lt;&gt;"Yes",F765=""),"Incomplete","Complete")</f>
        <v>Complete</v>
      </c>
      <c r="I765" s="48" t="s">
        <v>1578</v>
      </c>
    </row>
    <row r="766" spans="2:9" ht="15" customHeight="1" x14ac:dyDescent="0.25">
      <c r="B766" s="26" t="s">
        <v>333</v>
      </c>
      <c r="C766" s="1">
        <v>2</v>
      </c>
      <c r="D766" s="27" t="s">
        <v>3108</v>
      </c>
      <c r="E766" s="25"/>
      <c r="F766" s="25" t="str">
        <f>IF(INDEX(I.Production.P2Y3C1,2)="","",INDEX(I.Production.P2Y3C1,2))</f>
        <v/>
      </c>
      <c r="G766" s="25"/>
      <c r="H766" s="1" t="str">
        <f>IF(AND(I.Facility.ProductCount&gt;=2,I.Developer.P2C1=TRUE,I.Product.P2Status&lt;&gt;"Yes",F766=""),"Incomplete","Complete")</f>
        <v>Complete</v>
      </c>
      <c r="I766" s="48" t="s">
        <v>1579</v>
      </c>
    </row>
    <row r="767" spans="2:9" ht="15" customHeight="1" x14ac:dyDescent="0.25">
      <c r="B767" s="34" t="s">
        <v>333</v>
      </c>
      <c r="C767" s="35">
        <v>3</v>
      </c>
      <c r="D767" s="46" t="s">
        <v>3108</v>
      </c>
      <c r="E767" s="45"/>
      <c r="F767" s="45" t="str">
        <f>IF(INDEX(I.Production.P2Y3C1,3)="","",INDEX(I.Production.P2Y3C1,3))</f>
        <v/>
      </c>
      <c r="G767" s="45"/>
      <c r="H767" s="35" t="str">
        <f>IF(AND(I.Facility.ProductCount&gt;=2,I.Developer.P2C1=TRUE,I.Product.P2Status&lt;&gt;"Yes",F767=""),"Incomplete","Complete")</f>
        <v>Complete</v>
      </c>
      <c r="I767" s="49" t="s">
        <v>1580</v>
      </c>
    </row>
    <row r="768" spans="2:9" ht="15" customHeight="1" x14ac:dyDescent="0.25">
      <c r="B768" s="26" t="s">
        <v>334</v>
      </c>
      <c r="C768" s="1">
        <v>1</v>
      </c>
      <c r="D768" s="27" t="s">
        <v>3109</v>
      </c>
      <c r="E768" s="25"/>
      <c r="F768" s="25" t="str">
        <f>IF(INDEX(I.Production.P2Y1C2,1)="","",INDEX(I.Production.P2Y1C2,1))</f>
        <v/>
      </c>
      <c r="G768" s="25"/>
      <c r="H768" s="1" t="str">
        <f t="shared" ref="H768:H815" si="12">IF(AND(I.Facility.ProductCount&gt;=2,I.Developer.P2C2=TRUE,F768=""),"Incomplete","Complete")</f>
        <v>Complete</v>
      </c>
      <c r="I768" s="48" t="s">
        <v>1581</v>
      </c>
    </row>
    <row r="769" spans="2:9" ht="15" customHeight="1" x14ac:dyDescent="0.25">
      <c r="B769" s="26" t="s">
        <v>334</v>
      </c>
      <c r="C769" s="1">
        <v>2</v>
      </c>
      <c r="D769" s="27" t="s">
        <v>3109</v>
      </c>
      <c r="E769" s="25"/>
      <c r="F769" s="25" t="str">
        <f>IF(INDEX(I.Production.P2Y1C2,2)="","",INDEX(I.Production.P2Y1C2,2))</f>
        <v/>
      </c>
      <c r="G769" s="25"/>
      <c r="H769" s="1" t="str">
        <f t="shared" si="12"/>
        <v>Complete</v>
      </c>
      <c r="I769" s="48" t="s">
        <v>1582</v>
      </c>
    </row>
    <row r="770" spans="2:9" ht="15" customHeight="1" x14ac:dyDescent="0.25">
      <c r="B770" s="26" t="s">
        <v>334</v>
      </c>
      <c r="C770" s="1">
        <v>3</v>
      </c>
      <c r="D770" s="27" t="s">
        <v>3109</v>
      </c>
      <c r="E770" s="25"/>
      <c r="F770" s="25" t="str">
        <f>IF(INDEX(I.Production.P2Y1C2,3)="","",INDEX(I.Production.P2Y1C2,3))</f>
        <v/>
      </c>
      <c r="G770" s="25"/>
      <c r="H770" s="1" t="str">
        <f t="shared" si="12"/>
        <v>Complete</v>
      </c>
      <c r="I770" s="48" t="s">
        <v>1583</v>
      </c>
    </row>
    <row r="771" spans="2:9" ht="15" customHeight="1" x14ac:dyDescent="0.25">
      <c r="B771" s="26" t="s">
        <v>334</v>
      </c>
      <c r="C771" s="1">
        <v>4</v>
      </c>
      <c r="D771" s="27" t="s">
        <v>3109</v>
      </c>
      <c r="E771" s="25"/>
      <c r="F771" s="25" t="str">
        <f>IF(INDEX(I.Production.P2Y1C2,4)="","",INDEX(I.Production.P2Y1C2,4))</f>
        <v/>
      </c>
      <c r="G771" s="25"/>
      <c r="H771" s="1" t="str">
        <f t="shared" si="12"/>
        <v>Complete</v>
      </c>
      <c r="I771" s="48" t="s">
        <v>1584</v>
      </c>
    </row>
    <row r="772" spans="2:9" ht="15" customHeight="1" x14ac:dyDescent="0.25">
      <c r="B772" s="26" t="s">
        <v>334</v>
      </c>
      <c r="C772" s="1">
        <v>5</v>
      </c>
      <c r="D772" s="27" t="s">
        <v>3109</v>
      </c>
      <c r="E772" s="25"/>
      <c r="F772" s="25" t="str">
        <f>IF(INDEX(I.Production.P2Y1C2,5)="","",INDEX(I.Production.P2Y1C2,5))</f>
        <v/>
      </c>
      <c r="G772" s="25"/>
      <c r="H772" s="1" t="str">
        <f t="shared" si="12"/>
        <v>Complete</v>
      </c>
      <c r="I772" s="48" t="s">
        <v>1585</v>
      </c>
    </row>
    <row r="773" spans="2:9" ht="15" customHeight="1" x14ac:dyDescent="0.25">
      <c r="B773" s="26" t="s">
        <v>334</v>
      </c>
      <c r="C773" s="1">
        <v>6</v>
      </c>
      <c r="D773" s="27" t="s">
        <v>3109</v>
      </c>
      <c r="E773" s="25"/>
      <c r="F773" s="25" t="str">
        <f>IF(INDEX(I.Production.P2Y1C2,6)="","",INDEX(I.Production.P2Y1C2,6))</f>
        <v/>
      </c>
      <c r="G773" s="25"/>
      <c r="H773" s="1" t="str">
        <f t="shared" si="12"/>
        <v>Complete</v>
      </c>
      <c r="I773" s="48" t="s">
        <v>1586</v>
      </c>
    </row>
    <row r="774" spans="2:9" ht="15" customHeight="1" x14ac:dyDescent="0.25">
      <c r="B774" s="26" t="s">
        <v>334</v>
      </c>
      <c r="C774" s="1">
        <v>7</v>
      </c>
      <c r="D774" s="27" t="s">
        <v>3109</v>
      </c>
      <c r="E774" s="25"/>
      <c r="F774" s="25" t="str">
        <f>IF(INDEX(I.Production.P2Y1C2,7)="","",INDEX(I.Production.P2Y1C2,7))</f>
        <v/>
      </c>
      <c r="G774" s="25"/>
      <c r="H774" s="1" t="str">
        <f t="shared" si="12"/>
        <v>Complete</v>
      </c>
      <c r="I774" s="48" t="s">
        <v>1587</v>
      </c>
    </row>
    <row r="775" spans="2:9" ht="15" customHeight="1" x14ac:dyDescent="0.25">
      <c r="B775" s="26" t="s">
        <v>334</v>
      </c>
      <c r="C775" s="1">
        <v>8</v>
      </c>
      <c r="D775" s="27" t="s">
        <v>3109</v>
      </c>
      <c r="E775" s="25"/>
      <c r="F775" s="25" t="str">
        <f>IF(INDEX(I.Production.P2Y1C2,8)="","",INDEX(I.Production.P2Y1C2,8))</f>
        <v/>
      </c>
      <c r="G775" s="25"/>
      <c r="H775" s="1" t="str">
        <f t="shared" si="12"/>
        <v>Complete</v>
      </c>
      <c r="I775" s="48" t="s">
        <v>1588</v>
      </c>
    </row>
    <row r="776" spans="2:9" ht="15" customHeight="1" x14ac:dyDescent="0.25">
      <c r="B776" s="26" t="s">
        <v>334</v>
      </c>
      <c r="C776" s="1">
        <v>9</v>
      </c>
      <c r="D776" s="27" t="s">
        <v>3109</v>
      </c>
      <c r="E776" s="25"/>
      <c r="F776" s="25" t="str">
        <f>IF(INDEX(I.Production.P2Y1C2,9)="","",INDEX(I.Production.P2Y1C2,9))</f>
        <v/>
      </c>
      <c r="G776" s="25"/>
      <c r="H776" s="1" t="str">
        <f t="shared" si="12"/>
        <v>Complete</v>
      </c>
      <c r="I776" s="48" t="s">
        <v>1589</v>
      </c>
    </row>
    <row r="777" spans="2:9" ht="15" customHeight="1" x14ac:dyDescent="0.25">
      <c r="B777" s="26" t="s">
        <v>334</v>
      </c>
      <c r="C777" s="1">
        <v>10</v>
      </c>
      <c r="D777" s="27" t="s">
        <v>3109</v>
      </c>
      <c r="E777" s="25"/>
      <c r="F777" s="25" t="str">
        <f>IF(INDEX(I.Production.P2Y1C2,10)="","",INDEX(I.Production.P2Y1C2,10))</f>
        <v/>
      </c>
      <c r="G777" s="25"/>
      <c r="H777" s="1" t="str">
        <f t="shared" si="12"/>
        <v>Complete</v>
      </c>
      <c r="I777" s="48" t="s">
        <v>1590</v>
      </c>
    </row>
    <row r="778" spans="2:9" ht="15" customHeight="1" x14ac:dyDescent="0.25">
      <c r="B778" s="26" t="s">
        <v>334</v>
      </c>
      <c r="C778" s="1">
        <v>11</v>
      </c>
      <c r="D778" s="27" t="s">
        <v>3109</v>
      </c>
      <c r="E778" s="25"/>
      <c r="F778" s="25" t="str">
        <f>IF(INDEX(I.Production.P2Y1C2,11)="","",INDEX(I.Production.P2Y1C2,11))</f>
        <v/>
      </c>
      <c r="G778" s="25"/>
      <c r="H778" s="1" t="str">
        <f t="shared" si="12"/>
        <v>Complete</v>
      </c>
      <c r="I778" s="48" t="s">
        <v>1591</v>
      </c>
    </row>
    <row r="779" spans="2:9" ht="15" customHeight="1" x14ac:dyDescent="0.25">
      <c r="B779" s="26" t="s">
        <v>334</v>
      </c>
      <c r="C779" s="1">
        <v>12</v>
      </c>
      <c r="D779" s="27" t="s">
        <v>3109</v>
      </c>
      <c r="E779" s="25"/>
      <c r="F779" s="25" t="str">
        <f>IF(INDEX(I.Production.P2Y1C2,12)="","",INDEX(I.Production.P2Y1C2,12))</f>
        <v/>
      </c>
      <c r="G779" s="25"/>
      <c r="H779" s="1" t="str">
        <f t="shared" si="12"/>
        <v>Complete</v>
      </c>
      <c r="I779" s="48" t="s">
        <v>1592</v>
      </c>
    </row>
    <row r="780" spans="2:9" ht="15" customHeight="1" x14ac:dyDescent="0.25">
      <c r="B780" s="26" t="s">
        <v>334</v>
      </c>
      <c r="C780" s="1">
        <v>13</v>
      </c>
      <c r="D780" s="27" t="s">
        <v>3109</v>
      </c>
      <c r="E780" s="25"/>
      <c r="F780" s="25" t="str">
        <f>IF(INDEX(I.Production.P2Y1C2,13)="","",INDEX(I.Production.P2Y1C2,13))</f>
        <v/>
      </c>
      <c r="G780" s="25"/>
      <c r="H780" s="1" t="str">
        <f t="shared" si="12"/>
        <v>Complete</v>
      </c>
      <c r="I780" s="48" t="s">
        <v>1593</v>
      </c>
    </row>
    <row r="781" spans="2:9" ht="15" customHeight="1" x14ac:dyDescent="0.25">
      <c r="B781" s="26" t="s">
        <v>334</v>
      </c>
      <c r="C781" s="1">
        <v>14</v>
      </c>
      <c r="D781" s="27" t="s">
        <v>3109</v>
      </c>
      <c r="E781" s="25"/>
      <c r="F781" s="25" t="str">
        <f>IF(INDEX(I.Production.P2Y1C2,14)="","",INDEX(I.Production.P2Y1C2,14))</f>
        <v/>
      </c>
      <c r="G781" s="25"/>
      <c r="H781" s="1" t="str">
        <f t="shared" si="12"/>
        <v>Complete</v>
      </c>
      <c r="I781" s="48" t="s">
        <v>1594</v>
      </c>
    </row>
    <row r="782" spans="2:9" ht="15" customHeight="1" x14ac:dyDescent="0.25">
      <c r="B782" s="26" t="s">
        <v>334</v>
      </c>
      <c r="C782" s="1">
        <v>15</v>
      </c>
      <c r="D782" s="27" t="s">
        <v>3109</v>
      </c>
      <c r="E782" s="25"/>
      <c r="F782" s="25" t="str">
        <f>IF(INDEX(I.Production.P2Y1C2,15)="","",INDEX(I.Production.P2Y1C2,15))</f>
        <v/>
      </c>
      <c r="G782" s="25"/>
      <c r="H782" s="1" t="str">
        <f t="shared" si="12"/>
        <v>Complete</v>
      </c>
      <c r="I782" s="48" t="s">
        <v>1595</v>
      </c>
    </row>
    <row r="783" spans="2:9" ht="15" customHeight="1" x14ac:dyDescent="0.25">
      <c r="B783" s="26" t="s">
        <v>334</v>
      </c>
      <c r="C783" s="1">
        <v>16</v>
      </c>
      <c r="D783" s="27" t="s">
        <v>3109</v>
      </c>
      <c r="E783" s="25"/>
      <c r="F783" s="25" t="str">
        <f>IF(INDEX(I.Production.P2Y1C2,16)="","",INDEX(I.Production.P2Y1C2,16))</f>
        <v/>
      </c>
      <c r="G783" s="25"/>
      <c r="H783" s="1" t="str">
        <f t="shared" si="12"/>
        <v>Complete</v>
      </c>
      <c r="I783" s="48" t="s">
        <v>1596</v>
      </c>
    </row>
    <row r="784" spans="2:9" ht="15" customHeight="1" x14ac:dyDescent="0.25">
      <c r="B784" s="26" t="s">
        <v>334</v>
      </c>
      <c r="C784" s="1">
        <v>17</v>
      </c>
      <c r="D784" s="27" t="s">
        <v>3109</v>
      </c>
      <c r="E784" s="25"/>
      <c r="F784" s="25" t="str">
        <f>IF(INDEX(I.Production.P2Y1C2,17)="","",INDEX(I.Production.P2Y1C2,17))</f>
        <v/>
      </c>
      <c r="G784" s="25"/>
      <c r="H784" s="1" t="str">
        <f t="shared" si="12"/>
        <v>Complete</v>
      </c>
      <c r="I784" s="48" t="s">
        <v>1597</v>
      </c>
    </row>
    <row r="785" spans="2:9" ht="15" customHeight="1" x14ac:dyDescent="0.25">
      <c r="B785" s="26" t="s">
        <v>334</v>
      </c>
      <c r="C785" s="1">
        <v>18</v>
      </c>
      <c r="D785" s="27" t="s">
        <v>3109</v>
      </c>
      <c r="E785" s="25"/>
      <c r="F785" s="25" t="str">
        <f>IF(INDEX(I.Production.P2Y1C2,18)="","",INDEX(I.Production.P2Y1C2,18))</f>
        <v/>
      </c>
      <c r="G785" s="25"/>
      <c r="H785" s="1" t="str">
        <f t="shared" si="12"/>
        <v>Complete</v>
      </c>
      <c r="I785" s="48" t="s">
        <v>1598</v>
      </c>
    </row>
    <row r="786" spans="2:9" ht="15" customHeight="1" x14ac:dyDescent="0.25">
      <c r="B786" s="26" t="s">
        <v>334</v>
      </c>
      <c r="C786" s="1">
        <v>19</v>
      </c>
      <c r="D786" s="27" t="s">
        <v>3109</v>
      </c>
      <c r="E786" s="25"/>
      <c r="F786" s="25" t="str">
        <f>IF(INDEX(I.Production.P2Y1C2,19)="","",INDEX(I.Production.P2Y1C2,19))</f>
        <v/>
      </c>
      <c r="G786" s="25"/>
      <c r="H786" s="1" t="str">
        <f t="shared" si="12"/>
        <v>Complete</v>
      </c>
      <c r="I786" s="48" t="s">
        <v>1599</v>
      </c>
    </row>
    <row r="787" spans="2:9" ht="15" customHeight="1" x14ac:dyDescent="0.25">
      <c r="B787" s="26" t="s">
        <v>334</v>
      </c>
      <c r="C787" s="1">
        <v>20</v>
      </c>
      <c r="D787" s="27" t="s">
        <v>3109</v>
      </c>
      <c r="E787" s="25"/>
      <c r="F787" s="25" t="str">
        <f>IF(INDEX(I.Production.P2Y1C2,20)="","",INDEX(I.Production.P2Y1C2,20))</f>
        <v/>
      </c>
      <c r="G787" s="25"/>
      <c r="H787" s="1" t="str">
        <f t="shared" si="12"/>
        <v>Complete</v>
      </c>
      <c r="I787" s="48" t="s">
        <v>1600</v>
      </c>
    </row>
    <row r="788" spans="2:9" ht="15" customHeight="1" x14ac:dyDescent="0.25">
      <c r="B788" s="26" t="s">
        <v>334</v>
      </c>
      <c r="C788" s="1">
        <v>21</v>
      </c>
      <c r="D788" s="27" t="s">
        <v>3109</v>
      </c>
      <c r="E788" s="25"/>
      <c r="F788" s="25" t="str">
        <f>IF(INDEX(I.Production.P2Y1C2,21)="","",INDEX(I.Production.P2Y1C2,21))</f>
        <v/>
      </c>
      <c r="G788" s="25"/>
      <c r="H788" s="1" t="str">
        <f t="shared" si="12"/>
        <v>Complete</v>
      </c>
      <c r="I788" s="48" t="s">
        <v>1601</v>
      </c>
    </row>
    <row r="789" spans="2:9" ht="15" customHeight="1" x14ac:dyDescent="0.25">
      <c r="B789" s="26" t="s">
        <v>334</v>
      </c>
      <c r="C789" s="1">
        <v>22</v>
      </c>
      <c r="D789" s="27" t="s">
        <v>3109</v>
      </c>
      <c r="E789" s="25"/>
      <c r="F789" s="25" t="str">
        <f>IF(INDEX(I.Production.P2Y1C2,22)="","",INDEX(I.Production.P2Y1C2,22))</f>
        <v/>
      </c>
      <c r="G789" s="25"/>
      <c r="H789" s="1" t="str">
        <f t="shared" si="12"/>
        <v>Complete</v>
      </c>
      <c r="I789" s="48" t="s">
        <v>1602</v>
      </c>
    </row>
    <row r="790" spans="2:9" ht="15" customHeight="1" x14ac:dyDescent="0.25">
      <c r="B790" s="26" t="s">
        <v>334</v>
      </c>
      <c r="C790" s="1">
        <v>23</v>
      </c>
      <c r="D790" s="27" t="s">
        <v>3109</v>
      </c>
      <c r="E790" s="25"/>
      <c r="F790" s="25" t="str">
        <f>IF(INDEX(I.Production.P2Y1C2,23)="","",INDEX(I.Production.P2Y1C2,23))</f>
        <v/>
      </c>
      <c r="G790" s="25"/>
      <c r="H790" s="1" t="str">
        <f t="shared" si="12"/>
        <v>Complete</v>
      </c>
      <c r="I790" s="48" t="s">
        <v>1603</v>
      </c>
    </row>
    <row r="791" spans="2:9" ht="15" customHeight="1" x14ac:dyDescent="0.25">
      <c r="B791" s="34" t="s">
        <v>334</v>
      </c>
      <c r="C791" s="35">
        <v>24</v>
      </c>
      <c r="D791" s="46" t="s">
        <v>3109</v>
      </c>
      <c r="E791" s="45"/>
      <c r="F791" s="45" t="str">
        <f>IF(INDEX(I.Production.P2Y1C2,24)="","",INDEX(I.Production.P2Y1C2,24))</f>
        <v/>
      </c>
      <c r="G791" s="45"/>
      <c r="H791" s="35" t="str">
        <f t="shared" si="12"/>
        <v>Complete</v>
      </c>
      <c r="I791" s="49" t="s">
        <v>1604</v>
      </c>
    </row>
    <row r="792" spans="2:9" ht="15" customHeight="1" x14ac:dyDescent="0.25">
      <c r="B792" s="26" t="s">
        <v>335</v>
      </c>
      <c r="C792" s="1">
        <v>1</v>
      </c>
      <c r="D792" s="27" t="s">
        <v>3110</v>
      </c>
      <c r="E792" s="25"/>
      <c r="F792" s="25" t="str">
        <f>IF(INDEX(I.Production.P2Y2C2,1)="","",INDEX(I.Production.P2Y2C2,1))</f>
        <v/>
      </c>
      <c r="G792" s="25"/>
      <c r="H792" s="1" t="str">
        <f t="shared" si="12"/>
        <v>Complete</v>
      </c>
      <c r="I792" s="48" t="s">
        <v>1605</v>
      </c>
    </row>
    <row r="793" spans="2:9" ht="15" customHeight="1" x14ac:dyDescent="0.25">
      <c r="B793" s="26" t="s">
        <v>335</v>
      </c>
      <c r="C793" s="1">
        <v>2</v>
      </c>
      <c r="D793" s="27" t="s">
        <v>3110</v>
      </c>
      <c r="E793" s="25"/>
      <c r="F793" s="25" t="str">
        <f>IF(INDEX(I.Production.P2Y2C2,2)="","",INDEX(I.Production.P2Y2C2,2))</f>
        <v/>
      </c>
      <c r="G793" s="25"/>
      <c r="H793" s="1" t="str">
        <f t="shared" si="12"/>
        <v>Complete</v>
      </c>
      <c r="I793" s="48" t="s">
        <v>1606</v>
      </c>
    </row>
    <row r="794" spans="2:9" ht="15" customHeight="1" x14ac:dyDescent="0.25">
      <c r="B794" s="26" t="s">
        <v>335</v>
      </c>
      <c r="C794" s="1">
        <v>3</v>
      </c>
      <c r="D794" s="27" t="s">
        <v>3110</v>
      </c>
      <c r="E794" s="25"/>
      <c r="F794" s="25" t="str">
        <f>IF(INDEX(I.Production.P2Y2C2,3)="","",INDEX(I.Production.P2Y2C2,3))</f>
        <v/>
      </c>
      <c r="G794" s="25"/>
      <c r="H794" s="1" t="str">
        <f t="shared" si="12"/>
        <v>Complete</v>
      </c>
      <c r="I794" s="48" t="s">
        <v>1607</v>
      </c>
    </row>
    <row r="795" spans="2:9" ht="15" customHeight="1" x14ac:dyDescent="0.25">
      <c r="B795" s="26" t="s">
        <v>335</v>
      </c>
      <c r="C795" s="1">
        <v>4</v>
      </c>
      <c r="D795" s="27" t="s">
        <v>3110</v>
      </c>
      <c r="E795" s="25"/>
      <c r="F795" s="25" t="str">
        <f>IF(INDEX(I.Production.P2Y2C2,4)="","",INDEX(I.Production.P2Y2C2,4))</f>
        <v/>
      </c>
      <c r="G795" s="25"/>
      <c r="H795" s="1" t="str">
        <f t="shared" si="12"/>
        <v>Complete</v>
      </c>
      <c r="I795" s="48" t="s">
        <v>1608</v>
      </c>
    </row>
    <row r="796" spans="2:9" ht="15" customHeight="1" x14ac:dyDescent="0.25">
      <c r="B796" s="26" t="s">
        <v>335</v>
      </c>
      <c r="C796" s="1">
        <v>5</v>
      </c>
      <c r="D796" s="27" t="s">
        <v>3110</v>
      </c>
      <c r="E796" s="25"/>
      <c r="F796" s="25" t="str">
        <f>IF(INDEX(I.Production.P2Y2C2,5)="","",INDEX(I.Production.P2Y2C2,5))</f>
        <v/>
      </c>
      <c r="G796" s="25"/>
      <c r="H796" s="1" t="str">
        <f t="shared" si="12"/>
        <v>Complete</v>
      </c>
      <c r="I796" s="48" t="s">
        <v>1609</v>
      </c>
    </row>
    <row r="797" spans="2:9" ht="15" customHeight="1" x14ac:dyDescent="0.25">
      <c r="B797" s="26" t="s">
        <v>335</v>
      </c>
      <c r="C797" s="1">
        <v>6</v>
      </c>
      <c r="D797" s="27" t="s">
        <v>3110</v>
      </c>
      <c r="E797" s="25"/>
      <c r="F797" s="25" t="str">
        <f>IF(INDEX(I.Production.P2Y2C2,6)="","",INDEX(I.Production.P2Y2C2,6))</f>
        <v/>
      </c>
      <c r="G797" s="25"/>
      <c r="H797" s="1" t="str">
        <f t="shared" si="12"/>
        <v>Complete</v>
      </c>
      <c r="I797" s="48" t="s">
        <v>1610</v>
      </c>
    </row>
    <row r="798" spans="2:9" ht="15" customHeight="1" x14ac:dyDescent="0.25">
      <c r="B798" s="26" t="s">
        <v>335</v>
      </c>
      <c r="C798" s="1">
        <v>7</v>
      </c>
      <c r="D798" s="27" t="s">
        <v>3110</v>
      </c>
      <c r="E798" s="25"/>
      <c r="F798" s="25" t="str">
        <f>IF(INDEX(I.Production.P2Y2C2,7)="","",INDEX(I.Production.P2Y2C2,7))</f>
        <v/>
      </c>
      <c r="G798" s="25"/>
      <c r="H798" s="1" t="str">
        <f t="shared" si="12"/>
        <v>Complete</v>
      </c>
      <c r="I798" s="48" t="s">
        <v>1611</v>
      </c>
    </row>
    <row r="799" spans="2:9" ht="15" customHeight="1" x14ac:dyDescent="0.25">
      <c r="B799" s="26" t="s">
        <v>335</v>
      </c>
      <c r="C799" s="1">
        <v>8</v>
      </c>
      <c r="D799" s="27" t="s">
        <v>3110</v>
      </c>
      <c r="E799" s="25"/>
      <c r="F799" s="25" t="str">
        <f>IF(INDEX(I.Production.P2Y2C2,8)="","",INDEX(I.Production.P2Y2C2,8))</f>
        <v/>
      </c>
      <c r="G799" s="25"/>
      <c r="H799" s="1" t="str">
        <f t="shared" si="12"/>
        <v>Complete</v>
      </c>
      <c r="I799" s="48" t="s">
        <v>1612</v>
      </c>
    </row>
    <row r="800" spans="2:9" ht="15" customHeight="1" x14ac:dyDescent="0.25">
      <c r="B800" s="26" t="s">
        <v>335</v>
      </c>
      <c r="C800" s="1">
        <v>9</v>
      </c>
      <c r="D800" s="27" t="s">
        <v>3110</v>
      </c>
      <c r="E800" s="25"/>
      <c r="F800" s="25" t="str">
        <f>IF(INDEX(I.Production.P2Y2C2,9)="","",INDEX(I.Production.P2Y2C2,9))</f>
        <v/>
      </c>
      <c r="G800" s="25"/>
      <c r="H800" s="1" t="str">
        <f t="shared" si="12"/>
        <v>Complete</v>
      </c>
      <c r="I800" s="48" t="s">
        <v>1613</v>
      </c>
    </row>
    <row r="801" spans="2:9" ht="15" customHeight="1" x14ac:dyDescent="0.25">
      <c r="B801" s="26" t="s">
        <v>335</v>
      </c>
      <c r="C801" s="1">
        <v>10</v>
      </c>
      <c r="D801" s="27" t="s">
        <v>3110</v>
      </c>
      <c r="E801" s="25"/>
      <c r="F801" s="25" t="str">
        <f>IF(INDEX(I.Production.P2Y2C2,10)="","",INDEX(I.Production.P2Y2C2,10))</f>
        <v/>
      </c>
      <c r="G801" s="25"/>
      <c r="H801" s="1" t="str">
        <f t="shared" si="12"/>
        <v>Complete</v>
      </c>
      <c r="I801" s="48" t="s">
        <v>1614</v>
      </c>
    </row>
    <row r="802" spans="2:9" ht="15" customHeight="1" x14ac:dyDescent="0.25">
      <c r="B802" s="26" t="s">
        <v>335</v>
      </c>
      <c r="C802" s="1">
        <v>11</v>
      </c>
      <c r="D802" s="27" t="s">
        <v>3110</v>
      </c>
      <c r="E802" s="25"/>
      <c r="F802" s="25" t="str">
        <f>IF(INDEX(I.Production.P2Y2C2,11)="","",INDEX(I.Production.P2Y2C2,11))</f>
        <v/>
      </c>
      <c r="G802" s="25"/>
      <c r="H802" s="1" t="str">
        <f t="shared" si="12"/>
        <v>Complete</v>
      </c>
      <c r="I802" s="48" t="s">
        <v>1615</v>
      </c>
    </row>
    <row r="803" spans="2:9" ht="15" customHeight="1" x14ac:dyDescent="0.25">
      <c r="B803" s="26" t="s">
        <v>335</v>
      </c>
      <c r="C803" s="1">
        <v>12</v>
      </c>
      <c r="D803" s="27" t="s">
        <v>3110</v>
      </c>
      <c r="E803" s="25"/>
      <c r="F803" s="25" t="str">
        <f>IF(INDEX(I.Production.P2Y2C2,12)="","",INDEX(I.Production.P2Y2C2,12))</f>
        <v/>
      </c>
      <c r="G803" s="25"/>
      <c r="H803" s="1" t="str">
        <f t="shared" si="12"/>
        <v>Complete</v>
      </c>
      <c r="I803" s="48" t="s">
        <v>1616</v>
      </c>
    </row>
    <row r="804" spans="2:9" ht="15" customHeight="1" x14ac:dyDescent="0.25">
      <c r="B804" s="26" t="s">
        <v>335</v>
      </c>
      <c r="C804" s="1">
        <v>13</v>
      </c>
      <c r="D804" s="27" t="s">
        <v>3110</v>
      </c>
      <c r="E804" s="25"/>
      <c r="F804" s="25" t="str">
        <f>IF(INDEX(I.Production.P2Y2C2,13)="","",INDEX(I.Production.P2Y2C2,13))</f>
        <v/>
      </c>
      <c r="G804" s="25"/>
      <c r="H804" s="1" t="str">
        <f t="shared" si="12"/>
        <v>Complete</v>
      </c>
      <c r="I804" s="48" t="s">
        <v>1617</v>
      </c>
    </row>
    <row r="805" spans="2:9" ht="15" customHeight="1" x14ac:dyDescent="0.25">
      <c r="B805" s="26" t="s">
        <v>335</v>
      </c>
      <c r="C805" s="1">
        <v>14</v>
      </c>
      <c r="D805" s="27" t="s">
        <v>3110</v>
      </c>
      <c r="E805" s="25"/>
      <c r="F805" s="25" t="str">
        <f>IF(INDEX(I.Production.P2Y2C2,14)="","",INDEX(I.Production.P2Y2C2,14))</f>
        <v/>
      </c>
      <c r="G805" s="25"/>
      <c r="H805" s="1" t="str">
        <f t="shared" si="12"/>
        <v>Complete</v>
      </c>
      <c r="I805" s="48" t="s">
        <v>1618</v>
      </c>
    </row>
    <row r="806" spans="2:9" ht="15" customHeight="1" x14ac:dyDescent="0.25">
      <c r="B806" s="26" t="s">
        <v>335</v>
      </c>
      <c r="C806" s="1">
        <v>15</v>
      </c>
      <c r="D806" s="27" t="s">
        <v>3110</v>
      </c>
      <c r="E806" s="25"/>
      <c r="F806" s="25" t="str">
        <f>IF(INDEX(I.Production.P2Y2C2,15)="","",INDEX(I.Production.P2Y2C2,15))</f>
        <v/>
      </c>
      <c r="G806" s="25"/>
      <c r="H806" s="1" t="str">
        <f t="shared" si="12"/>
        <v>Complete</v>
      </c>
      <c r="I806" s="48" t="s">
        <v>1619</v>
      </c>
    </row>
    <row r="807" spans="2:9" ht="15" customHeight="1" x14ac:dyDescent="0.25">
      <c r="B807" s="26" t="s">
        <v>335</v>
      </c>
      <c r="C807" s="1">
        <v>16</v>
      </c>
      <c r="D807" s="27" t="s">
        <v>3110</v>
      </c>
      <c r="E807" s="25"/>
      <c r="F807" s="25" t="str">
        <f>IF(INDEX(I.Production.P2Y2C2,16)="","",INDEX(I.Production.P2Y2C2,16))</f>
        <v/>
      </c>
      <c r="G807" s="25"/>
      <c r="H807" s="1" t="str">
        <f t="shared" si="12"/>
        <v>Complete</v>
      </c>
      <c r="I807" s="48" t="s">
        <v>1620</v>
      </c>
    </row>
    <row r="808" spans="2:9" ht="15" customHeight="1" x14ac:dyDescent="0.25">
      <c r="B808" s="26" t="s">
        <v>335</v>
      </c>
      <c r="C808" s="1">
        <v>17</v>
      </c>
      <c r="D808" s="27" t="s">
        <v>3110</v>
      </c>
      <c r="E808" s="25"/>
      <c r="F808" s="25" t="str">
        <f>IF(INDEX(I.Production.P2Y2C2,17)="","",INDEX(I.Production.P2Y2C2,17))</f>
        <v/>
      </c>
      <c r="G808" s="25"/>
      <c r="H808" s="1" t="str">
        <f t="shared" si="12"/>
        <v>Complete</v>
      </c>
      <c r="I808" s="48" t="s">
        <v>1621</v>
      </c>
    </row>
    <row r="809" spans="2:9" ht="15" customHeight="1" x14ac:dyDescent="0.25">
      <c r="B809" s="26" t="s">
        <v>335</v>
      </c>
      <c r="C809" s="1">
        <v>18</v>
      </c>
      <c r="D809" s="27" t="s">
        <v>3110</v>
      </c>
      <c r="E809" s="25"/>
      <c r="F809" s="25" t="str">
        <f>IF(INDEX(I.Production.P2Y2C2,18)="","",INDEX(I.Production.P2Y2C2,18))</f>
        <v/>
      </c>
      <c r="G809" s="25"/>
      <c r="H809" s="1" t="str">
        <f t="shared" si="12"/>
        <v>Complete</v>
      </c>
      <c r="I809" s="48" t="s">
        <v>1622</v>
      </c>
    </row>
    <row r="810" spans="2:9" ht="15" customHeight="1" x14ac:dyDescent="0.25">
      <c r="B810" s="26" t="s">
        <v>335</v>
      </c>
      <c r="C810" s="1">
        <v>19</v>
      </c>
      <c r="D810" s="27" t="s">
        <v>3110</v>
      </c>
      <c r="E810" s="25"/>
      <c r="F810" s="25" t="str">
        <f>IF(INDEX(I.Production.P2Y2C2,19)="","",INDEX(I.Production.P2Y2C2,19))</f>
        <v/>
      </c>
      <c r="G810" s="25"/>
      <c r="H810" s="1" t="str">
        <f t="shared" si="12"/>
        <v>Complete</v>
      </c>
      <c r="I810" s="48" t="s">
        <v>1623</v>
      </c>
    </row>
    <row r="811" spans="2:9" ht="15" customHeight="1" x14ac:dyDescent="0.25">
      <c r="B811" s="26" t="s">
        <v>335</v>
      </c>
      <c r="C811" s="1">
        <v>20</v>
      </c>
      <c r="D811" s="27" t="s">
        <v>3110</v>
      </c>
      <c r="E811" s="25"/>
      <c r="F811" s="25" t="str">
        <f>IF(INDEX(I.Production.P2Y2C2,20)="","",INDEX(I.Production.P2Y2C2,20))</f>
        <v/>
      </c>
      <c r="G811" s="25"/>
      <c r="H811" s="1" t="str">
        <f t="shared" si="12"/>
        <v>Complete</v>
      </c>
      <c r="I811" s="48" t="s">
        <v>1624</v>
      </c>
    </row>
    <row r="812" spans="2:9" ht="15" customHeight="1" x14ac:dyDescent="0.25">
      <c r="B812" s="26" t="s">
        <v>335</v>
      </c>
      <c r="C812" s="1">
        <v>21</v>
      </c>
      <c r="D812" s="27" t="s">
        <v>3110</v>
      </c>
      <c r="E812" s="25"/>
      <c r="F812" s="25" t="str">
        <f>IF(INDEX(I.Production.P2Y2C2,21)="","",INDEX(I.Production.P2Y2C2,21))</f>
        <v/>
      </c>
      <c r="G812" s="25"/>
      <c r="H812" s="1" t="str">
        <f t="shared" si="12"/>
        <v>Complete</v>
      </c>
      <c r="I812" s="48" t="s">
        <v>1625</v>
      </c>
    </row>
    <row r="813" spans="2:9" ht="15" customHeight="1" x14ac:dyDescent="0.25">
      <c r="B813" s="26" t="s">
        <v>335</v>
      </c>
      <c r="C813" s="1">
        <v>22</v>
      </c>
      <c r="D813" s="27" t="s">
        <v>3110</v>
      </c>
      <c r="E813" s="25"/>
      <c r="F813" s="25" t="str">
        <f>IF(INDEX(I.Production.P2Y2C2,22)="","",INDEX(I.Production.P2Y2C2,22))</f>
        <v/>
      </c>
      <c r="G813" s="25"/>
      <c r="H813" s="1" t="str">
        <f t="shared" si="12"/>
        <v>Complete</v>
      </c>
      <c r="I813" s="48" t="s">
        <v>1626</v>
      </c>
    </row>
    <row r="814" spans="2:9" ht="15" customHeight="1" x14ac:dyDescent="0.25">
      <c r="B814" s="26" t="s">
        <v>335</v>
      </c>
      <c r="C814" s="1">
        <v>23</v>
      </c>
      <c r="D814" s="27" t="s">
        <v>3110</v>
      </c>
      <c r="E814" s="25"/>
      <c r="F814" s="25" t="str">
        <f>IF(INDEX(I.Production.P2Y2C2,23)="","",INDEX(I.Production.P2Y2C2,23))</f>
        <v/>
      </c>
      <c r="G814" s="25"/>
      <c r="H814" s="1" t="str">
        <f t="shared" si="12"/>
        <v>Complete</v>
      </c>
      <c r="I814" s="48" t="s">
        <v>1627</v>
      </c>
    </row>
    <row r="815" spans="2:9" ht="15" customHeight="1" x14ac:dyDescent="0.25">
      <c r="B815" s="34" t="s">
        <v>335</v>
      </c>
      <c r="C815" s="35">
        <v>24</v>
      </c>
      <c r="D815" s="46" t="s">
        <v>3110</v>
      </c>
      <c r="E815" s="45"/>
      <c r="F815" s="45" t="str">
        <f>IF(INDEX(I.Production.P2Y2C2,24)="","",INDEX(I.Production.P2Y2C2,24))</f>
        <v/>
      </c>
      <c r="G815" s="45"/>
      <c r="H815" s="35" t="str">
        <f t="shared" si="12"/>
        <v>Complete</v>
      </c>
      <c r="I815" s="49" t="s">
        <v>1628</v>
      </c>
    </row>
    <row r="816" spans="2:9" ht="15" customHeight="1" x14ac:dyDescent="0.25">
      <c r="B816" s="26" t="s">
        <v>336</v>
      </c>
      <c r="C816" s="1">
        <v>1</v>
      </c>
      <c r="D816" s="27" t="s">
        <v>3111</v>
      </c>
      <c r="E816" s="25"/>
      <c r="F816" s="25" t="str">
        <f>IF(INDEX(I.Production.P2Y3C2,1)="","",INDEX(I.Production.P2Y3C2,1))</f>
        <v/>
      </c>
      <c r="G816" s="25"/>
      <c r="H816" s="1" t="str">
        <f t="shared" ref="H816:H839" si="13">IF(AND(I.Facility.ProductCount&gt;=2,I.Developer.P2C2=TRUE,I.Product.P2Status&lt;&gt;"Yes",F816=""),"Incomplete","Complete")</f>
        <v>Complete</v>
      </c>
      <c r="I816" s="48" t="s">
        <v>1629</v>
      </c>
    </row>
    <row r="817" spans="2:9" ht="15" customHeight="1" x14ac:dyDescent="0.25">
      <c r="B817" s="26" t="s">
        <v>336</v>
      </c>
      <c r="C817" s="1">
        <v>2</v>
      </c>
      <c r="D817" s="27" t="s">
        <v>3111</v>
      </c>
      <c r="E817" s="25"/>
      <c r="F817" s="25" t="str">
        <f>IF(INDEX(I.Production.P2Y3C2,2)="","",INDEX(I.Production.P2Y3C2,2))</f>
        <v/>
      </c>
      <c r="G817" s="25"/>
      <c r="H817" s="1" t="str">
        <f t="shared" si="13"/>
        <v>Complete</v>
      </c>
      <c r="I817" s="48" t="s">
        <v>1630</v>
      </c>
    </row>
    <row r="818" spans="2:9" ht="15" customHeight="1" x14ac:dyDescent="0.25">
      <c r="B818" s="26" t="s">
        <v>336</v>
      </c>
      <c r="C818" s="1">
        <v>3</v>
      </c>
      <c r="D818" s="27" t="s">
        <v>3111</v>
      </c>
      <c r="E818" s="25"/>
      <c r="F818" s="25" t="str">
        <f>IF(INDEX(I.Production.P2Y3C2,3)="","",INDEX(I.Production.P2Y3C2,3))</f>
        <v/>
      </c>
      <c r="G818" s="25"/>
      <c r="H818" s="1" t="str">
        <f t="shared" si="13"/>
        <v>Complete</v>
      </c>
      <c r="I818" s="48" t="s">
        <v>1631</v>
      </c>
    </row>
    <row r="819" spans="2:9" ht="15" customHeight="1" x14ac:dyDescent="0.25">
      <c r="B819" s="26" t="s">
        <v>336</v>
      </c>
      <c r="C819" s="1">
        <v>4</v>
      </c>
      <c r="D819" s="27" t="s">
        <v>3111</v>
      </c>
      <c r="E819" s="25"/>
      <c r="F819" s="25" t="str">
        <f>IF(INDEX(I.Production.P2Y3C2,4)="","",INDEX(I.Production.P2Y3C2,4))</f>
        <v/>
      </c>
      <c r="G819" s="25"/>
      <c r="H819" s="1" t="str">
        <f t="shared" si="13"/>
        <v>Complete</v>
      </c>
      <c r="I819" s="48" t="s">
        <v>1632</v>
      </c>
    </row>
    <row r="820" spans="2:9" ht="15" customHeight="1" x14ac:dyDescent="0.25">
      <c r="B820" s="26" t="s">
        <v>336</v>
      </c>
      <c r="C820" s="1">
        <v>5</v>
      </c>
      <c r="D820" s="27" t="s">
        <v>3111</v>
      </c>
      <c r="E820" s="25"/>
      <c r="F820" s="25" t="str">
        <f>IF(INDEX(I.Production.P2Y3C2,5)="","",INDEX(I.Production.P2Y3C2,5))</f>
        <v/>
      </c>
      <c r="G820" s="25"/>
      <c r="H820" s="1" t="str">
        <f t="shared" si="13"/>
        <v>Complete</v>
      </c>
      <c r="I820" s="48" t="s">
        <v>1633</v>
      </c>
    </row>
    <row r="821" spans="2:9" ht="15" customHeight="1" x14ac:dyDescent="0.25">
      <c r="B821" s="26" t="s">
        <v>336</v>
      </c>
      <c r="C821" s="1">
        <v>6</v>
      </c>
      <c r="D821" s="27" t="s">
        <v>3111</v>
      </c>
      <c r="E821" s="25"/>
      <c r="F821" s="25" t="str">
        <f>IF(INDEX(I.Production.P2Y3C2,6)="","",INDEX(I.Production.P2Y3C2,6))</f>
        <v/>
      </c>
      <c r="G821" s="25"/>
      <c r="H821" s="1" t="str">
        <f t="shared" si="13"/>
        <v>Complete</v>
      </c>
      <c r="I821" s="48" t="s">
        <v>1634</v>
      </c>
    </row>
    <row r="822" spans="2:9" ht="15" customHeight="1" x14ac:dyDescent="0.25">
      <c r="B822" s="26" t="s">
        <v>336</v>
      </c>
      <c r="C822" s="1">
        <v>7</v>
      </c>
      <c r="D822" s="27" t="s">
        <v>3111</v>
      </c>
      <c r="E822" s="25"/>
      <c r="F822" s="25" t="str">
        <f>IF(INDEX(I.Production.P2Y3C2,7)="","",INDEX(I.Production.P2Y3C2,7))</f>
        <v/>
      </c>
      <c r="G822" s="25"/>
      <c r="H822" s="1" t="str">
        <f t="shared" si="13"/>
        <v>Complete</v>
      </c>
      <c r="I822" s="48" t="s">
        <v>1635</v>
      </c>
    </row>
    <row r="823" spans="2:9" ht="15" customHeight="1" x14ac:dyDescent="0.25">
      <c r="B823" s="26" t="s">
        <v>336</v>
      </c>
      <c r="C823" s="1">
        <v>8</v>
      </c>
      <c r="D823" s="27" t="s">
        <v>3111</v>
      </c>
      <c r="E823" s="25"/>
      <c r="F823" s="25" t="str">
        <f>IF(INDEX(I.Production.P2Y3C2,8)="","",INDEX(I.Production.P2Y3C2,8))</f>
        <v/>
      </c>
      <c r="G823" s="25"/>
      <c r="H823" s="1" t="str">
        <f t="shared" si="13"/>
        <v>Complete</v>
      </c>
      <c r="I823" s="48" t="s">
        <v>1636</v>
      </c>
    </row>
    <row r="824" spans="2:9" ht="15" customHeight="1" x14ac:dyDescent="0.25">
      <c r="B824" s="26" t="s">
        <v>336</v>
      </c>
      <c r="C824" s="1">
        <v>9</v>
      </c>
      <c r="D824" s="27" t="s">
        <v>3111</v>
      </c>
      <c r="E824" s="25"/>
      <c r="F824" s="25" t="str">
        <f>IF(INDEX(I.Production.P2Y3C2,9)="","",INDEX(I.Production.P2Y3C2,9))</f>
        <v/>
      </c>
      <c r="G824" s="25"/>
      <c r="H824" s="1" t="str">
        <f t="shared" si="13"/>
        <v>Complete</v>
      </c>
      <c r="I824" s="48" t="s">
        <v>1637</v>
      </c>
    </row>
    <row r="825" spans="2:9" ht="15" customHeight="1" x14ac:dyDescent="0.25">
      <c r="B825" s="26" t="s">
        <v>336</v>
      </c>
      <c r="C825" s="1">
        <v>10</v>
      </c>
      <c r="D825" s="27" t="s">
        <v>3111</v>
      </c>
      <c r="E825" s="25"/>
      <c r="F825" s="25" t="str">
        <f>IF(INDEX(I.Production.P2Y3C2,10)="","",INDEX(I.Production.P2Y3C2,10))</f>
        <v/>
      </c>
      <c r="G825" s="25"/>
      <c r="H825" s="1" t="str">
        <f t="shared" si="13"/>
        <v>Complete</v>
      </c>
      <c r="I825" s="48" t="s">
        <v>1638</v>
      </c>
    </row>
    <row r="826" spans="2:9" ht="15" customHeight="1" x14ac:dyDescent="0.25">
      <c r="B826" s="26" t="s">
        <v>336</v>
      </c>
      <c r="C826" s="1">
        <v>11</v>
      </c>
      <c r="D826" s="27" t="s">
        <v>3111</v>
      </c>
      <c r="E826" s="25"/>
      <c r="F826" s="25" t="str">
        <f>IF(INDEX(I.Production.P2Y3C2,11)="","",INDEX(I.Production.P2Y3C2,11))</f>
        <v/>
      </c>
      <c r="G826" s="25"/>
      <c r="H826" s="1" t="str">
        <f t="shared" si="13"/>
        <v>Complete</v>
      </c>
      <c r="I826" s="48" t="s">
        <v>1639</v>
      </c>
    </row>
    <row r="827" spans="2:9" ht="15" customHeight="1" x14ac:dyDescent="0.25">
      <c r="B827" s="26" t="s">
        <v>336</v>
      </c>
      <c r="C827" s="1">
        <v>12</v>
      </c>
      <c r="D827" s="27" t="s">
        <v>3111</v>
      </c>
      <c r="E827" s="25"/>
      <c r="F827" s="25" t="str">
        <f>IF(INDEX(I.Production.P2Y3C2,12)="","",INDEX(I.Production.P2Y3C2,12))</f>
        <v/>
      </c>
      <c r="G827" s="25"/>
      <c r="H827" s="1" t="str">
        <f t="shared" si="13"/>
        <v>Complete</v>
      </c>
      <c r="I827" s="48" t="s">
        <v>1640</v>
      </c>
    </row>
    <row r="828" spans="2:9" ht="15" customHeight="1" x14ac:dyDescent="0.25">
      <c r="B828" s="26" t="s">
        <v>336</v>
      </c>
      <c r="C828" s="1">
        <v>13</v>
      </c>
      <c r="D828" s="27" t="s">
        <v>3111</v>
      </c>
      <c r="E828" s="25"/>
      <c r="F828" s="25" t="str">
        <f>IF(INDEX(I.Production.P2Y3C2,13)="","",INDEX(I.Production.P2Y3C2,13))</f>
        <v/>
      </c>
      <c r="G828" s="25"/>
      <c r="H828" s="1" t="str">
        <f t="shared" si="13"/>
        <v>Complete</v>
      </c>
      <c r="I828" s="48" t="s">
        <v>1641</v>
      </c>
    </row>
    <row r="829" spans="2:9" ht="15" customHeight="1" x14ac:dyDescent="0.25">
      <c r="B829" s="26" t="s">
        <v>336</v>
      </c>
      <c r="C829" s="1">
        <v>14</v>
      </c>
      <c r="D829" s="27" t="s">
        <v>3111</v>
      </c>
      <c r="E829" s="25"/>
      <c r="F829" s="25" t="str">
        <f>IF(INDEX(I.Production.P2Y3C2,14)="","",INDEX(I.Production.P2Y3C2,14))</f>
        <v/>
      </c>
      <c r="G829" s="25"/>
      <c r="H829" s="1" t="str">
        <f t="shared" si="13"/>
        <v>Complete</v>
      </c>
      <c r="I829" s="48" t="s">
        <v>1642</v>
      </c>
    </row>
    <row r="830" spans="2:9" ht="15" customHeight="1" x14ac:dyDescent="0.25">
      <c r="B830" s="26" t="s">
        <v>336</v>
      </c>
      <c r="C830" s="1">
        <v>15</v>
      </c>
      <c r="D830" s="27" t="s">
        <v>3111</v>
      </c>
      <c r="E830" s="25"/>
      <c r="F830" s="25" t="str">
        <f>IF(INDEX(I.Production.P2Y3C2,15)="","",INDEX(I.Production.P2Y3C2,15))</f>
        <v/>
      </c>
      <c r="G830" s="25"/>
      <c r="H830" s="1" t="str">
        <f t="shared" si="13"/>
        <v>Complete</v>
      </c>
      <c r="I830" s="48" t="s">
        <v>1643</v>
      </c>
    </row>
    <row r="831" spans="2:9" ht="15" customHeight="1" x14ac:dyDescent="0.25">
      <c r="B831" s="26" t="s">
        <v>336</v>
      </c>
      <c r="C831" s="1">
        <v>16</v>
      </c>
      <c r="D831" s="27" t="s">
        <v>3111</v>
      </c>
      <c r="E831" s="25"/>
      <c r="F831" s="25" t="str">
        <f>IF(INDEX(I.Production.P2Y3C2,16)="","",INDEX(I.Production.P2Y3C2,16))</f>
        <v/>
      </c>
      <c r="G831" s="25"/>
      <c r="H831" s="1" t="str">
        <f t="shared" si="13"/>
        <v>Complete</v>
      </c>
      <c r="I831" s="48" t="s">
        <v>1644</v>
      </c>
    </row>
    <row r="832" spans="2:9" ht="15" customHeight="1" x14ac:dyDescent="0.25">
      <c r="B832" s="26" t="s">
        <v>336</v>
      </c>
      <c r="C832" s="1">
        <v>17</v>
      </c>
      <c r="D832" s="27" t="s">
        <v>3111</v>
      </c>
      <c r="E832" s="25"/>
      <c r="F832" s="25" t="str">
        <f>IF(INDEX(I.Production.P2Y3C2,17)="","",INDEX(I.Production.P2Y3C2,17))</f>
        <v/>
      </c>
      <c r="G832" s="25"/>
      <c r="H832" s="1" t="str">
        <f t="shared" si="13"/>
        <v>Complete</v>
      </c>
      <c r="I832" s="48" t="s">
        <v>1645</v>
      </c>
    </row>
    <row r="833" spans="2:9" ht="15" customHeight="1" x14ac:dyDescent="0.25">
      <c r="B833" s="26" t="s">
        <v>336</v>
      </c>
      <c r="C833" s="1">
        <v>18</v>
      </c>
      <c r="D833" s="27" t="s">
        <v>3111</v>
      </c>
      <c r="E833" s="25"/>
      <c r="F833" s="25" t="str">
        <f>IF(INDEX(I.Production.P2Y3C2,18)="","",INDEX(I.Production.P2Y3C2,18))</f>
        <v/>
      </c>
      <c r="G833" s="25"/>
      <c r="H833" s="1" t="str">
        <f t="shared" si="13"/>
        <v>Complete</v>
      </c>
      <c r="I833" s="48" t="s">
        <v>1646</v>
      </c>
    </row>
    <row r="834" spans="2:9" ht="15" customHeight="1" x14ac:dyDescent="0.25">
      <c r="B834" s="26" t="s">
        <v>336</v>
      </c>
      <c r="C834" s="1">
        <v>19</v>
      </c>
      <c r="D834" s="27" t="s">
        <v>3111</v>
      </c>
      <c r="E834" s="25"/>
      <c r="F834" s="25" t="str">
        <f>IF(INDEX(I.Production.P2Y3C2,19)="","",INDEX(I.Production.P2Y3C2,19))</f>
        <v/>
      </c>
      <c r="G834" s="25"/>
      <c r="H834" s="1" t="str">
        <f t="shared" si="13"/>
        <v>Complete</v>
      </c>
      <c r="I834" s="48" t="s">
        <v>1647</v>
      </c>
    </row>
    <row r="835" spans="2:9" ht="15" customHeight="1" x14ac:dyDescent="0.25">
      <c r="B835" s="26" t="s">
        <v>336</v>
      </c>
      <c r="C835" s="1">
        <v>20</v>
      </c>
      <c r="D835" s="27" t="s">
        <v>3111</v>
      </c>
      <c r="E835" s="25"/>
      <c r="F835" s="25" t="str">
        <f>IF(INDEX(I.Production.P2Y3C2,20)="","",INDEX(I.Production.P2Y3C2,20))</f>
        <v/>
      </c>
      <c r="G835" s="25"/>
      <c r="H835" s="1" t="str">
        <f t="shared" si="13"/>
        <v>Complete</v>
      </c>
      <c r="I835" s="48" t="s">
        <v>1648</v>
      </c>
    </row>
    <row r="836" spans="2:9" ht="15" customHeight="1" x14ac:dyDescent="0.25">
      <c r="B836" s="26" t="s">
        <v>336</v>
      </c>
      <c r="C836" s="1">
        <v>21</v>
      </c>
      <c r="D836" s="27" t="s">
        <v>3111</v>
      </c>
      <c r="E836" s="25"/>
      <c r="F836" s="25" t="str">
        <f>IF(INDEX(I.Production.P2Y3C2,21)="","",INDEX(I.Production.P2Y3C2,21))</f>
        <v/>
      </c>
      <c r="G836" s="25"/>
      <c r="H836" s="1" t="str">
        <f t="shared" si="13"/>
        <v>Complete</v>
      </c>
      <c r="I836" s="48" t="s">
        <v>1649</v>
      </c>
    </row>
    <row r="837" spans="2:9" ht="15" customHeight="1" x14ac:dyDescent="0.25">
      <c r="B837" s="26" t="s">
        <v>336</v>
      </c>
      <c r="C837" s="1">
        <v>22</v>
      </c>
      <c r="D837" s="27" t="s">
        <v>3111</v>
      </c>
      <c r="E837" s="25"/>
      <c r="F837" s="25" t="str">
        <f>IF(INDEX(I.Production.P2Y3C2,22)="","",INDEX(I.Production.P2Y3C2,22))</f>
        <v/>
      </c>
      <c r="G837" s="25"/>
      <c r="H837" s="1" t="str">
        <f t="shared" si="13"/>
        <v>Complete</v>
      </c>
      <c r="I837" s="48" t="s">
        <v>1650</v>
      </c>
    </row>
    <row r="838" spans="2:9" ht="15" customHeight="1" x14ac:dyDescent="0.25">
      <c r="B838" s="26" t="s">
        <v>336</v>
      </c>
      <c r="C838" s="1">
        <v>23</v>
      </c>
      <c r="D838" s="27" t="s">
        <v>3111</v>
      </c>
      <c r="E838" s="25"/>
      <c r="F838" s="25" t="str">
        <f>IF(INDEX(I.Production.P2Y3C2,23)="","",INDEX(I.Production.P2Y3C2,23))</f>
        <v/>
      </c>
      <c r="G838" s="25"/>
      <c r="H838" s="1" t="str">
        <f t="shared" si="13"/>
        <v>Complete</v>
      </c>
      <c r="I838" s="48" t="s">
        <v>1651</v>
      </c>
    </row>
    <row r="839" spans="2:9" ht="15" customHeight="1" x14ac:dyDescent="0.25">
      <c r="B839" s="34" t="s">
        <v>336</v>
      </c>
      <c r="C839" s="35">
        <v>24</v>
      </c>
      <c r="D839" s="46" t="s">
        <v>3111</v>
      </c>
      <c r="E839" s="45"/>
      <c r="F839" s="45" t="str">
        <f>IF(INDEX(I.Production.P2Y3C2,24)="","",INDEX(I.Production.P2Y3C2,24))</f>
        <v/>
      </c>
      <c r="G839" s="45"/>
      <c r="H839" s="35" t="str">
        <f t="shared" si="13"/>
        <v>Complete</v>
      </c>
      <c r="I839" s="49" t="s">
        <v>1652</v>
      </c>
    </row>
    <row r="840" spans="2:9" ht="15" customHeight="1" x14ac:dyDescent="0.25">
      <c r="B840" s="26" t="s">
        <v>337</v>
      </c>
      <c r="C840" s="1">
        <v>1</v>
      </c>
      <c r="D840" s="27" t="s">
        <v>3112</v>
      </c>
      <c r="E840" s="25"/>
      <c r="F840" s="25" t="str">
        <f>IF(INDEX(I.Production.P2Y1C3,1)="","",INDEX(I.Production.P2Y1C3,1))</f>
        <v/>
      </c>
      <c r="G840" s="25"/>
      <c r="H840" s="1" t="str">
        <f t="shared" ref="H840:H881" si="14">IF(AND(I.Facility.ProductCount&gt;=2,I.Developer.P2C3=TRUE,F840=""),"Incomplete","Complete")</f>
        <v>Complete</v>
      </c>
      <c r="I840" s="48" t="s">
        <v>1653</v>
      </c>
    </row>
    <row r="841" spans="2:9" ht="15" customHeight="1" x14ac:dyDescent="0.25">
      <c r="B841" s="26" t="s">
        <v>337</v>
      </c>
      <c r="C841" s="1">
        <v>2</v>
      </c>
      <c r="D841" s="27" t="s">
        <v>3112</v>
      </c>
      <c r="E841" s="25"/>
      <c r="F841" s="25" t="str">
        <f>IF(INDEX(I.Production.P2Y1C3,2)="","",INDEX(I.Production.P2Y1C3,2))</f>
        <v/>
      </c>
      <c r="G841" s="25"/>
      <c r="H841" s="1" t="str">
        <f t="shared" si="14"/>
        <v>Complete</v>
      </c>
      <c r="I841" s="48" t="s">
        <v>1654</v>
      </c>
    </row>
    <row r="842" spans="2:9" ht="15" customHeight="1" x14ac:dyDescent="0.25">
      <c r="B842" s="26" t="s">
        <v>337</v>
      </c>
      <c r="C842" s="1">
        <v>3</v>
      </c>
      <c r="D842" s="27" t="s">
        <v>3112</v>
      </c>
      <c r="E842" s="25"/>
      <c r="F842" s="25" t="str">
        <f>IF(INDEX(I.Production.P2Y1C3,3)="","",INDEX(I.Production.P2Y1C3,3))</f>
        <v/>
      </c>
      <c r="G842" s="25"/>
      <c r="H842" s="1" t="str">
        <f t="shared" si="14"/>
        <v>Complete</v>
      </c>
      <c r="I842" s="48" t="s">
        <v>1655</v>
      </c>
    </row>
    <row r="843" spans="2:9" ht="15" customHeight="1" x14ac:dyDescent="0.25">
      <c r="B843" s="26" t="s">
        <v>337</v>
      </c>
      <c r="C843" s="1">
        <v>4</v>
      </c>
      <c r="D843" s="27" t="s">
        <v>3112</v>
      </c>
      <c r="E843" s="25"/>
      <c r="F843" s="25" t="str">
        <f>IF(INDEX(I.Production.P2Y1C3,4)="","",INDEX(I.Production.P2Y1C3,4))</f>
        <v/>
      </c>
      <c r="G843" s="25"/>
      <c r="H843" s="1" t="str">
        <f t="shared" si="14"/>
        <v>Complete</v>
      </c>
      <c r="I843" s="48" t="s">
        <v>1656</v>
      </c>
    </row>
    <row r="844" spans="2:9" ht="15" customHeight="1" x14ac:dyDescent="0.25">
      <c r="B844" s="26" t="s">
        <v>337</v>
      </c>
      <c r="C844" s="1">
        <v>5</v>
      </c>
      <c r="D844" s="27" t="s">
        <v>3112</v>
      </c>
      <c r="E844" s="25"/>
      <c r="F844" s="25" t="str">
        <f>IF(INDEX(I.Production.P2Y1C3,5)="","",INDEX(I.Production.P2Y1C3,5))</f>
        <v/>
      </c>
      <c r="G844" s="25"/>
      <c r="H844" s="1" t="str">
        <f t="shared" si="14"/>
        <v>Complete</v>
      </c>
      <c r="I844" s="48" t="s">
        <v>1657</v>
      </c>
    </row>
    <row r="845" spans="2:9" ht="15" customHeight="1" x14ac:dyDescent="0.25">
      <c r="B845" s="26" t="s">
        <v>337</v>
      </c>
      <c r="C845" s="1">
        <v>6</v>
      </c>
      <c r="D845" s="27" t="s">
        <v>3112</v>
      </c>
      <c r="E845" s="25"/>
      <c r="F845" s="25" t="str">
        <f>IF(INDEX(I.Production.P2Y1C3,6)="","",INDEX(I.Production.P2Y1C3,6))</f>
        <v/>
      </c>
      <c r="G845" s="25"/>
      <c r="H845" s="1" t="str">
        <f t="shared" si="14"/>
        <v>Complete</v>
      </c>
      <c r="I845" s="48" t="s">
        <v>1658</v>
      </c>
    </row>
    <row r="846" spans="2:9" ht="15" customHeight="1" x14ac:dyDescent="0.25">
      <c r="B846" s="26" t="s">
        <v>337</v>
      </c>
      <c r="C846" s="1">
        <v>7</v>
      </c>
      <c r="D846" s="27" t="s">
        <v>3112</v>
      </c>
      <c r="E846" s="25"/>
      <c r="F846" s="25" t="str">
        <f>IF(INDEX(I.Production.P2Y1C3,7)="","",INDEX(I.Production.P2Y1C3,7))</f>
        <v/>
      </c>
      <c r="G846" s="25"/>
      <c r="H846" s="1" t="str">
        <f t="shared" si="14"/>
        <v>Complete</v>
      </c>
      <c r="I846" s="48" t="s">
        <v>1659</v>
      </c>
    </row>
    <row r="847" spans="2:9" ht="15" customHeight="1" x14ac:dyDescent="0.25">
      <c r="B847" s="26" t="s">
        <v>337</v>
      </c>
      <c r="C847" s="1">
        <v>8</v>
      </c>
      <c r="D847" s="27" t="s">
        <v>3112</v>
      </c>
      <c r="E847" s="25"/>
      <c r="F847" s="25" t="str">
        <f>IF(INDEX(I.Production.P2Y1C3,8)="","",INDEX(I.Production.P2Y1C3,8))</f>
        <v/>
      </c>
      <c r="G847" s="25"/>
      <c r="H847" s="1" t="str">
        <f t="shared" si="14"/>
        <v>Complete</v>
      </c>
      <c r="I847" s="48" t="s">
        <v>1660</v>
      </c>
    </row>
    <row r="848" spans="2:9" ht="15" customHeight="1" x14ac:dyDescent="0.25">
      <c r="B848" s="26" t="s">
        <v>337</v>
      </c>
      <c r="C848" s="1">
        <v>9</v>
      </c>
      <c r="D848" s="27" t="s">
        <v>3112</v>
      </c>
      <c r="E848" s="25"/>
      <c r="F848" s="25" t="str">
        <f>IF(INDEX(I.Production.P2Y1C3,9)="","",INDEX(I.Production.P2Y1C3,9))</f>
        <v/>
      </c>
      <c r="G848" s="25"/>
      <c r="H848" s="1" t="str">
        <f t="shared" si="14"/>
        <v>Complete</v>
      </c>
      <c r="I848" s="48" t="s">
        <v>1661</v>
      </c>
    </row>
    <row r="849" spans="2:9" ht="15" customHeight="1" x14ac:dyDescent="0.25">
      <c r="B849" s="26" t="s">
        <v>337</v>
      </c>
      <c r="C849" s="1">
        <v>10</v>
      </c>
      <c r="D849" s="27" t="s">
        <v>3112</v>
      </c>
      <c r="E849" s="25"/>
      <c r="F849" s="25" t="str">
        <f>IF(INDEX(I.Production.P2Y1C3,10)="","",INDEX(I.Production.P2Y1C3,10))</f>
        <v/>
      </c>
      <c r="G849" s="25"/>
      <c r="H849" s="1" t="str">
        <f t="shared" si="14"/>
        <v>Complete</v>
      </c>
      <c r="I849" s="48" t="s">
        <v>1662</v>
      </c>
    </row>
    <row r="850" spans="2:9" ht="15" customHeight="1" x14ac:dyDescent="0.25">
      <c r="B850" s="26" t="s">
        <v>337</v>
      </c>
      <c r="C850" s="1">
        <v>11</v>
      </c>
      <c r="D850" s="27" t="s">
        <v>3112</v>
      </c>
      <c r="E850" s="25"/>
      <c r="F850" s="25" t="str">
        <f>IF(INDEX(I.Production.P2Y1C3,11)="","",INDEX(I.Production.P2Y1C3,11))</f>
        <v/>
      </c>
      <c r="G850" s="25"/>
      <c r="H850" s="1" t="str">
        <f t="shared" si="14"/>
        <v>Complete</v>
      </c>
      <c r="I850" s="48" t="s">
        <v>1663</v>
      </c>
    </row>
    <row r="851" spans="2:9" ht="15" customHeight="1" x14ac:dyDescent="0.25">
      <c r="B851" s="26" t="s">
        <v>337</v>
      </c>
      <c r="C851" s="1">
        <v>12</v>
      </c>
      <c r="D851" s="27" t="s">
        <v>3112</v>
      </c>
      <c r="E851" s="25"/>
      <c r="F851" s="25" t="str">
        <f>IF(INDEX(I.Production.P2Y1C3,12)="","",INDEX(I.Production.P2Y1C3,12))</f>
        <v/>
      </c>
      <c r="G851" s="25"/>
      <c r="H851" s="1" t="str">
        <f t="shared" si="14"/>
        <v>Complete</v>
      </c>
      <c r="I851" s="48" t="s">
        <v>1664</v>
      </c>
    </row>
    <row r="852" spans="2:9" ht="15" customHeight="1" x14ac:dyDescent="0.25">
      <c r="B852" s="26" t="s">
        <v>337</v>
      </c>
      <c r="C852" s="1">
        <v>13</v>
      </c>
      <c r="D852" s="27" t="s">
        <v>3112</v>
      </c>
      <c r="E852" s="25"/>
      <c r="F852" s="25" t="str">
        <f>IF(INDEX(I.Production.P2Y1C3,13)="","",INDEX(I.Production.P2Y1C3,13))</f>
        <v/>
      </c>
      <c r="G852" s="25"/>
      <c r="H852" s="1" t="str">
        <f t="shared" si="14"/>
        <v>Complete</v>
      </c>
      <c r="I852" s="48" t="s">
        <v>1665</v>
      </c>
    </row>
    <row r="853" spans="2:9" ht="15" customHeight="1" x14ac:dyDescent="0.25">
      <c r="B853" s="26" t="s">
        <v>337</v>
      </c>
      <c r="C853" s="1">
        <v>14</v>
      </c>
      <c r="D853" s="27" t="s">
        <v>3112</v>
      </c>
      <c r="E853" s="25"/>
      <c r="F853" s="25" t="str">
        <f>IF(INDEX(I.Production.P2Y1C3,14)="","",INDEX(I.Production.P2Y1C3,14))</f>
        <v/>
      </c>
      <c r="G853" s="25"/>
      <c r="H853" s="1" t="str">
        <f t="shared" si="14"/>
        <v>Complete</v>
      </c>
      <c r="I853" s="48" t="s">
        <v>1666</v>
      </c>
    </row>
    <row r="854" spans="2:9" ht="15" customHeight="1" x14ac:dyDescent="0.25">
      <c r="B854" s="26" t="s">
        <v>337</v>
      </c>
      <c r="C854" s="1">
        <v>15</v>
      </c>
      <c r="D854" s="27" t="s">
        <v>3112</v>
      </c>
      <c r="E854" s="25"/>
      <c r="F854" s="25" t="str">
        <f>IF(INDEX(I.Production.P2Y1C3,15)="","",INDEX(I.Production.P2Y1C3,15))</f>
        <v/>
      </c>
      <c r="G854" s="25"/>
      <c r="H854" s="1" t="str">
        <f t="shared" si="14"/>
        <v>Complete</v>
      </c>
      <c r="I854" s="48" t="s">
        <v>1667</v>
      </c>
    </row>
    <row r="855" spans="2:9" ht="15" customHeight="1" x14ac:dyDescent="0.25">
      <c r="B855" s="26" t="s">
        <v>337</v>
      </c>
      <c r="C855" s="1">
        <v>16</v>
      </c>
      <c r="D855" s="27" t="s">
        <v>3112</v>
      </c>
      <c r="E855" s="25"/>
      <c r="F855" s="25" t="str">
        <f>IF(INDEX(I.Production.P2Y1C3,16)="","",INDEX(I.Production.P2Y1C3,16))</f>
        <v/>
      </c>
      <c r="G855" s="25"/>
      <c r="H855" s="1" t="str">
        <f t="shared" si="14"/>
        <v>Complete</v>
      </c>
      <c r="I855" s="48" t="s">
        <v>1668</v>
      </c>
    </row>
    <row r="856" spans="2:9" ht="15" customHeight="1" x14ac:dyDescent="0.25">
      <c r="B856" s="26" t="s">
        <v>337</v>
      </c>
      <c r="C856" s="1">
        <v>17</v>
      </c>
      <c r="D856" s="27" t="s">
        <v>3112</v>
      </c>
      <c r="E856" s="25"/>
      <c r="F856" s="25" t="str">
        <f>IF(INDEX(I.Production.P2Y1C3,17)="","",INDEX(I.Production.P2Y1C3,17))</f>
        <v/>
      </c>
      <c r="G856" s="25"/>
      <c r="H856" s="1" t="str">
        <f t="shared" si="14"/>
        <v>Complete</v>
      </c>
      <c r="I856" s="48" t="s">
        <v>1669</v>
      </c>
    </row>
    <row r="857" spans="2:9" ht="15" customHeight="1" x14ac:dyDescent="0.25">
      <c r="B857" s="26" t="s">
        <v>337</v>
      </c>
      <c r="C857" s="1">
        <v>18</v>
      </c>
      <c r="D857" s="27" t="s">
        <v>3112</v>
      </c>
      <c r="E857" s="25"/>
      <c r="F857" s="25" t="str">
        <f>IF(INDEX(I.Production.P2Y1C3,18)="","",INDEX(I.Production.P2Y1C3,18))</f>
        <v/>
      </c>
      <c r="G857" s="25"/>
      <c r="H857" s="1" t="str">
        <f t="shared" si="14"/>
        <v>Complete</v>
      </c>
      <c r="I857" s="48" t="s">
        <v>1670</v>
      </c>
    </row>
    <row r="858" spans="2:9" ht="15" customHeight="1" x14ac:dyDescent="0.25">
      <c r="B858" s="26" t="s">
        <v>337</v>
      </c>
      <c r="C858" s="1">
        <v>19</v>
      </c>
      <c r="D858" s="27" t="s">
        <v>3112</v>
      </c>
      <c r="E858" s="25"/>
      <c r="F858" s="25" t="str">
        <f>IF(INDEX(I.Production.P2Y1C3,19)="","",INDEX(I.Production.P2Y1C3,19))</f>
        <v/>
      </c>
      <c r="G858" s="25"/>
      <c r="H858" s="1" t="str">
        <f t="shared" si="14"/>
        <v>Complete</v>
      </c>
      <c r="I858" s="48" t="s">
        <v>1671</v>
      </c>
    </row>
    <row r="859" spans="2:9" ht="15" customHeight="1" x14ac:dyDescent="0.25">
      <c r="B859" s="26" t="s">
        <v>337</v>
      </c>
      <c r="C859" s="1">
        <v>20</v>
      </c>
      <c r="D859" s="27" t="s">
        <v>3112</v>
      </c>
      <c r="E859" s="25"/>
      <c r="F859" s="25" t="str">
        <f>IF(INDEX(I.Production.P2Y1C3,20)="","",INDEX(I.Production.P2Y1C3,20))</f>
        <v/>
      </c>
      <c r="G859" s="25"/>
      <c r="H859" s="1" t="str">
        <f t="shared" si="14"/>
        <v>Complete</v>
      </c>
      <c r="I859" s="48" t="s">
        <v>1672</v>
      </c>
    </row>
    <row r="860" spans="2:9" ht="15" customHeight="1" x14ac:dyDescent="0.25">
      <c r="B860" s="34" t="s">
        <v>337</v>
      </c>
      <c r="C860" s="35">
        <v>21</v>
      </c>
      <c r="D860" s="46" t="s">
        <v>3112</v>
      </c>
      <c r="E860" s="45"/>
      <c r="F860" s="45" t="str">
        <f>IF(INDEX(I.Production.P2Y1C3,21)="","",INDEX(I.Production.P2Y1C3,21))</f>
        <v/>
      </c>
      <c r="G860" s="45"/>
      <c r="H860" s="35" t="str">
        <f t="shared" si="14"/>
        <v>Complete</v>
      </c>
      <c r="I860" s="49" t="s">
        <v>1673</v>
      </c>
    </row>
    <row r="861" spans="2:9" ht="15" customHeight="1" x14ac:dyDescent="0.25">
      <c r="B861" s="26" t="s">
        <v>338</v>
      </c>
      <c r="C861" s="1">
        <v>1</v>
      </c>
      <c r="D861" s="27" t="s">
        <v>3113</v>
      </c>
      <c r="E861" s="25"/>
      <c r="F861" s="25" t="str">
        <f>IF(INDEX(I.Production.P2Y2C3,1)="","",INDEX(I.Production.P2Y2C3,1))</f>
        <v/>
      </c>
      <c r="G861" s="25"/>
      <c r="H861" s="1" t="str">
        <f t="shared" si="14"/>
        <v>Complete</v>
      </c>
      <c r="I861" s="48" t="s">
        <v>1674</v>
      </c>
    </row>
    <row r="862" spans="2:9" ht="15" customHeight="1" x14ac:dyDescent="0.25">
      <c r="B862" s="26" t="s">
        <v>338</v>
      </c>
      <c r="C862" s="1">
        <v>2</v>
      </c>
      <c r="D862" s="27" t="s">
        <v>3113</v>
      </c>
      <c r="E862" s="25"/>
      <c r="F862" s="25" t="str">
        <f>IF(INDEX(I.Production.P2Y2C3,2)="","",INDEX(I.Production.P2Y2C3,2))</f>
        <v/>
      </c>
      <c r="G862" s="25"/>
      <c r="H862" s="1" t="str">
        <f t="shared" si="14"/>
        <v>Complete</v>
      </c>
      <c r="I862" s="48" t="s">
        <v>1675</v>
      </c>
    </row>
    <row r="863" spans="2:9" ht="15" customHeight="1" x14ac:dyDescent="0.25">
      <c r="B863" s="26" t="s">
        <v>338</v>
      </c>
      <c r="C863" s="1">
        <v>3</v>
      </c>
      <c r="D863" s="27" t="s">
        <v>3113</v>
      </c>
      <c r="E863" s="25"/>
      <c r="F863" s="25" t="str">
        <f>IF(INDEX(I.Production.P2Y2C3,3)="","",INDEX(I.Production.P2Y2C3,3))</f>
        <v/>
      </c>
      <c r="G863" s="25"/>
      <c r="H863" s="1" t="str">
        <f t="shared" si="14"/>
        <v>Complete</v>
      </c>
      <c r="I863" s="48" t="s">
        <v>1676</v>
      </c>
    </row>
    <row r="864" spans="2:9" ht="15" customHeight="1" x14ac:dyDescent="0.25">
      <c r="B864" s="26" t="s">
        <v>338</v>
      </c>
      <c r="C864" s="1">
        <v>4</v>
      </c>
      <c r="D864" s="27" t="s">
        <v>3113</v>
      </c>
      <c r="E864" s="25"/>
      <c r="F864" s="25" t="str">
        <f>IF(INDEX(I.Production.P2Y2C3,4)="","",INDEX(I.Production.P2Y2C3,4))</f>
        <v/>
      </c>
      <c r="G864" s="25"/>
      <c r="H864" s="1" t="str">
        <f t="shared" si="14"/>
        <v>Complete</v>
      </c>
      <c r="I864" s="48" t="s">
        <v>1677</v>
      </c>
    </row>
    <row r="865" spans="2:9" ht="15" customHeight="1" x14ac:dyDescent="0.25">
      <c r="B865" s="26" t="s">
        <v>338</v>
      </c>
      <c r="C865" s="1">
        <v>5</v>
      </c>
      <c r="D865" s="27" t="s">
        <v>3113</v>
      </c>
      <c r="E865" s="25"/>
      <c r="F865" s="25" t="str">
        <f>IF(INDEX(I.Production.P2Y2C3,5)="","",INDEX(I.Production.P2Y2C3,5))</f>
        <v/>
      </c>
      <c r="G865" s="25"/>
      <c r="H865" s="1" t="str">
        <f t="shared" si="14"/>
        <v>Complete</v>
      </c>
      <c r="I865" s="48" t="s">
        <v>1678</v>
      </c>
    </row>
    <row r="866" spans="2:9" ht="15" customHeight="1" x14ac:dyDescent="0.25">
      <c r="B866" s="26" t="s">
        <v>338</v>
      </c>
      <c r="C866" s="1">
        <v>6</v>
      </c>
      <c r="D866" s="27" t="s">
        <v>3113</v>
      </c>
      <c r="E866" s="25"/>
      <c r="F866" s="25" t="str">
        <f>IF(INDEX(I.Production.P2Y2C3,6)="","",INDEX(I.Production.P2Y2C3,6))</f>
        <v/>
      </c>
      <c r="G866" s="25"/>
      <c r="H866" s="1" t="str">
        <f t="shared" si="14"/>
        <v>Complete</v>
      </c>
      <c r="I866" s="48" t="s">
        <v>1679</v>
      </c>
    </row>
    <row r="867" spans="2:9" ht="15" customHeight="1" x14ac:dyDescent="0.25">
      <c r="B867" s="26" t="s">
        <v>338</v>
      </c>
      <c r="C867" s="1">
        <v>7</v>
      </c>
      <c r="D867" s="27" t="s">
        <v>3113</v>
      </c>
      <c r="E867" s="25"/>
      <c r="F867" s="25" t="str">
        <f>IF(INDEX(I.Production.P2Y2C3,7)="","",INDEX(I.Production.P2Y2C3,7))</f>
        <v/>
      </c>
      <c r="G867" s="25"/>
      <c r="H867" s="1" t="str">
        <f t="shared" si="14"/>
        <v>Complete</v>
      </c>
      <c r="I867" s="48" t="s">
        <v>1680</v>
      </c>
    </row>
    <row r="868" spans="2:9" ht="15" customHeight="1" x14ac:dyDescent="0.25">
      <c r="B868" s="26" t="s">
        <v>338</v>
      </c>
      <c r="C868" s="1">
        <v>8</v>
      </c>
      <c r="D868" s="27" t="s">
        <v>3113</v>
      </c>
      <c r="E868" s="25"/>
      <c r="F868" s="25" t="str">
        <f>IF(INDEX(I.Production.P2Y2C3,8)="","",INDEX(I.Production.P2Y2C3,8))</f>
        <v/>
      </c>
      <c r="G868" s="25"/>
      <c r="H868" s="1" t="str">
        <f t="shared" si="14"/>
        <v>Complete</v>
      </c>
      <c r="I868" s="48" t="s">
        <v>1681</v>
      </c>
    </row>
    <row r="869" spans="2:9" ht="15" customHeight="1" x14ac:dyDescent="0.25">
      <c r="B869" s="26" t="s">
        <v>338</v>
      </c>
      <c r="C869" s="1">
        <v>9</v>
      </c>
      <c r="D869" s="27" t="s">
        <v>3113</v>
      </c>
      <c r="E869" s="25"/>
      <c r="F869" s="25" t="str">
        <f>IF(INDEX(I.Production.P2Y2C3,9)="","",INDEX(I.Production.P2Y2C3,9))</f>
        <v/>
      </c>
      <c r="G869" s="25"/>
      <c r="H869" s="1" t="str">
        <f t="shared" si="14"/>
        <v>Complete</v>
      </c>
      <c r="I869" s="48" t="s">
        <v>1682</v>
      </c>
    </row>
    <row r="870" spans="2:9" ht="15" customHeight="1" x14ac:dyDescent="0.25">
      <c r="B870" s="26" t="s">
        <v>338</v>
      </c>
      <c r="C870" s="1">
        <v>10</v>
      </c>
      <c r="D870" s="27" t="s">
        <v>3113</v>
      </c>
      <c r="E870" s="25"/>
      <c r="F870" s="25" t="str">
        <f>IF(INDEX(I.Production.P2Y2C3,10)="","",INDEX(I.Production.P2Y2C3,10))</f>
        <v/>
      </c>
      <c r="G870" s="25"/>
      <c r="H870" s="1" t="str">
        <f t="shared" si="14"/>
        <v>Complete</v>
      </c>
      <c r="I870" s="48" t="s">
        <v>1683</v>
      </c>
    </row>
    <row r="871" spans="2:9" ht="15" customHeight="1" x14ac:dyDescent="0.25">
      <c r="B871" s="26" t="s">
        <v>338</v>
      </c>
      <c r="C871" s="1">
        <v>11</v>
      </c>
      <c r="D871" s="27" t="s">
        <v>3113</v>
      </c>
      <c r="E871" s="25"/>
      <c r="F871" s="25" t="str">
        <f>IF(INDEX(I.Production.P2Y2C3,11)="","",INDEX(I.Production.P2Y2C3,11))</f>
        <v/>
      </c>
      <c r="G871" s="25"/>
      <c r="H871" s="1" t="str">
        <f t="shared" si="14"/>
        <v>Complete</v>
      </c>
      <c r="I871" s="48" t="s">
        <v>1684</v>
      </c>
    </row>
    <row r="872" spans="2:9" ht="15" customHeight="1" x14ac:dyDescent="0.25">
      <c r="B872" s="26" t="s">
        <v>338</v>
      </c>
      <c r="C872" s="1">
        <v>12</v>
      </c>
      <c r="D872" s="27" t="s">
        <v>3113</v>
      </c>
      <c r="E872" s="25"/>
      <c r="F872" s="25" t="str">
        <f>IF(INDEX(I.Production.P2Y2C3,12)="","",INDEX(I.Production.P2Y2C3,12))</f>
        <v/>
      </c>
      <c r="G872" s="25"/>
      <c r="H872" s="1" t="str">
        <f t="shared" si="14"/>
        <v>Complete</v>
      </c>
      <c r="I872" s="48" t="s">
        <v>1685</v>
      </c>
    </row>
    <row r="873" spans="2:9" ht="15" customHeight="1" x14ac:dyDescent="0.25">
      <c r="B873" s="26" t="s">
        <v>338</v>
      </c>
      <c r="C873" s="1">
        <v>13</v>
      </c>
      <c r="D873" s="27" t="s">
        <v>3113</v>
      </c>
      <c r="E873" s="25"/>
      <c r="F873" s="25" t="str">
        <f>IF(INDEX(I.Production.P2Y2C3,13)="","",INDEX(I.Production.P2Y2C3,13))</f>
        <v/>
      </c>
      <c r="G873" s="25"/>
      <c r="H873" s="1" t="str">
        <f t="shared" si="14"/>
        <v>Complete</v>
      </c>
      <c r="I873" s="48" t="s">
        <v>1686</v>
      </c>
    </row>
    <row r="874" spans="2:9" ht="15" customHeight="1" x14ac:dyDescent="0.25">
      <c r="B874" s="26" t="s">
        <v>338</v>
      </c>
      <c r="C874" s="1">
        <v>14</v>
      </c>
      <c r="D874" s="27" t="s">
        <v>3113</v>
      </c>
      <c r="E874" s="25"/>
      <c r="F874" s="25" t="str">
        <f>IF(INDEX(I.Production.P2Y2C3,14)="","",INDEX(I.Production.P2Y2C3,14))</f>
        <v/>
      </c>
      <c r="G874" s="25"/>
      <c r="H874" s="1" t="str">
        <f t="shared" si="14"/>
        <v>Complete</v>
      </c>
      <c r="I874" s="48" t="s">
        <v>1687</v>
      </c>
    </row>
    <row r="875" spans="2:9" ht="15" customHeight="1" x14ac:dyDescent="0.25">
      <c r="B875" s="26" t="s">
        <v>338</v>
      </c>
      <c r="C875" s="1">
        <v>15</v>
      </c>
      <c r="D875" s="27" t="s">
        <v>3113</v>
      </c>
      <c r="E875" s="25"/>
      <c r="F875" s="25" t="str">
        <f>IF(INDEX(I.Production.P2Y2C3,15)="","",INDEX(I.Production.P2Y2C3,15))</f>
        <v/>
      </c>
      <c r="G875" s="25"/>
      <c r="H875" s="1" t="str">
        <f t="shared" si="14"/>
        <v>Complete</v>
      </c>
      <c r="I875" s="48" t="s">
        <v>1688</v>
      </c>
    </row>
    <row r="876" spans="2:9" ht="15" customHeight="1" x14ac:dyDescent="0.25">
      <c r="B876" s="26" t="s">
        <v>338</v>
      </c>
      <c r="C876" s="1">
        <v>16</v>
      </c>
      <c r="D876" s="27" t="s">
        <v>3113</v>
      </c>
      <c r="E876" s="25"/>
      <c r="F876" s="25" t="str">
        <f>IF(INDEX(I.Production.P2Y2C3,16)="","",INDEX(I.Production.P2Y2C3,16))</f>
        <v/>
      </c>
      <c r="G876" s="25"/>
      <c r="H876" s="1" t="str">
        <f t="shared" si="14"/>
        <v>Complete</v>
      </c>
      <c r="I876" s="48" t="s">
        <v>1689</v>
      </c>
    </row>
    <row r="877" spans="2:9" ht="15" customHeight="1" x14ac:dyDescent="0.25">
      <c r="B877" s="26" t="s">
        <v>338</v>
      </c>
      <c r="C877" s="1">
        <v>17</v>
      </c>
      <c r="D877" s="27" t="s">
        <v>3113</v>
      </c>
      <c r="E877" s="25"/>
      <c r="F877" s="25" t="str">
        <f>IF(INDEX(I.Production.P2Y2C3,17)="","",INDEX(I.Production.P2Y2C3,17))</f>
        <v/>
      </c>
      <c r="G877" s="25"/>
      <c r="H877" s="1" t="str">
        <f t="shared" si="14"/>
        <v>Complete</v>
      </c>
      <c r="I877" s="48" t="s">
        <v>1690</v>
      </c>
    </row>
    <row r="878" spans="2:9" ht="15" customHeight="1" x14ac:dyDescent="0.25">
      <c r="B878" s="26" t="s">
        <v>338</v>
      </c>
      <c r="C878" s="1">
        <v>18</v>
      </c>
      <c r="D878" s="27" t="s">
        <v>3113</v>
      </c>
      <c r="E878" s="25"/>
      <c r="F878" s="25" t="str">
        <f>IF(INDEX(I.Production.P2Y2C3,18)="","",INDEX(I.Production.P2Y2C3,18))</f>
        <v/>
      </c>
      <c r="G878" s="25"/>
      <c r="H878" s="1" t="str">
        <f t="shared" si="14"/>
        <v>Complete</v>
      </c>
      <c r="I878" s="48" t="s">
        <v>1691</v>
      </c>
    </row>
    <row r="879" spans="2:9" ht="15" customHeight="1" x14ac:dyDescent="0.25">
      <c r="B879" s="26" t="s">
        <v>338</v>
      </c>
      <c r="C879" s="1">
        <v>19</v>
      </c>
      <c r="D879" s="27" t="s">
        <v>3113</v>
      </c>
      <c r="E879" s="25"/>
      <c r="F879" s="25" t="str">
        <f>IF(INDEX(I.Production.P2Y2C3,19)="","",INDEX(I.Production.P2Y2C3,19))</f>
        <v/>
      </c>
      <c r="G879" s="25"/>
      <c r="H879" s="1" t="str">
        <f t="shared" si="14"/>
        <v>Complete</v>
      </c>
      <c r="I879" s="48" t="s">
        <v>1692</v>
      </c>
    </row>
    <row r="880" spans="2:9" ht="15" customHeight="1" x14ac:dyDescent="0.25">
      <c r="B880" s="26" t="s">
        <v>338</v>
      </c>
      <c r="C880" s="1">
        <v>20</v>
      </c>
      <c r="D880" s="27" t="s">
        <v>3113</v>
      </c>
      <c r="E880" s="25"/>
      <c r="F880" s="25" t="str">
        <f>IF(INDEX(I.Production.P2Y2C3,20)="","",INDEX(I.Production.P2Y2C3,20))</f>
        <v/>
      </c>
      <c r="G880" s="25"/>
      <c r="H880" s="1" t="str">
        <f t="shared" si="14"/>
        <v>Complete</v>
      </c>
      <c r="I880" s="48" t="s">
        <v>1693</v>
      </c>
    </row>
    <row r="881" spans="2:9" ht="15" customHeight="1" x14ac:dyDescent="0.25">
      <c r="B881" s="34" t="s">
        <v>338</v>
      </c>
      <c r="C881" s="35">
        <v>21</v>
      </c>
      <c r="D881" s="46" t="s">
        <v>3113</v>
      </c>
      <c r="E881" s="45"/>
      <c r="F881" s="45" t="str">
        <f>IF(INDEX(I.Production.P2Y2C3,21)="","",INDEX(I.Production.P2Y2C3,21))</f>
        <v/>
      </c>
      <c r="G881" s="45"/>
      <c r="H881" s="35" t="str">
        <f t="shared" si="14"/>
        <v>Complete</v>
      </c>
      <c r="I881" s="49" t="s">
        <v>1694</v>
      </c>
    </row>
    <row r="882" spans="2:9" ht="15" customHeight="1" x14ac:dyDescent="0.25">
      <c r="B882" s="26" t="s">
        <v>339</v>
      </c>
      <c r="C882" s="1">
        <v>1</v>
      </c>
      <c r="D882" s="27" t="s">
        <v>3114</v>
      </c>
      <c r="E882" s="25"/>
      <c r="F882" s="25" t="str">
        <f>IF(INDEX(I.Production.P2Y3C3,1)="","",INDEX(I.Production.P2Y3C3,1))</f>
        <v/>
      </c>
      <c r="G882" s="25"/>
      <c r="H882" s="1" t="str">
        <f t="shared" ref="H882:H902" si="15">IF(AND(I.Facility.ProductCount&gt;=2,I.Developer.P2C3=TRUE,I.Product.P2Status&lt;&gt;"Yes",F882=""),"Incomplete","Complete")</f>
        <v>Complete</v>
      </c>
      <c r="I882" s="48" t="s">
        <v>1695</v>
      </c>
    </row>
    <row r="883" spans="2:9" ht="15" customHeight="1" x14ac:dyDescent="0.25">
      <c r="B883" s="26" t="s">
        <v>339</v>
      </c>
      <c r="C883" s="1">
        <v>2</v>
      </c>
      <c r="D883" s="27" t="s">
        <v>3114</v>
      </c>
      <c r="E883" s="25"/>
      <c r="F883" s="25" t="str">
        <f>IF(INDEX(I.Production.P2Y3C3,2)="","",INDEX(I.Production.P2Y3C3,2))</f>
        <v/>
      </c>
      <c r="G883" s="25"/>
      <c r="H883" s="1" t="str">
        <f t="shared" si="15"/>
        <v>Complete</v>
      </c>
      <c r="I883" s="48" t="s">
        <v>1696</v>
      </c>
    </row>
    <row r="884" spans="2:9" ht="15" customHeight="1" x14ac:dyDescent="0.25">
      <c r="B884" s="26" t="s">
        <v>339</v>
      </c>
      <c r="C884" s="1">
        <v>3</v>
      </c>
      <c r="D884" s="27" t="s">
        <v>3114</v>
      </c>
      <c r="E884" s="25"/>
      <c r="F884" s="25" t="str">
        <f>IF(INDEX(I.Production.P2Y3C3,3)="","",INDEX(I.Production.P2Y3C3,3))</f>
        <v/>
      </c>
      <c r="G884" s="25"/>
      <c r="H884" s="1" t="str">
        <f t="shared" si="15"/>
        <v>Complete</v>
      </c>
      <c r="I884" s="48" t="s">
        <v>1697</v>
      </c>
    </row>
    <row r="885" spans="2:9" ht="15" customHeight="1" x14ac:dyDescent="0.25">
      <c r="B885" s="26" t="s">
        <v>339</v>
      </c>
      <c r="C885" s="1">
        <v>4</v>
      </c>
      <c r="D885" s="27" t="s">
        <v>3114</v>
      </c>
      <c r="E885" s="25"/>
      <c r="F885" s="25" t="str">
        <f>IF(INDEX(I.Production.P2Y3C3,4)="","",INDEX(I.Production.P2Y3C3,4))</f>
        <v/>
      </c>
      <c r="G885" s="25"/>
      <c r="H885" s="1" t="str">
        <f t="shared" si="15"/>
        <v>Complete</v>
      </c>
      <c r="I885" s="48" t="s">
        <v>1698</v>
      </c>
    </row>
    <row r="886" spans="2:9" ht="15" customHeight="1" x14ac:dyDescent="0.25">
      <c r="B886" s="26" t="s">
        <v>339</v>
      </c>
      <c r="C886" s="1">
        <v>5</v>
      </c>
      <c r="D886" s="27" t="s">
        <v>3114</v>
      </c>
      <c r="E886" s="25"/>
      <c r="F886" s="25" t="str">
        <f>IF(INDEX(I.Production.P2Y3C3,5)="","",INDEX(I.Production.P2Y3C3,5))</f>
        <v/>
      </c>
      <c r="G886" s="25"/>
      <c r="H886" s="1" t="str">
        <f t="shared" si="15"/>
        <v>Complete</v>
      </c>
      <c r="I886" s="48" t="s">
        <v>1699</v>
      </c>
    </row>
    <row r="887" spans="2:9" ht="15" customHeight="1" x14ac:dyDescent="0.25">
      <c r="B887" s="26" t="s">
        <v>339</v>
      </c>
      <c r="C887" s="1">
        <v>6</v>
      </c>
      <c r="D887" s="27" t="s">
        <v>3114</v>
      </c>
      <c r="E887" s="25"/>
      <c r="F887" s="25" t="str">
        <f>IF(INDEX(I.Production.P2Y3C3,6)="","",INDEX(I.Production.P2Y3C3,6))</f>
        <v/>
      </c>
      <c r="G887" s="25"/>
      <c r="H887" s="1" t="str">
        <f t="shared" si="15"/>
        <v>Complete</v>
      </c>
      <c r="I887" s="48" t="s">
        <v>1700</v>
      </c>
    </row>
    <row r="888" spans="2:9" ht="15" customHeight="1" x14ac:dyDescent="0.25">
      <c r="B888" s="26" t="s">
        <v>339</v>
      </c>
      <c r="C888" s="1">
        <v>7</v>
      </c>
      <c r="D888" s="27" t="s">
        <v>3114</v>
      </c>
      <c r="E888" s="25"/>
      <c r="F888" s="25" t="str">
        <f>IF(INDEX(I.Production.P2Y3C3,7)="","",INDEX(I.Production.P2Y3C3,7))</f>
        <v/>
      </c>
      <c r="G888" s="25"/>
      <c r="H888" s="1" t="str">
        <f t="shared" si="15"/>
        <v>Complete</v>
      </c>
      <c r="I888" s="48" t="s">
        <v>1701</v>
      </c>
    </row>
    <row r="889" spans="2:9" ht="15" customHeight="1" x14ac:dyDescent="0.25">
      <c r="B889" s="26" t="s">
        <v>339</v>
      </c>
      <c r="C889" s="1">
        <v>8</v>
      </c>
      <c r="D889" s="27" t="s">
        <v>3114</v>
      </c>
      <c r="E889" s="25"/>
      <c r="F889" s="25" t="str">
        <f>IF(INDEX(I.Production.P2Y3C3,8)="","",INDEX(I.Production.P2Y3C3,8))</f>
        <v/>
      </c>
      <c r="G889" s="25"/>
      <c r="H889" s="1" t="str">
        <f t="shared" si="15"/>
        <v>Complete</v>
      </c>
      <c r="I889" s="48" t="s">
        <v>1702</v>
      </c>
    </row>
    <row r="890" spans="2:9" ht="15" customHeight="1" x14ac:dyDescent="0.25">
      <c r="B890" s="26" t="s">
        <v>339</v>
      </c>
      <c r="C890" s="1">
        <v>9</v>
      </c>
      <c r="D890" s="27" t="s">
        <v>3114</v>
      </c>
      <c r="E890" s="25"/>
      <c r="F890" s="25" t="str">
        <f>IF(INDEX(I.Production.P2Y3C3,9)="","",INDEX(I.Production.P2Y3C3,9))</f>
        <v/>
      </c>
      <c r="G890" s="25"/>
      <c r="H890" s="1" t="str">
        <f t="shared" si="15"/>
        <v>Complete</v>
      </c>
      <c r="I890" s="48" t="s">
        <v>1703</v>
      </c>
    </row>
    <row r="891" spans="2:9" ht="15" customHeight="1" x14ac:dyDescent="0.25">
      <c r="B891" s="26" t="s">
        <v>339</v>
      </c>
      <c r="C891" s="1">
        <v>10</v>
      </c>
      <c r="D891" s="27" t="s">
        <v>3114</v>
      </c>
      <c r="E891" s="25"/>
      <c r="F891" s="25" t="str">
        <f>IF(INDEX(I.Production.P2Y3C3,10)="","",INDEX(I.Production.P2Y3C3,10))</f>
        <v/>
      </c>
      <c r="G891" s="25"/>
      <c r="H891" s="1" t="str">
        <f t="shared" si="15"/>
        <v>Complete</v>
      </c>
      <c r="I891" s="48" t="s">
        <v>1704</v>
      </c>
    </row>
    <row r="892" spans="2:9" ht="15" customHeight="1" x14ac:dyDescent="0.25">
      <c r="B892" s="26" t="s">
        <v>339</v>
      </c>
      <c r="C892" s="1">
        <v>11</v>
      </c>
      <c r="D892" s="27" t="s">
        <v>3114</v>
      </c>
      <c r="E892" s="25"/>
      <c r="F892" s="25" t="str">
        <f>IF(INDEX(I.Production.P2Y3C3,11)="","",INDEX(I.Production.P2Y3C3,11))</f>
        <v/>
      </c>
      <c r="G892" s="25"/>
      <c r="H892" s="1" t="str">
        <f t="shared" si="15"/>
        <v>Complete</v>
      </c>
      <c r="I892" s="48" t="s">
        <v>1705</v>
      </c>
    </row>
    <row r="893" spans="2:9" ht="15" customHeight="1" x14ac:dyDescent="0.25">
      <c r="B893" s="26" t="s">
        <v>339</v>
      </c>
      <c r="C893" s="1">
        <v>12</v>
      </c>
      <c r="D893" s="27" t="s">
        <v>3114</v>
      </c>
      <c r="E893" s="25"/>
      <c r="F893" s="25" t="str">
        <f>IF(INDEX(I.Production.P2Y3C3,12)="","",INDEX(I.Production.P2Y3C3,12))</f>
        <v/>
      </c>
      <c r="G893" s="25"/>
      <c r="H893" s="1" t="str">
        <f t="shared" si="15"/>
        <v>Complete</v>
      </c>
      <c r="I893" s="48" t="s">
        <v>1706</v>
      </c>
    </row>
    <row r="894" spans="2:9" ht="15" customHeight="1" x14ac:dyDescent="0.25">
      <c r="B894" s="26" t="s">
        <v>339</v>
      </c>
      <c r="C894" s="1">
        <v>13</v>
      </c>
      <c r="D894" s="27" t="s">
        <v>3114</v>
      </c>
      <c r="E894" s="25"/>
      <c r="F894" s="25" t="str">
        <f>IF(INDEX(I.Production.P2Y3C3,13)="","",INDEX(I.Production.P2Y3C3,13))</f>
        <v/>
      </c>
      <c r="G894" s="25"/>
      <c r="H894" s="1" t="str">
        <f t="shared" si="15"/>
        <v>Complete</v>
      </c>
      <c r="I894" s="48" t="s">
        <v>1707</v>
      </c>
    </row>
    <row r="895" spans="2:9" ht="15" customHeight="1" x14ac:dyDescent="0.25">
      <c r="B895" s="26" t="s">
        <v>339</v>
      </c>
      <c r="C895" s="1">
        <v>14</v>
      </c>
      <c r="D895" s="27" t="s">
        <v>3114</v>
      </c>
      <c r="E895" s="25"/>
      <c r="F895" s="25" t="str">
        <f>IF(INDEX(I.Production.P2Y3C3,14)="","",INDEX(I.Production.P2Y3C3,14))</f>
        <v/>
      </c>
      <c r="G895" s="25"/>
      <c r="H895" s="1" t="str">
        <f t="shared" si="15"/>
        <v>Complete</v>
      </c>
      <c r="I895" s="48" t="s">
        <v>1708</v>
      </c>
    </row>
    <row r="896" spans="2:9" ht="15" customHeight="1" x14ac:dyDescent="0.25">
      <c r="B896" s="26" t="s">
        <v>339</v>
      </c>
      <c r="C896" s="1">
        <v>15</v>
      </c>
      <c r="D896" s="27" t="s">
        <v>3114</v>
      </c>
      <c r="E896" s="25"/>
      <c r="F896" s="25" t="str">
        <f>IF(INDEX(I.Production.P2Y3C3,15)="","",INDEX(I.Production.P2Y3C3,15))</f>
        <v/>
      </c>
      <c r="G896" s="25"/>
      <c r="H896" s="1" t="str">
        <f t="shared" si="15"/>
        <v>Complete</v>
      </c>
      <c r="I896" s="48" t="s">
        <v>1709</v>
      </c>
    </row>
    <row r="897" spans="2:9" ht="15" customHeight="1" x14ac:dyDescent="0.25">
      <c r="B897" s="26" t="s">
        <v>339</v>
      </c>
      <c r="C897" s="1">
        <v>16</v>
      </c>
      <c r="D897" s="27" t="s">
        <v>3114</v>
      </c>
      <c r="E897" s="25"/>
      <c r="F897" s="25" t="str">
        <f>IF(INDEX(I.Production.P2Y3C3,16)="","",INDEX(I.Production.P2Y3C3,16))</f>
        <v/>
      </c>
      <c r="G897" s="25"/>
      <c r="H897" s="1" t="str">
        <f t="shared" si="15"/>
        <v>Complete</v>
      </c>
      <c r="I897" s="48" t="s">
        <v>1710</v>
      </c>
    </row>
    <row r="898" spans="2:9" ht="15" customHeight="1" x14ac:dyDescent="0.25">
      <c r="B898" s="26" t="s">
        <v>339</v>
      </c>
      <c r="C898" s="1">
        <v>17</v>
      </c>
      <c r="D898" s="27" t="s">
        <v>3114</v>
      </c>
      <c r="E898" s="25"/>
      <c r="F898" s="25" t="str">
        <f>IF(INDEX(I.Production.P2Y3C3,17)="","",INDEX(I.Production.P2Y3C3,17))</f>
        <v/>
      </c>
      <c r="G898" s="25"/>
      <c r="H898" s="1" t="str">
        <f t="shared" si="15"/>
        <v>Complete</v>
      </c>
      <c r="I898" s="48" t="s">
        <v>1711</v>
      </c>
    </row>
    <row r="899" spans="2:9" ht="15" customHeight="1" x14ac:dyDescent="0.25">
      <c r="B899" s="26" t="s">
        <v>339</v>
      </c>
      <c r="C899" s="1">
        <v>18</v>
      </c>
      <c r="D899" s="27" t="s">
        <v>3114</v>
      </c>
      <c r="E899" s="25"/>
      <c r="F899" s="25" t="str">
        <f>IF(INDEX(I.Production.P2Y3C3,18)="","",INDEX(I.Production.P2Y3C3,18))</f>
        <v/>
      </c>
      <c r="G899" s="25"/>
      <c r="H899" s="1" t="str">
        <f t="shared" si="15"/>
        <v>Complete</v>
      </c>
      <c r="I899" s="48" t="s">
        <v>1712</v>
      </c>
    </row>
    <row r="900" spans="2:9" ht="15" customHeight="1" x14ac:dyDescent="0.25">
      <c r="B900" s="26" t="s">
        <v>339</v>
      </c>
      <c r="C900" s="1">
        <v>19</v>
      </c>
      <c r="D900" s="27" t="s">
        <v>3114</v>
      </c>
      <c r="E900" s="25"/>
      <c r="F900" s="25" t="str">
        <f>IF(INDEX(I.Production.P2Y3C3,19)="","",INDEX(I.Production.P2Y3C3,19))</f>
        <v/>
      </c>
      <c r="G900" s="25"/>
      <c r="H900" s="1" t="str">
        <f t="shared" si="15"/>
        <v>Complete</v>
      </c>
      <c r="I900" s="48" t="s">
        <v>1713</v>
      </c>
    </row>
    <row r="901" spans="2:9" ht="15" customHeight="1" x14ac:dyDescent="0.25">
      <c r="B901" s="26" t="s">
        <v>339</v>
      </c>
      <c r="C901" s="1">
        <v>20</v>
      </c>
      <c r="D901" s="27" t="s">
        <v>3114</v>
      </c>
      <c r="E901" s="25"/>
      <c r="F901" s="25" t="str">
        <f>IF(INDEX(I.Production.P2Y3C3,20)="","",INDEX(I.Production.P2Y3C3,20))</f>
        <v/>
      </c>
      <c r="G901" s="25"/>
      <c r="H901" s="1" t="str">
        <f t="shared" si="15"/>
        <v>Complete</v>
      </c>
      <c r="I901" s="48" t="s">
        <v>1714</v>
      </c>
    </row>
    <row r="902" spans="2:9" ht="15" customHeight="1" x14ac:dyDescent="0.25">
      <c r="B902" s="34" t="s">
        <v>339</v>
      </c>
      <c r="C902" s="35">
        <v>21</v>
      </c>
      <c r="D902" s="46" t="s">
        <v>3114</v>
      </c>
      <c r="E902" s="45"/>
      <c r="F902" s="45" t="str">
        <f>IF(INDEX(I.Production.P2Y3C3,21)="","",INDEX(I.Production.P2Y3C3,21))</f>
        <v/>
      </c>
      <c r="G902" s="45"/>
      <c r="H902" s="35" t="str">
        <f t="shared" si="15"/>
        <v>Complete</v>
      </c>
      <c r="I902" s="49" t="s">
        <v>1715</v>
      </c>
    </row>
    <row r="903" spans="2:9" ht="15" customHeight="1" x14ac:dyDescent="0.25">
      <c r="B903" s="26" t="s">
        <v>340</v>
      </c>
      <c r="C903" s="1">
        <v>1</v>
      </c>
      <c r="D903" s="27" t="s">
        <v>3115</v>
      </c>
      <c r="E903" s="25"/>
      <c r="F903" s="25" t="str">
        <f>IF(INDEX(I.Production.P2Y1C4,1)="","",INDEX(I.Production.P2Y1C4,1))</f>
        <v/>
      </c>
      <c r="G903" s="25"/>
      <c r="H903" s="1" t="str">
        <f t="shared" ref="H903:H908" si="16">IF(AND(I.Facility.ProductCount&gt;=2,I.Developer.P2C4=TRUE,F903=""),"Incomplete","Complete")</f>
        <v>Complete</v>
      </c>
      <c r="I903" s="48" t="s">
        <v>1716</v>
      </c>
    </row>
    <row r="904" spans="2:9" ht="15" customHeight="1" x14ac:dyDescent="0.25">
      <c r="B904" s="26" t="s">
        <v>340</v>
      </c>
      <c r="C904" s="1">
        <v>2</v>
      </c>
      <c r="D904" s="27" t="s">
        <v>3115</v>
      </c>
      <c r="E904" s="25"/>
      <c r="F904" s="25" t="str">
        <f>IF(INDEX(I.Production.P2Y1C4,2)="","",INDEX(I.Production.P2Y1C4,2))</f>
        <v/>
      </c>
      <c r="G904" s="25"/>
      <c r="H904" s="1" t="str">
        <f t="shared" si="16"/>
        <v>Complete</v>
      </c>
      <c r="I904" s="48" t="s">
        <v>1717</v>
      </c>
    </row>
    <row r="905" spans="2:9" ht="15" customHeight="1" x14ac:dyDescent="0.25">
      <c r="B905" s="34" t="s">
        <v>340</v>
      </c>
      <c r="C905" s="35">
        <v>3</v>
      </c>
      <c r="D905" s="46" t="s">
        <v>3115</v>
      </c>
      <c r="E905" s="45"/>
      <c r="F905" s="45" t="str">
        <f>IF(INDEX(I.Production.P2Y1C4,3)="","",INDEX(I.Production.P2Y1C4,3))</f>
        <v/>
      </c>
      <c r="G905" s="45"/>
      <c r="H905" s="35" t="str">
        <f t="shared" si="16"/>
        <v>Complete</v>
      </c>
      <c r="I905" s="49" t="s">
        <v>1718</v>
      </c>
    </row>
    <row r="906" spans="2:9" ht="15" customHeight="1" x14ac:dyDescent="0.25">
      <c r="B906" s="26" t="s">
        <v>341</v>
      </c>
      <c r="C906" s="1">
        <v>1</v>
      </c>
      <c r="D906" s="27" t="s">
        <v>3116</v>
      </c>
      <c r="E906" s="25"/>
      <c r="F906" s="25" t="str">
        <f>IF(INDEX(I.Production.P2Y2C4,1)="","",INDEX(I.Production.P2Y2C4,1))</f>
        <v/>
      </c>
      <c r="G906" s="25"/>
      <c r="H906" s="1" t="str">
        <f t="shared" si="16"/>
        <v>Complete</v>
      </c>
      <c r="I906" s="48" t="s">
        <v>1719</v>
      </c>
    </row>
    <row r="907" spans="2:9" ht="15" customHeight="1" x14ac:dyDescent="0.25">
      <c r="B907" s="26" t="s">
        <v>341</v>
      </c>
      <c r="C907" s="1">
        <v>2</v>
      </c>
      <c r="D907" s="27" t="s">
        <v>3116</v>
      </c>
      <c r="E907" s="25"/>
      <c r="F907" s="25" t="str">
        <f>IF(INDEX(I.Production.P2Y2C4,2)="","",INDEX(I.Production.P2Y2C4,2))</f>
        <v/>
      </c>
      <c r="G907" s="25"/>
      <c r="H907" s="1" t="str">
        <f t="shared" si="16"/>
        <v>Complete</v>
      </c>
      <c r="I907" s="48" t="s">
        <v>1720</v>
      </c>
    </row>
    <row r="908" spans="2:9" ht="15" customHeight="1" x14ac:dyDescent="0.25">
      <c r="B908" s="34" t="s">
        <v>341</v>
      </c>
      <c r="C908" s="35">
        <v>3</v>
      </c>
      <c r="D908" s="46" t="s">
        <v>3116</v>
      </c>
      <c r="E908" s="45"/>
      <c r="F908" s="45" t="str">
        <f>IF(INDEX(I.Production.P2Y2C4,3)="","",INDEX(I.Production.P2Y2C4,3))</f>
        <v/>
      </c>
      <c r="G908" s="45"/>
      <c r="H908" s="35" t="str">
        <f t="shared" si="16"/>
        <v>Complete</v>
      </c>
      <c r="I908" s="49" t="s">
        <v>1721</v>
      </c>
    </row>
    <row r="909" spans="2:9" ht="15" customHeight="1" x14ac:dyDescent="0.25">
      <c r="B909" s="26" t="s">
        <v>342</v>
      </c>
      <c r="C909" s="1">
        <v>1</v>
      </c>
      <c r="D909" s="27" t="s">
        <v>3117</v>
      </c>
      <c r="E909" s="25"/>
      <c r="F909" s="25" t="str">
        <f>IF(INDEX(I.Production.P2Y3C4,1)="","",INDEX(I.Production.P2Y3C4,1))</f>
        <v/>
      </c>
      <c r="G909" s="25"/>
      <c r="H909" s="1" t="str">
        <f>IF(AND(I.Facility.ProductCount&gt;=2,I.Developer.P2C4=TRUE,I.Product.P2Status&lt;&gt;"Yes",F909=""),"Incomplete","Complete")</f>
        <v>Complete</v>
      </c>
      <c r="I909" s="48" t="s">
        <v>1722</v>
      </c>
    </row>
    <row r="910" spans="2:9" ht="15" customHeight="1" x14ac:dyDescent="0.25">
      <c r="B910" s="26" t="s">
        <v>342</v>
      </c>
      <c r="C910" s="1">
        <v>2</v>
      </c>
      <c r="D910" s="27" t="s">
        <v>3117</v>
      </c>
      <c r="E910" s="25"/>
      <c r="F910" s="25" t="str">
        <f>IF(INDEX(I.Production.P2Y3C4,2)="","",INDEX(I.Production.P2Y3C4,2))</f>
        <v/>
      </c>
      <c r="G910" s="25"/>
      <c r="H910" s="1" t="str">
        <f>IF(AND(I.Facility.ProductCount&gt;=2,I.Developer.P2C4=TRUE,I.Product.P2Status&lt;&gt;"Yes",F910=""),"Incomplete","Complete")</f>
        <v>Complete</v>
      </c>
      <c r="I910" s="48" t="s">
        <v>1723</v>
      </c>
    </row>
    <row r="911" spans="2:9" ht="15" customHeight="1" x14ac:dyDescent="0.25">
      <c r="B911" s="34" t="s">
        <v>342</v>
      </c>
      <c r="C911" s="35">
        <v>3</v>
      </c>
      <c r="D911" s="46" t="s">
        <v>3117</v>
      </c>
      <c r="E911" s="45"/>
      <c r="F911" s="45" t="str">
        <f>IF(INDEX(I.Production.P2Y3C4,3)="","",INDEX(I.Production.P2Y3C4,3))</f>
        <v/>
      </c>
      <c r="G911" s="45"/>
      <c r="H911" s="35" t="str">
        <f>IF(AND(I.Facility.ProductCount&gt;=2,I.Developer.P2C4=TRUE,I.Product.P2Status&lt;&gt;"Yes",F911=""),"Incomplete","Complete")</f>
        <v>Complete</v>
      </c>
      <c r="I911" s="49" t="s">
        <v>1724</v>
      </c>
    </row>
    <row r="912" spans="2:9" ht="15" customHeight="1" x14ac:dyDescent="0.25">
      <c r="B912" s="26" t="s">
        <v>343</v>
      </c>
      <c r="C912" s="1">
        <v>1</v>
      </c>
      <c r="D912" s="27" t="s">
        <v>3118</v>
      </c>
      <c r="E912" s="25"/>
      <c r="F912" s="25" t="str">
        <f>IF(INDEX(I.Production.P2Y1C5,1)="","",INDEX(I.Production.P2Y1C5,1))</f>
        <v/>
      </c>
      <c r="G912" s="25"/>
      <c r="H912" s="1" t="str">
        <f t="shared" ref="H912:H917" si="17">IF(AND(I.Facility.ProductCount&gt;=2,I.Developer.P2C5=TRUE,F912=""),"Incomplete","Complete")</f>
        <v>Complete</v>
      </c>
      <c r="I912" s="48" t="s">
        <v>1725</v>
      </c>
    </row>
    <row r="913" spans="2:9" ht="15" customHeight="1" x14ac:dyDescent="0.25">
      <c r="B913" s="26" t="s">
        <v>343</v>
      </c>
      <c r="C913" s="1">
        <v>2</v>
      </c>
      <c r="D913" s="27" t="s">
        <v>3118</v>
      </c>
      <c r="E913" s="25"/>
      <c r="F913" s="25" t="str">
        <f>IF(INDEX(I.Production.P2Y1C5,2)="","",INDEX(I.Production.P2Y1C5,2))</f>
        <v/>
      </c>
      <c r="G913" s="25"/>
      <c r="H913" s="1" t="str">
        <f t="shared" si="17"/>
        <v>Complete</v>
      </c>
      <c r="I913" s="48" t="s">
        <v>1726</v>
      </c>
    </row>
    <row r="914" spans="2:9" ht="15" customHeight="1" x14ac:dyDescent="0.25">
      <c r="B914" s="34" t="s">
        <v>343</v>
      </c>
      <c r="C914" s="35">
        <v>3</v>
      </c>
      <c r="D914" s="46" t="s">
        <v>3118</v>
      </c>
      <c r="E914" s="45"/>
      <c r="F914" s="45" t="str">
        <f>IF(INDEX(I.Production.P2Y1C5,3)="","",INDEX(I.Production.P2Y1C5,3))</f>
        <v/>
      </c>
      <c r="G914" s="45"/>
      <c r="H914" s="35" t="str">
        <f t="shared" si="17"/>
        <v>Complete</v>
      </c>
      <c r="I914" s="49" t="s">
        <v>1727</v>
      </c>
    </row>
    <row r="915" spans="2:9" ht="15" customHeight="1" x14ac:dyDescent="0.25">
      <c r="B915" s="26" t="s">
        <v>344</v>
      </c>
      <c r="C915" s="1">
        <v>1</v>
      </c>
      <c r="D915" s="27" t="s">
        <v>3119</v>
      </c>
      <c r="E915" s="25"/>
      <c r="F915" s="25" t="str">
        <f>IF(INDEX(I.Production.P2Y2C5,1)="","",INDEX(I.Production.P2Y2C5,1))</f>
        <v/>
      </c>
      <c r="G915" s="25"/>
      <c r="H915" s="1" t="str">
        <f t="shared" si="17"/>
        <v>Complete</v>
      </c>
      <c r="I915" s="48" t="s">
        <v>1728</v>
      </c>
    </row>
    <row r="916" spans="2:9" ht="15" customHeight="1" x14ac:dyDescent="0.25">
      <c r="B916" s="26" t="s">
        <v>344</v>
      </c>
      <c r="C916" s="1">
        <v>2</v>
      </c>
      <c r="D916" s="27" t="s">
        <v>3119</v>
      </c>
      <c r="E916" s="25"/>
      <c r="F916" s="25" t="str">
        <f>IF(INDEX(I.Production.P2Y2C5,2)="","",INDEX(I.Production.P2Y2C5,2))</f>
        <v/>
      </c>
      <c r="G916" s="25"/>
      <c r="H916" s="1" t="str">
        <f t="shared" si="17"/>
        <v>Complete</v>
      </c>
      <c r="I916" s="48" t="s">
        <v>1729</v>
      </c>
    </row>
    <row r="917" spans="2:9" ht="15" customHeight="1" x14ac:dyDescent="0.25">
      <c r="B917" s="34" t="s">
        <v>344</v>
      </c>
      <c r="C917" s="35">
        <v>3</v>
      </c>
      <c r="D917" s="46" t="s">
        <v>3119</v>
      </c>
      <c r="E917" s="45"/>
      <c r="F917" s="45" t="str">
        <f>IF(INDEX(I.Production.P2Y2C5,3)="","",INDEX(I.Production.P2Y2C5,3))</f>
        <v/>
      </c>
      <c r="G917" s="45"/>
      <c r="H917" s="35" t="str">
        <f t="shared" si="17"/>
        <v>Complete</v>
      </c>
      <c r="I917" s="49" t="s">
        <v>1730</v>
      </c>
    </row>
    <row r="918" spans="2:9" ht="15" customHeight="1" x14ac:dyDescent="0.25">
      <c r="B918" s="26" t="s">
        <v>345</v>
      </c>
      <c r="C918" s="1">
        <v>1</v>
      </c>
      <c r="D918" s="27" t="s">
        <v>3120</v>
      </c>
      <c r="E918" s="25"/>
      <c r="F918" s="25" t="str">
        <f>IF(INDEX(I.Production.P2Y3C5,1)="","",INDEX(I.Production.P2Y3C5,1))</f>
        <v/>
      </c>
      <c r="G918" s="25"/>
      <c r="H918" s="1" t="str">
        <f>IF(AND(I.Facility.ProductCount&gt;=2,I.Developer.P2C5=TRUE,I.Product.P2Status&lt;&gt;"Yes",F918=""),"Incomplete","Complete")</f>
        <v>Complete</v>
      </c>
      <c r="I918" s="48" t="s">
        <v>1731</v>
      </c>
    </row>
    <row r="919" spans="2:9" ht="15" customHeight="1" x14ac:dyDescent="0.25">
      <c r="B919" s="26" t="s">
        <v>345</v>
      </c>
      <c r="C919" s="1">
        <v>2</v>
      </c>
      <c r="D919" s="27" t="s">
        <v>3120</v>
      </c>
      <c r="E919" s="25"/>
      <c r="F919" s="25" t="str">
        <f>IF(INDEX(I.Production.P2Y3C5,2)="","",INDEX(I.Production.P2Y3C5,2))</f>
        <v/>
      </c>
      <c r="G919" s="25"/>
      <c r="H919" s="1" t="str">
        <f>IF(AND(I.Facility.ProductCount&gt;=2,I.Developer.P2C5=TRUE,I.Product.P2Status&lt;&gt;"Yes",F919=""),"Incomplete","Complete")</f>
        <v>Complete</v>
      </c>
      <c r="I919" s="48" t="s">
        <v>1732</v>
      </c>
    </row>
    <row r="920" spans="2:9" ht="15" customHeight="1" x14ac:dyDescent="0.25">
      <c r="B920" s="34" t="s">
        <v>345</v>
      </c>
      <c r="C920" s="35">
        <v>3</v>
      </c>
      <c r="D920" s="46" t="s">
        <v>3120</v>
      </c>
      <c r="E920" s="45"/>
      <c r="F920" s="45" t="str">
        <f>IF(INDEX(I.Production.P2Y3C5,3)="","",INDEX(I.Production.P2Y3C5,3))</f>
        <v/>
      </c>
      <c r="G920" s="45"/>
      <c r="H920" s="35" t="str">
        <f>IF(AND(I.Facility.ProductCount&gt;=2,I.Developer.P2C5=TRUE,I.Product.P2Status&lt;&gt;"Yes",F920=""),"Incomplete","Complete")</f>
        <v>Complete</v>
      </c>
      <c r="I920" s="49" t="s">
        <v>1733</v>
      </c>
    </row>
    <row r="921" spans="2:9" ht="15" customHeight="1" x14ac:dyDescent="0.25">
      <c r="B921" s="26" t="s">
        <v>346</v>
      </c>
      <c r="C921" s="1">
        <v>1</v>
      </c>
      <c r="D921" s="27" t="s">
        <v>3121</v>
      </c>
      <c r="E921" s="25"/>
      <c r="F921" s="25" t="str">
        <f>IF(INDEX(I.Production.P2Y1C6,1)="","",INDEX(I.Production.P2Y1C6,1))</f>
        <v/>
      </c>
      <c r="G921" s="25"/>
      <c r="H921" s="1" t="str">
        <f t="shared" ref="H921:H926" si="18">IF(AND(I.Facility.ProductCount&gt;=2,I.Developer.P2C6=TRUE,F921=""),"Incomplete","Complete")</f>
        <v>Complete</v>
      </c>
      <c r="I921" s="48" t="s">
        <v>1734</v>
      </c>
    </row>
    <row r="922" spans="2:9" ht="15" customHeight="1" x14ac:dyDescent="0.25">
      <c r="B922" s="26" t="s">
        <v>346</v>
      </c>
      <c r="C922" s="1">
        <v>2</v>
      </c>
      <c r="D922" s="27" t="s">
        <v>3121</v>
      </c>
      <c r="E922" s="25"/>
      <c r="F922" s="25" t="str">
        <f>IF(INDEX(I.Production.P2Y1C6,2)="","",INDEX(I.Production.P2Y1C6,2))</f>
        <v/>
      </c>
      <c r="G922" s="25"/>
      <c r="H922" s="1" t="str">
        <f t="shared" si="18"/>
        <v>Complete</v>
      </c>
      <c r="I922" s="48" t="s">
        <v>1735</v>
      </c>
    </row>
    <row r="923" spans="2:9" ht="15" customHeight="1" x14ac:dyDescent="0.25">
      <c r="B923" s="34" t="s">
        <v>346</v>
      </c>
      <c r="C923" s="35">
        <v>3</v>
      </c>
      <c r="D923" s="46" t="s">
        <v>3121</v>
      </c>
      <c r="E923" s="45"/>
      <c r="F923" s="45" t="str">
        <f>IF(INDEX(I.Production.P2Y1C6,3)="","",INDEX(I.Production.P2Y1C6,3))</f>
        <v/>
      </c>
      <c r="G923" s="45"/>
      <c r="H923" s="35" t="str">
        <f t="shared" si="18"/>
        <v>Complete</v>
      </c>
      <c r="I923" s="49" t="s">
        <v>1736</v>
      </c>
    </row>
    <row r="924" spans="2:9" ht="15" customHeight="1" x14ac:dyDescent="0.25">
      <c r="B924" s="26" t="s">
        <v>347</v>
      </c>
      <c r="C924" s="1">
        <v>1</v>
      </c>
      <c r="D924" s="27" t="s">
        <v>3122</v>
      </c>
      <c r="E924" s="25"/>
      <c r="F924" s="25" t="str">
        <f>IF(INDEX(I.Production.P2Y2C6,1)="","",INDEX(I.Production.P2Y2C6,1))</f>
        <v/>
      </c>
      <c r="G924" s="25"/>
      <c r="H924" s="1" t="str">
        <f t="shared" si="18"/>
        <v>Complete</v>
      </c>
      <c r="I924" s="48" t="s">
        <v>1737</v>
      </c>
    </row>
    <row r="925" spans="2:9" ht="15" customHeight="1" x14ac:dyDescent="0.25">
      <c r="B925" s="26" t="s">
        <v>347</v>
      </c>
      <c r="C925" s="1">
        <v>2</v>
      </c>
      <c r="D925" s="27" t="s">
        <v>3122</v>
      </c>
      <c r="E925" s="25"/>
      <c r="F925" s="25" t="str">
        <f>IF(INDEX(I.Production.P2Y2C6,2)="","",INDEX(I.Production.P2Y2C6,2))</f>
        <v/>
      </c>
      <c r="G925" s="25"/>
      <c r="H925" s="1" t="str">
        <f t="shared" si="18"/>
        <v>Complete</v>
      </c>
      <c r="I925" s="48" t="s">
        <v>1738</v>
      </c>
    </row>
    <row r="926" spans="2:9" ht="15" customHeight="1" x14ac:dyDescent="0.25">
      <c r="B926" s="34" t="s">
        <v>347</v>
      </c>
      <c r="C926" s="35">
        <v>3</v>
      </c>
      <c r="D926" s="46" t="s">
        <v>3122</v>
      </c>
      <c r="E926" s="45"/>
      <c r="F926" s="45" t="str">
        <f>IF(INDEX(I.Production.P2Y2C6,3)="","",INDEX(I.Production.P2Y2C6,3))</f>
        <v/>
      </c>
      <c r="G926" s="45"/>
      <c r="H926" s="35" t="str">
        <f t="shared" si="18"/>
        <v>Complete</v>
      </c>
      <c r="I926" s="49" t="s">
        <v>1739</v>
      </c>
    </row>
    <row r="927" spans="2:9" ht="15" customHeight="1" x14ac:dyDescent="0.25">
      <c r="B927" s="26" t="s">
        <v>348</v>
      </c>
      <c r="C927" s="1">
        <v>1</v>
      </c>
      <c r="D927" s="27" t="s">
        <v>3123</v>
      </c>
      <c r="E927" s="25"/>
      <c r="F927" s="25" t="str">
        <f>IF(INDEX(I.Production.P2Y3C6,1)="","",INDEX(I.Production.P2Y3C6,1))</f>
        <v/>
      </c>
      <c r="G927" s="25"/>
      <c r="H927" s="1" t="str">
        <f>IF(AND(I.Facility.ProductCount&gt;=2,I.Developer.P2C6=TRUE,I.Product.P2Status&lt;&gt;"Yes",F927=""),"Incomplete","Complete")</f>
        <v>Complete</v>
      </c>
      <c r="I927" s="48" t="s">
        <v>1740</v>
      </c>
    </row>
    <row r="928" spans="2:9" ht="15" customHeight="1" x14ac:dyDescent="0.25">
      <c r="B928" s="26" t="s">
        <v>348</v>
      </c>
      <c r="C928" s="1">
        <v>2</v>
      </c>
      <c r="D928" s="27" t="s">
        <v>3123</v>
      </c>
      <c r="E928" s="25"/>
      <c r="F928" s="25" t="str">
        <f>IF(INDEX(I.Production.P2Y3C6,2)="","",INDEX(I.Production.P2Y3C6,2))</f>
        <v/>
      </c>
      <c r="G928" s="25"/>
      <c r="H928" s="1" t="str">
        <f>IF(AND(I.Facility.ProductCount&gt;=2,I.Developer.P2C6=TRUE,I.Product.P2Status&lt;&gt;"Yes",F928=""),"Incomplete","Complete")</f>
        <v>Complete</v>
      </c>
      <c r="I928" s="48" t="s">
        <v>1741</v>
      </c>
    </row>
    <row r="929" spans="2:9" ht="15" customHeight="1" x14ac:dyDescent="0.25">
      <c r="B929" s="34" t="s">
        <v>348</v>
      </c>
      <c r="C929" s="35">
        <v>3</v>
      </c>
      <c r="D929" s="46" t="s">
        <v>3123</v>
      </c>
      <c r="E929" s="45"/>
      <c r="F929" s="45" t="str">
        <f>IF(INDEX(I.Production.P2Y3C6,3)="","",INDEX(I.Production.P2Y3C6,3))</f>
        <v/>
      </c>
      <c r="G929" s="45"/>
      <c r="H929" s="35" t="str">
        <f>IF(AND(I.Facility.ProductCount&gt;=2,I.Developer.P2C6=TRUE,I.Product.P2Status&lt;&gt;"Yes",F929=""),"Incomplete","Complete")</f>
        <v>Complete</v>
      </c>
      <c r="I929" s="49" t="s">
        <v>1742</v>
      </c>
    </row>
    <row r="930" spans="2:9" ht="15" customHeight="1" x14ac:dyDescent="0.25">
      <c r="B930" s="26" t="s">
        <v>349</v>
      </c>
      <c r="C930" s="1">
        <v>1</v>
      </c>
      <c r="D930" s="27" t="s">
        <v>3124</v>
      </c>
      <c r="E930" s="25"/>
      <c r="F930" s="25" t="str">
        <f>IF(INDEX(I.Production.P2Y1C7,1)="","",INDEX(I.Production.P2Y1C7,1))</f>
        <v/>
      </c>
      <c r="G930" s="25"/>
      <c r="H930" s="1" t="str">
        <f t="shared" ref="H930:H935" si="19">IF(AND(I.Facility.ProductCount&gt;=2,I.Developer.P2C7=TRUE,F930=""),"Incomplete","Complete")</f>
        <v>Complete</v>
      </c>
      <c r="I930" s="48" t="s">
        <v>1743</v>
      </c>
    </row>
    <row r="931" spans="2:9" ht="15" customHeight="1" x14ac:dyDescent="0.25">
      <c r="B931" s="26" t="s">
        <v>349</v>
      </c>
      <c r="C931" s="1">
        <v>2</v>
      </c>
      <c r="D931" s="27" t="s">
        <v>3124</v>
      </c>
      <c r="E931" s="25"/>
      <c r="F931" s="25" t="str">
        <f>IF(INDEX(I.Production.P2Y1C7,2)="","",INDEX(I.Production.P2Y1C7,2))</f>
        <v/>
      </c>
      <c r="G931" s="25"/>
      <c r="H931" s="1" t="str">
        <f t="shared" si="19"/>
        <v>Complete</v>
      </c>
      <c r="I931" s="48" t="s">
        <v>1744</v>
      </c>
    </row>
    <row r="932" spans="2:9" ht="15" customHeight="1" x14ac:dyDescent="0.25">
      <c r="B932" s="34" t="s">
        <v>349</v>
      </c>
      <c r="C932" s="35">
        <v>3</v>
      </c>
      <c r="D932" s="46" t="s">
        <v>3124</v>
      </c>
      <c r="E932" s="45"/>
      <c r="F932" s="45" t="str">
        <f>IF(INDEX(I.Production.P2Y1C7,3)="","",INDEX(I.Production.P2Y1C7,3))</f>
        <v/>
      </c>
      <c r="G932" s="45"/>
      <c r="H932" s="35" t="str">
        <f t="shared" si="19"/>
        <v>Complete</v>
      </c>
      <c r="I932" s="49" t="s">
        <v>1745</v>
      </c>
    </row>
    <row r="933" spans="2:9" ht="15" customHeight="1" x14ac:dyDescent="0.25">
      <c r="B933" s="26" t="s">
        <v>350</v>
      </c>
      <c r="C933" s="1">
        <v>1</v>
      </c>
      <c r="D933" s="27" t="s">
        <v>3125</v>
      </c>
      <c r="E933" s="25"/>
      <c r="F933" s="25" t="str">
        <f>IF(INDEX(I.Production.P2Y2C7,1)="","",INDEX(I.Production.P2Y2C7,1))</f>
        <v/>
      </c>
      <c r="G933" s="25"/>
      <c r="H933" s="1" t="str">
        <f t="shared" si="19"/>
        <v>Complete</v>
      </c>
      <c r="I933" s="48" t="s">
        <v>1746</v>
      </c>
    </row>
    <row r="934" spans="2:9" ht="15" customHeight="1" x14ac:dyDescent="0.25">
      <c r="B934" s="26" t="s">
        <v>350</v>
      </c>
      <c r="C934" s="1">
        <v>2</v>
      </c>
      <c r="D934" s="27" t="s">
        <v>3125</v>
      </c>
      <c r="E934" s="25"/>
      <c r="F934" s="25" t="str">
        <f>IF(INDEX(I.Production.P2Y2C7,2)="","",INDEX(I.Production.P2Y2C7,2))</f>
        <v/>
      </c>
      <c r="G934" s="25"/>
      <c r="H934" s="1" t="str">
        <f t="shared" si="19"/>
        <v>Complete</v>
      </c>
      <c r="I934" s="48" t="s">
        <v>1747</v>
      </c>
    </row>
    <row r="935" spans="2:9" ht="15" customHeight="1" x14ac:dyDescent="0.25">
      <c r="B935" s="34" t="s">
        <v>350</v>
      </c>
      <c r="C935" s="35">
        <v>3</v>
      </c>
      <c r="D935" s="46" t="s">
        <v>3125</v>
      </c>
      <c r="E935" s="45"/>
      <c r="F935" s="45" t="str">
        <f>IF(INDEX(I.Production.P2Y2C7,3)="","",INDEX(I.Production.P2Y2C7,3))</f>
        <v/>
      </c>
      <c r="G935" s="45"/>
      <c r="H935" s="35" t="str">
        <f t="shared" si="19"/>
        <v>Complete</v>
      </c>
      <c r="I935" s="49" t="s">
        <v>1748</v>
      </c>
    </row>
    <row r="936" spans="2:9" ht="15" customHeight="1" x14ac:dyDescent="0.25">
      <c r="B936" s="26" t="s">
        <v>351</v>
      </c>
      <c r="C936" s="1">
        <v>1</v>
      </c>
      <c r="D936" s="27" t="s">
        <v>3126</v>
      </c>
      <c r="E936" s="25"/>
      <c r="F936" s="25" t="str">
        <f>IF(INDEX(I.Production.P2Y3C7,1)="","",INDEX(I.Production.P2Y3C7,1))</f>
        <v/>
      </c>
      <c r="G936" s="25"/>
      <c r="H936" s="1" t="str">
        <f>IF(AND(I.Facility.ProductCount&gt;=2,I.Developer.P2C7=TRUE,I.Product.P2Status&lt;&gt;"Yes",F936=""),"Incomplete","Complete")</f>
        <v>Complete</v>
      </c>
      <c r="I936" s="48" t="s">
        <v>1749</v>
      </c>
    </row>
    <row r="937" spans="2:9" ht="15" customHeight="1" x14ac:dyDescent="0.25">
      <c r="B937" s="26" t="s">
        <v>351</v>
      </c>
      <c r="C937" s="1">
        <v>2</v>
      </c>
      <c r="D937" s="27" t="s">
        <v>3126</v>
      </c>
      <c r="E937" s="25"/>
      <c r="F937" s="25" t="str">
        <f>IF(INDEX(I.Production.P2Y3C7,2)="","",INDEX(I.Production.P2Y3C7,2))</f>
        <v/>
      </c>
      <c r="G937" s="25"/>
      <c r="H937" s="1" t="str">
        <f>IF(AND(I.Facility.ProductCount&gt;=2,I.Developer.P2C7=TRUE,I.Product.P2Status&lt;&gt;"Yes",F937=""),"Incomplete","Complete")</f>
        <v>Complete</v>
      </c>
      <c r="I937" s="48" t="s">
        <v>1750</v>
      </c>
    </row>
    <row r="938" spans="2:9" ht="15" customHeight="1" x14ac:dyDescent="0.25">
      <c r="B938" s="34" t="s">
        <v>351</v>
      </c>
      <c r="C938" s="35">
        <v>3</v>
      </c>
      <c r="D938" s="46" t="s">
        <v>3126</v>
      </c>
      <c r="E938" s="45"/>
      <c r="F938" s="45" t="str">
        <f>IF(INDEX(I.Production.P2Y3C7,3)="","",INDEX(I.Production.P2Y3C7,3))</f>
        <v/>
      </c>
      <c r="G938" s="45"/>
      <c r="H938" s="35" t="str">
        <f>IF(AND(I.Facility.ProductCount&gt;=2,I.Developer.P2C7=TRUE,I.Product.P2Status&lt;&gt;"Yes",F938=""),"Incomplete","Complete")</f>
        <v>Complete</v>
      </c>
      <c r="I938" s="49" t="s">
        <v>1751</v>
      </c>
    </row>
    <row r="939" spans="2:9" ht="15" customHeight="1" x14ac:dyDescent="0.25">
      <c r="B939" s="26" t="s">
        <v>352</v>
      </c>
      <c r="C939" s="1">
        <v>1</v>
      </c>
      <c r="D939" s="27" t="s">
        <v>3127</v>
      </c>
      <c r="E939" s="25"/>
      <c r="F939" s="25" t="str">
        <f>IF(INDEX(I.Production.P2Y1C8,1)="","",INDEX(I.Production.P2Y1C8,1))</f>
        <v/>
      </c>
      <c r="G939" s="25"/>
      <c r="H939" s="1" t="str">
        <f t="shared" ref="H939:H944" si="20">IF(AND(I.Facility.ProductCount&gt;=2,I.Developer.P2C8=TRUE,F939=""),"Incomplete","Complete")</f>
        <v>Complete</v>
      </c>
      <c r="I939" s="48" t="s">
        <v>1752</v>
      </c>
    </row>
    <row r="940" spans="2:9" ht="15" customHeight="1" x14ac:dyDescent="0.25">
      <c r="B940" s="26" t="s">
        <v>352</v>
      </c>
      <c r="C940" s="1">
        <v>2</v>
      </c>
      <c r="D940" s="27" t="s">
        <v>3127</v>
      </c>
      <c r="E940" s="25"/>
      <c r="F940" s="25" t="str">
        <f>IF(INDEX(I.Production.P2Y1C8,2)="","",INDEX(I.Production.P2Y1C8,2))</f>
        <v/>
      </c>
      <c r="G940" s="25"/>
      <c r="H940" s="1" t="str">
        <f t="shared" si="20"/>
        <v>Complete</v>
      </c>
      <c r="I940" s="48" t="s">
        <v>1753</v>
      </c>
    </row>
    <row r="941" spans="2:9" ht="15" customHeight="1" x14ac:dyDescent="0.25">
      <c r="B941" s="34" t="s">
        <v>352</v>
      </c>
      <c r="C941" s="35">
        <v>3</v>
      </c>
      <c r="D941" s="46" t="s">
        <v>3127</v>
      </c>
      <c r="E941" s="45"/>
      <c r="F941" s="45" t="str">
        <f>IF(INDEX(I.Production.P2Y1C8,3)="","",INDEX(I.Production.P2Y1C8,3))</f>
        <v/>
      </c>
      <c r="G941" s="45"/>
      <c r="H941" s="35" t="str">
        <f t="shared" si="20"/>
        <v>Complete</v>
      </c>
      <c r="I941" s="49" t="s">
        <v>1754</v>
      </c>
    </row>
    <row r="942" spans="2:9" ht="15" customHeight="1" x14ac:dyDescent="0.25">
      <c r="B942" s="26" t="s">
        <v>353</v>
      </c>
      <c r="C942" s="1">
        <v>1</v>
      </c>
      <c r="D942" s="27" t="s">
        <v>3128</v>
      </c>
      <c r="E942" s="25"/>
      <c r="F942" s="25" t="str">
        <f>IF(INDEX(I.Production.P2Y2C8,1)="","",INDEX(I.Production.P2Y2C8,1))</f>
        <v/>
      </c>
      <c r="G942" s="25"/>
      <c r="H942" s="1" t="str">
        <f t="shared" si="20"/>
        <v>Complete</v>
      </c>
      <c r="I942" s="48" t="s">
        <v>1755</v>
      </c>
    </row>
    <row r="943" spans="2:9" ht="15" customHeight="1" x14ac:dyDescent="0.25">
      <c r="B943" s="26" t="s">
        <v>353</v>
      </c>
      <c r="C943" s="1">
        <v>2</v>
      </c>
      <c r="D943" s="27" t="s">
        <v>3128</v>
      </c>
      <c r="E943" s="25"/>
      <c r="F943" s="25" t="str">
        <f>IF(INDEX(I.Production.P2Y2C8,2)="","",INDEX(I.Production.P2Y2C8,2))</f>
        <v/>
      </c>
      <c r="G943" s="25"/>
      <c r="H943" s="1" t="str">
        <f t="shared" si="20"/>
        <v>Complete</v>
      </c>
      <c r="I943" s="48" t="s">
        <v>1756</v>
      </c>
    </row>
    <row r="944" spans="2:9" ht="15" customHeight="1" x14ac:dyDescent="0.25">
      <c r="B944" s="34" t="s">
        <v>353</v>
      </c>
      <c r="C944" s="35">
        <v>3</v>
      </c>
      <c r="D944" s="46" t="s">
        <v>3128</v>
      </c>
      <c r="E944" s="45"/>
      <c r="F944" s="45" t="str">
        <f>IF(INDEX(I.Production.P2Y2C8,3)="","",INDEX(I.Production.P2Y2C8,3))</f>
        <v/>
      </c>
      <c r="G944" s="45"/>
      <c r="H944" s="35" t="str">
        <f t="shared" si="20"/>
        <v>Complete</v>
      </c>
      <c r="I944" s="49" t="s">
        <v>1757</v>
      </c>
    </row>
    <row r="945" spans="2:9" ht="15" customHeight="1" x14ac:dyDescent="0.25">
      <c r="B945" s="26" t="s">
        <v>354</v>
      </c>
      <c r="C945" s="1">
        <v>1</v>
      </c>
      <c r="D945" s="27" t="s">
        <v>3129</v>
      </c>
      <c r="E945" s="25"/>
      <c r="F945" s="25" t="str">
        <f>IF(INDEX(I.Production.P2Y3C8,1)="","",INDEX(I.Production.P2Y3C8,1))</f>
        <v/>
      </c>
      <c r="G945" s="25"/>
      <c r="H945" s="1" t="str">
        <f>IF(AND(I.Facility.ProductCount&gt;=2,I.Developer.P2C8=TRUE,I.Product.P2Status&lt;&gt;"Yes",F945=""),"Incomplete","Complete")</f>
        <v>Complete</v>
      </c>
      <c r="I945" s="48" t="s">
        <v>1758</v>
      </c>
    </row>
    <row r="946" spans="2:9" ht="15" customHeight="1" x14ac:dyDescent="0.25">
      <c r="B946" s="26" t="s">
        <v>354</v>
      </c>
      <c r="C946" s="1">
        <v>2</v>
      </c>
      <c r="D946" s="27" t="s">
        <v>3129</v>
      </c>
      <c r="E946" s="25"/>
      <c r="F946" s="25" t="str">
        <f>IF(INDEX(I.Production.P2Y3C8,2)="","",INDEX(I.Production.P2Y3C8,2))</f>
        <v/>
      </c>
      <c r="G946" s="25"/>
      <c r="H946" s="1" t="str">
        <f>IF(AND(I.Facility.ProductCount&gt;=2,I.Developer.P2C8=TRUE,I.Product.P2Status&lt;&gt;"Yes",F946=""),"Incomplete","Complete")</f>
        <v>Complete</v>
      </c>
      <c r="I946" s="48" t="s">
        <v>1759</v>
      </c>
    </row>
    <row r="947" spans="2:9" ht="15" customHeight="1" x14ac:dyDescent="0.25">
      <c r="B947" s="34" t="s">
        <v>354</v>
      </c>
      <c r="C947" s="35">
        <v>3</v>
      </c>
      <c r="D947" s="46" t="s">
        <v>3129</v>
      </c>
      <c r="E947" s="45"/>
      <c r="F947" s="45" t="str">
        <f>IF(INDEX(I.Production.P2Y3C8,3)="","",INDEX(I.Production.P2Y3C8,3))</f>
        <v/>
      </c>
      <c r="G947" s="45"/>
      <c r="H947" s="35" t="str">
        <f>IF(AND(I.Facility.ProductCount&gt;=2,I.Developer.P2C8=TRUE,I.Product.P2Status&lt;&gt;"Yes",F947=""),"Incomplete","Complete")</f>
        <v>Complete</v>
      </c>
      <c r="I947" s="49" t="s">
        <v>1760</v>
      </c>
    </row>
    <row r="948" spans="2:9" ht="15" customHeight="1" x14ac:dyDescent="0.25">
      <c r="B948" s="26" t="s">
        <v>355</v>
      </c>
      <c r="C948" s="1">
        <v>1</v>
      </c>
      <c r="D948" s="27" t="s">
        <v>3130</v>
      </c>
      <c r="E948" s="25"/>
      <c r="F948" s="25" t="str">
        <f>IF(INDEX(I.Production.P2Y1C9,1)="","",INDEX(I.Production.P2Y1C9,1))</f>
        <v/>
      </c>
      <c r="G948" s="25"/>
      <c r="H948" s="1" t="str">
        <f t="shared" ref="H948:H953" si="21">IF(AND(I.Facility.ProductCount&gt;=2,I.Developer.P2C9=TRUE,F948=""),"Incomplete","Complete")</f>
        <v>Complete</v>
      </c>
      <c r="I948" s="48" t="s">
        <v>1761</v>
      </c>
    </row>
    <row r="949" spans="2:9" ht="15" customHeight="1" x14ac:dyDescent="0.25">
      <c r="B949" s="26" t="s">
        <v>355</v>
      </c>
      <c r="C949" s="1">
        <v>2</v>
      </c>
      <c r="D949" s="27" t="s">
        <v>3130</v>
      </c>
      <c r="E949" s="25"/>
      <c r="F949" s="25" t="str">
        <f>IF(INDEX(I.Production.P2Y1C9,2)="","",INDEX(I.Production.P2Y1C9,2))</f>
        <v/>
      </c>
      <c r="G949" s="25"/>
      <c r="H949" s="1" t="str">
        <f t="shared" si="21"/>
        <v>Complete</v>
      </c>
      <c r="I949" s="48" t="s">
        <v>1762</v>
      </c>
    </row>
    <row r="950" spans="2:9" ht="15" customHeight="1" x14ac:dyDescent="0.25">
      <c r="B950" s="34" t="s">
        <v>355</v>
      </c>
      <c r="C950" s="35">
        <v>3</v>
      </c>
      <c r="D950" s="46" t="s">
        <v>3130</v>
      </c>
      <c r="E950" s="45"/>
      <c r="F950" s="45" t="str">
        <f>IF(INDEX(I.Production.P2Y1C9,3)="","",INDEX(I.Production.P2Y1C9,3))</f>
        <v/>
      </c>
      <c r="G950" s="45"/>
      <c r="H950" s="35" t="str">
        <f t="shared" si="21"/>
        <v>Complete</v>
      </c>
      <c r="I950" s="49" t="s">
        <v>1763</v>
      </c>
    </row>
    <row r="951" spans="2:9" ht="15" customHeight="1" x14ac:dyDescent="0.25">
      <c r="B951" s="26" t="s">
        <v>356</v>
      </c>
      <c r="C951" s="1">
        <v>1</v>
      </c>
      <c r="D951" s="27" t="s">
        <v>3131</v>
      </c>
      <c r="E951" s="25"/>
      <c r="F951" s="25" t="str">
        <f>IF(INDEX(I.Production.P2Y2C9,1)="","",INDEX(I.Production.P2Y2C9,1))</f>
        <v/>
      </c>
      <c r="G951" s="25"/>
      <c r="H951" s="1" t="str">
        <f t="shared" si="21"/>
        <v>Complete</v>
      </c>
      <c r="I951" s="48" t="s">
        <v>1764</v>
      </c>
    </row>
    <row r="952" spans="2:9" ht="15" customHeight="1" x14ac:dyDescent="0.25">
      <c r="B952" s="26" t="s">
        <v>356</v>
      </c>
      <c r="C952" s="1">
        <v>2</v>
      </c>
      <c r="D952" s="27" t="s">
        <v>3131</v>
      </c>
      <c r="E952" s="25"/>
      <c r="F952" s="25" t="str">
        <f>IF(INDEX(I.Production.P2Y2C9,2)="","",INDEX(I.Production.P2Y2C9,2))</f>
        <v/>
      </c>
      <c r="G952" s="25"/>
      <c r="H952" s="1" t="str">
        <f t="shared" si="21"/>
        <v>Complete</v>
      </c>
      <c r="I952" s="48" t="s">
        <v>1765</v>
      </c>
    </row>
    <row r="953" spans="2:9" ht="15" customHeight="1" x14ac:dyDescent="0.25">
      <c r="B953" s="34" t="s">
        <v>356</v>
      </c>
      <c r="C953" s="35">
        <v>3</v>
      </c>
      <c r="D953" s="46" t="s">
        <v>3131</v>
      </c>
      <c r="E953" s="45"/>
      <c r="F953" s="45" t="str">
        <f>IF(INDEX(I.Production.P2Y2C9,3)="","",INDEX(I.Production.P2Y2C9,3))</f>
        <v/>
      </c>
      <c r="G953" s="45"/>
      <c r="H953" s="35" t="str">
        <f t="shared" si="21"/>
        <v>Complete</v>
      </c>
      <c r="I953" s="49" t="s">
        <v>1766</v>
      </c>
    </row>
    <row r="954" spans="2:9" ht="15" customHeight="1" x14ac:dyDescent="0.25">
      <c r="B954" s="26" t="s">
        <v>357</v>
      </c>
      <c r="C954" s="1">
        <v>1</v>
      </c>
      <c r="D954" s="27" t="s">
        <v>3132</v>
      </c>
      <c r="E954" s="25"/>
      <c r="F954" s="25" t="str">
        <f>IF(INDEX(I.Production.P2Y3C9,1)="","",INDEX(I.Production.P2Y3C9,1))</f>
        <v/>
      </c>
      <c r="G954" s="25"/>
      <c r="H954" s="1" t="str">
        <f>IF(AND(I.Facility.ProductCount&gt;=2,I.Developer.P2C9=TRUE,I.Product.P2Status&lt;&gt;"Yes",F954=""),"Incomplete","Complete")</f>
        <v>Complete</v>
      </c>
      <c r="I954" s="48" t="s">
        <v>1767</v>
      </c>
    </row>
    <row r="955" spans="2:9" ht="15" customHeight="1" x14ac:dyDescent="0.25">
      <c r="B955" s="26" t="s">
        <v>357</v>
      </c>
      <c r="C955" s="1">
        <v>2</v>
      </c>
      <c r="D955" s="27" t="s">
        <v>3132</v>
      </c>
      <c r="E955" s="25"/>
      <c r="F955" s="25" t="str">
        <f>IF(INDEX(I.Production.P2Y3C9,2)="","",INDEX(I.Production.P2Y3C9,2))</f>
        <v/>
      </c>
      <c r="G955" s="25"/>
      <c r="H955" s="1" t="str">
        <f>IF(AND(I.Facility.ProductCount&gt;=2,I.Developer.P2C9=TRUE,I.Product.P2Status&lt;&gt;"Yes",F955=""),"Incomplete","Complete")</f>
        <v>Complete</v>
      </c>
      <c r="I955" s="48" t="s">
        <v>1768</v>
      </c>
    </row>
    <row r="956" spans="2:9" ht="15" customHeight="1" x14ac:dyDescent="0.25">
      <c r="B956" s="34" t="s">
        <v>357</v>
      </c>
      <c r="C956" s="35">
        <v>3</v>
      </c>
      <c r="D956" s="46" t="s">
        <v>3132</v>
      </c>
      <c r="E956" s="45"/>
      <c r="F956" s="45" t="str">
        <f>IF(INDEX(I.Production.P2Y3C9,3)="","",INDEX(I.Production.P2Y3C9,3))</f>
        <v/>
      </c>
      <c r="G956" s="45"/>
      <c r="H956" s="35" t="str">
        <f>IF(AND(I.Facility.ProductCount&gt;=2,I.Developer.P2C9=TRUE,I.Product.P2Status&lt;&gt;"Yes",F956=""),"Incomplete","Complete")</f>
        <v>Complete</v>
      </c>
      <c r="I956" s="49" t="s">
        <v>1769</v>
      </c>
    </row>
    <row r="957" spans="2:9" ht="15" customHeight="1" x14ac:dyDescent="0.25">
      <c r="B957" s="26" t="s">
        <v>358</v>
      </c>
      <c r="C957" s="1">
        <v>1</v>
      </c>
      <c r="D957" s="27" t="s">
        <v>3133</v>
      </c>
      <c r="E957" s="25"/>
      <c r="F957" s="25" t="str">
        <f>IF(INDEX(I.Production.P3Y1Quantity,1)="","",INDEX(I.Production.P3Y1Quantity,1))</f>
        <v/>
      </c>
      <c r="G957" s="25"/>
      <c r="H957" s="1" t="str">
        <f>IF(AND(I.Facility.ProductCount&gt;=3,I.Production.P3Y1Quantity=""),"Incomplete","Complete")</f>
        <v>Complete</v>
      </c>
      <c r="I957" s="48" t="s">
        <v>3013</v>
      </c>
    </row>
    <row r="958" spans="2:9" ht="15" customHeight="1" x14ac:dyDescent="0.25">
      <c r="B958" s="26" t="s">
        <v>359</v>
      </c>
      <c r="C958" s="1">
        <v>1</v>
      </c>
      <c r="D958" s="27" t="s">
        <v>3134</v>
      </c>
      <c r="E958" s="25"/>
      <c r="F958" s="25" t="str">
        <f>IF(INDEX(I.Production.P3Y2Quantity,1)="","",INDEX(I.Production.P3Y2Quantity,1))</f>
        <v/>
      </c>
      <c r="G958" s="25"/>
      <c r="H958" s="1" t="str">
        <f>IF(AND(I.Facility.ProductCount&gt;=3,I.Production.P3Y2Quantity=""),"Incomplete","Complete")</f>
        <v>Complete</v>
      </c>
      <c r="I958" s="48" t="s">
        <v>3014</v>
      </c>
    </row>
    <row r="959" spans="2:9" ht="15" customHeight="1" x14ac:dyDescent="0.25">
      <c r="B959" s="34" t="s">
        <v>360</v>
      </c>
      <c r="C959" s="35">
        <v>1</v>
      </c>
      <c r="D959" s="46" t="s">
        <v>3135</v>
      </c>
      <c r="E959" s="45"/>
      <c r="F959" s="45" t="str">
        <f>IF(INDEX(I.Production.P3Y3Quantity,1)="","",INDEX(I.Production.P3Y3Quantity,1))</f>
        <v/>
      </c>
      <c r="G959" s="45"/>
      <c r="H959" s="35" t="str">
        <f>IF(AND(I.Facility.ProductCount&gt;=3,I.Product.P3Status&lt;&gt;"Yes",I.Production.P3Y3Quantity=""),"Incomplete","Complete")</f>
        <v>Complete</v>
      </c>
      <c r="I959" s="49" t="s">
        <v>3015</v>
      </c>
    </row>
    <row r="960" spans="2:9" ht="15" customHeight="1" x14ac:dyDescent="0.25">
      <c r="B960" s="34" t="s">
        <v>361</v>
      </c>
      <c r="C960" s="35">
        <v>1</v>
      </c>
      <c r="D960" s="46" t="s">
        <v>3060</v>
      </c>
      <c r="E960" s="46"/>
      <c r="F960" s="35" t="str">
        <f>IF(INDEX(I.Production.P3Units,1)="","",INDEX(I.Production.P3Units,1))</f>
        <v/>
      </c>
      <c r="G960" s="46"/>
      <c r="H960" s="35" t="str">
        <f>IF(AND(I.Facility.ProductCount&gt;=3,I.Production.P3Units=""),"Incomplete","Complete")</f>
        <v>Complete</v>
      </c>
      <c r="I960" s="49" t="s">
        <v>1770</v>
      </c>
    </row>
    <row r="961" spans="2:9" ht="15" customHeight="1" x14ac:dyDescent="0.25">
      <c r="B961" s="26" t="s">
        <v>362</v>
      </c>
      <c r="C961" s="1">
        <v>1</v>
      </c>
      <c r="D961" s="27" t="s">
        <v>3136</v>
      </c>
      <c r="E961" s="25"/>
      <c r="F961" s="25" t="str">
        <f>IF(INDEX(I.Production.P3Y1C1,1)="","",INDEX(I.Production.P3Y1C1,1))</f>
        <v/>
      </c>
      <c r="G961" s="25"/>
      <c r="H961" s="1" t="str">
        <f t="shared" ref="H961:H966" si="22">IF(AND(I.Facility.ProductCount&gt;=3,I.Developer.P3C1=TRUE,F961=""),"Incomplete","Complete")</f>
        <v>Complete</v>
      </c>
      <c r="I961" s="48" t="s">
        <v>1771</v>
      </c>
    </row>
    <row r="962" spans="2:9" ht="15" customHeight="1" x14ac:dyDescent="0.25">
      <c r="B962" s="26" t="s">
        <v>362</v>
      </c>
      <c r="C962" s="1">
        <v>2</v>
      </c>
      <c r="D962" s="27" t="s">
        <v>3136</v>
      </c>
      <c r="E962" s="25"/>
      <c r="F962" s="25" t="str">
        <f>IF(INDEX(I.Production.P3Y1C1,2)="","",INDEX(I.Production.P3Y1C1,2))</f>
        <v/>
      </c>
      <c r="G962" s="25"/>
      <c r="H962" s="1" t="str">
        <f t="shared" si="22"/>
        <v>Complete</v>
      </c>
      <c r="I962" s="48" t="s">
        <v>1772</v>
      </c>
    </row>
    <row r="963" spans="2:9" ht="15" customHeight="1" x14ac:dyDescent="0.25">
      <c r="B963" s="34" t="s">
        <v>362</v>
      </c>
      <c r="C963" s="35">
        <v>3</v>
      </c>
      <c r="D963" s="46" t="s">
        <v>3136</v>
      </c>
      <c r="E963" s="45"/>
      <c r="F963" s="45" t="str">
        <f>IF(INDEX(I.Production.P3Y1C1,3)="","",INDEX(I.Production.P3Y1C1,3))</f>
        <v/>
      </c>
      <c r="G963" s="45"/>
      <c r="H963" s="35" t="str">
        <f t="shared" si="22"/>
        <v>Complete</v>
      </c>
      <c r="I963" s="49" t="s">
        <v>1773</v>
      </c>
    </row>
    <row r="964" spans="2:9" ht="15" customHeight="1" x14ac:dyDescent="0.25">
      <c r="B964" s="26" t="s">
        <v>363</v>
      </c>
      <c r="C964" s="1">
        <v>1</v>
      </c>
      <c r="D964" s="27" t="s">
        <v>3137</v>
      </c>
      <c r="E964" s="25"/>
      <c r="F964" s="25" t="str">
        <f>IF(INDEX(I.Production.P3Y2C1,1)="","",INDEX(I.Production.P3Y2C1,1))</f>
        <v/>
      </c>
      <c r="G964" s="25"/>
      <c r="H964" s="1" t="str">
        <f t="shared" si="22"/>
        <v>Complete</v>
      </c>
      <c r="I964" s="48" t="s">
        <v>1774</v>
      </c>
    </row>
    <row r="965" spans="2:9" ht="15" customHeight="1" x14ac:dyDescent="0.25">
      <c r="B965" s="26" t="s">
        <v>363</v>
      </c>
      <c r="C965" s="1">
        <v>2</v>
      </c>
      <c r="D965" s="27" t="s">
        <v>3137</v>
      </c>
      <c r="E965" s="25"/>
      <c r="F965" s="25" t="str">
        <f>IF(INDEX(I.Production.P3Y2C1,2)="","",INDEX(I.Production.P3Y2C1,2))</f>
        <v/>
      </c>
      <c r="G965" s="25"/>
      <c r="H965" s="1" t="str">
        <f t="shared" si="22"/>
        <v>Complete</v>
      </c>
      <c r="I965" s="48" t="s">
        <v>1775</v>
      </c>
    </row>
    <row r="966" spans="2:9" ht="15" customHeight="1" x14ac:dyDescent="0.25">
      <c r="B966" s="34" t="s">
        <v>363</v>
      </c>
      <c r="C966" s="35">
        <v>3</v>
      </c>
      <c r="D966" s="46" t="s">
        <v>3137</v>
      </c>
      <c r="E966" s="45"/>
      <c r="F966" s="45" t="str">
        <f>IF(INDEX(I.Production.P3Y2C1,3)="","",INDEX(I.Production.P3Y2C1,3))</f>
        <v/>
      </c>
      <c r="G966" s="45"/>
      <c r="H966" s="35" t="str">
        <f t="shared" si="22"/>
        <v>Complete</v>
      </c>
      <c r="I966" s="49" t="s">
        <v>1776</v>
      </c>
    </row>
    <row r="967" spans="2:9" ht="15" customHeight="1" x14ac:dyDescent="0.25">
      <c r="B967" s="26" t="s">
        <v>364</v>
      </c>
      <c r="C967" s="1">
        <v>1</v>
      </c>
      <c r="D967" s="27" t="s">
        <v>3138</v>
      </c>
      <c r="E967" s="25"/>
      <c r="F967" s="25" t="str">
        <f>IF(INDEX(I.Production.P3Y3C1,1)="","",INDEX(I.Production.P3Y3C1,1))</f>
        <v/>
      </c>
      <c r="G967" s="25"/>
      <c r="H967" s="1" t="str">
        <f>IF(AND(I.Facility.ProductCount&gt;=3,I.Developer.P3C1=TRUE,I.Product.P3Status&lt;&gt;"Yes",F967=""),"Incomplete","Complete")</f>
        <v>Complete</v>
      </c>
      <c r="I967" s="48" t="s">
        <v>1777</v>
      </c>
    </row>
    <row r="968" spans="2:9" ht="15" customHeight="1" x14ac:dyDescent="0.25">
      <c r="B968" s="26" t="s">
        <v>364</v>
      </c>
      <c r="C968" s="1">
        <v>2</v>
      </c>
      <c r="D968" s="27" t="s">
        <v>3138</v>
      </c>
      <c r="E968" s="25"/>
      <c r="F968" s="25" t="str">
        <f>IF(INDEX(I.Production.P3Y3C1,2)="","",INDEX(I.Production.P3Y3C1,2))</f>
        <v/>
      </c>
      <c r="G968" s="25"/>
      <c r="H968" s="1" t="str">
        <f>IF(AND(I.Facility.ProductCount&gt;=3,I.Developer.P3C1=TRUE,I.Product.P3Status&lt;&gt;"Yes",F968=""),"Incomplete","Complete")</f>
        <v>Complete</v>
      </c>
      <c r="I968" s="48" t="s">
        <v>1778</v>
      </c>
    </row>
    <row r="969" spans="2:9" ht="15" customHeight="1" x14ac:dyDescent="0.25">
      <c r="B969" s="34" t="s">
        <v>364</v>
      </c>
      <c r="C969" s="35">
        <v>3</v>
      </c>
      <c r="D969" s="46" t="s">
        <v>3138</v>
      </c>
      <c r="E969" s="45"/>
      <c r="F969" s="45" t="str">
        <f>IF(INDEX(I.Production.P3Y3C1,3)="","",INDEX(I.Production.P3Y3C1,3))</f>
        <v/>
      </c>
      <c r="G969" s="45"/>
      <c r="H969" s="35" t="str">
        <f>IF(AND(I.Facility.ProductCount&gt;=3,I.Developer.P3C1=TRUE,I.Product.P3Status&lt;&gt;"Yes",F969=""),"Incomplete","Complete")</f>
        <v>Complete</v>
      </c>
      <c r="I969" s="49" t="s">
        <v>1779</v>
      </c>
    </row>
    <row r="970" spans="2:9" ht="15" customHeight="1" x14ac:dyDescent="0.25">
      <c r="B970" s="26" t="s">
        <v>365</v>
      </c>
      <c r="C970" s="1">
        <v>1</v>
      </c>
      <c r="D970" s="27" t="s">
        <v>3139</v>
      </c>
      <c r="E970" s="25"/>
      <c r="F970" s="25" t="str">
        <f>IF(INDEX(I.Production.P3Y1C2,1)="","",INDEX(I.Production.P3Y1C2,1))</f>
        <v/>
      </c>
      <c r="G970" s="25"/>
      <c r="H970" s="1" t="str">
        <f t="shared" ref="H970:H1017" si="23">IF(AND(I.Facility.ProductCount&gt;=3,I.Developer.P3C2=TRUE,F970=""),"Incomplete","Complete")</f>
        <v>Complete</v>
      </c>
      <c r="I970" s="48" t="s">
        <v>1780</v>
      </c>
    </row>
    <row r="971" spans="2:9" ht="15" customHeight="1" x14ac:dyDescent="0.25">
      <c r="B971" s="26" t="s">
        <v>365</v>
      </c>
      <c r="C971" s="1">
        <v>2</v>
      </c>
      <c r="D971" s="27" t="s">
        <v>3139</v>
      </c>
      <c r="E971" s="25"/>
      <c r="F971" s="25" t="str">
        <f>IF(INDEX(I.Production.P3Y1C2,2)="","",INDEX(I.Production.P3Y1C2,2))</f>
        <v/>
      </c>
      <c r="G971" s="25"/>
      <c r="H971" s="1" t="str">
        <f t="shared" si="23"/>
        <v>Complete</v>
      </c>
      <c r="I971" s="48" t="s">
        <v>1781</v>
      </c>
    </row>
    <row r="972" spans="2:9" ht="15" customHeight="1" x14ac:dyDescent="0.25">
      <c r="B972" s="26" t="s">
        <v>365</v>
      </c>
      <c r="C972" s="1">
        <v>3</v>
      </c>
      <c r="D972" s="27" t="s">
        <v>3139</v>
      </c>
      <c r="E972" s="25"/>
      <c r="F972" s="25" t="str">
        <f>IF(INDEX(I.Production.P3Y1C2,3)="","",INDEX(I.Production.P3Y1C2,3))</f>
        <v/>
      </c>
      <c r="G972" s="25"/>
      <c r="H972" s="1" t="str">
        <f t="shared" si="23"/>
        <v>Complete</v>
      </c>
      <c r="I972" s="48" t="s">
        <v>1782</v>
      </c>
    </row>
    <row r="973" spans="2:9" ht="15" customHeight="1" x14ac:dyDescent="0.25">
      <c r="B973" s="26" t="s">
        <v>365</v>
      </c>
      <c r="C973" s="1">
        <v>4</v>
      </c>
      <c r="D973" s="27" t="s">
        <v>3139</v>
      </c>
      <c r="E973" s="25"/>
      <c r="F973" s="25" t="str">
        <f>IF(INDEX(I.Production.P3Y1C2,4)="","",INDEX(I.Production.P3Y1C2,4))</f>
        <v/>
      </c>
      <c r="G973" s="25"/>
      <c r="H973" s="1" t="str">
        <f t="shared" si="23"/>
        <v>Complete</v>
      </c>
      <c r="I973" s="48" t="s">
        <v>1783</v>
      </c>
    </row>
    <row r="974" spans="2:9" ht="15" customHeight="1" x14ac:dyDescent="0.25">
      <c r="B974" s="26" t="s">
        <v>365</v>
      </c>
      <c r="C974" s="1">
        <v>5</v>
      </c>
      <c r="D974" s="27" t="s">
        <v>3139</v>
      </c>
      <c r="E974" s="25"/>
      <c r="F974" s="25" t="str">
        <f>IF(INDEX(I.Production.P3Y1C2,5)="","",INDEX(I.Production.P3Y1C2,5))</f>
        <v/>
      </c>
      <c r="G974" s="25"/>
      <c r="H974" s="1" t="str">
        <f t="shared" si="23"/>
        <v>Complete</v>
      </c>
      <c r="I974" s="48" t="s">
        <v>1784</v>
      </c>
    </row>
    <row r="975" spans="2:9" ht="15" customHeight="1" x14ac:dyDescent="0.25">
      <c r="B975" s="26" t="s">
        <v>365</v>
      </c>
      <c r="C975" s="1">
        <v>6</v>
      </c>
      <c r="D975" s="27" t="s">
        <v>3139</v>
      </c>
      <c r="E975" s="25"/>
      <c r="F975" s="25" t="str">
        <f>IF(INDEX(I.Production.P3Y1C2,6)="","",INDEX(I.Production.P3Y1C2,6))</f>
        <v/>
      </c>
      <c r="G975" s="25"/>
      <c r="H975" s="1" t="str">
        <f t="shared" si="23"/>
        <v>Complete</v>
      </c>
      <c r="I975" s="48" t="s">
        <v>1785</v>
      </c>
    </row>
    <row r="976" spans="2:9" ht="15" customHeight="1" x14ac:dyDescent="0.25">
      <c r="B976" s="26" t="s">
        <v>365</v>
      </c>
      <c r="C976" s="1">
        <v>7</v>
      </c>
      <c r="D976" s="27" t="s">
        <v>3139</v>
      </c>
      <c r="E976" s="25"/>
      <c r="F976" s="25" t="str">
        <f>IF(INDEX(I.Production.P3Y1C2,7)="","",INDEX(I.Production.P3Y1C2,7))</f>
        <v/>
      </c>
      <c r="G976" s="25"/>
      <c r="H976" s="1" t="str">
        <f t="shared" si="23"/>
        <v>Complete</v>
      </c>
      <c r="I976" s="48" t="s">
        <v>1786</v>
      </c>
    </row>
    <row r="977" spans="2:9" ht="15" customHeight="1" x14ac:dyDescent="0.25">
      <c r="B977" s="26" t="s">
        <v>365</v>
      </c>
      <c r="C977" s="1">
        <v>8</v>
      </c>
      <c r="D977" s="27" t="s">
        <v>3139</v>
      </c>
      <c r="E977" s="25"/>
      <c r="F977" s="25" t="str">
        <f>IF(INDEX(I.Production.P3Y1C2,8)="","",INDEX(I.Production.P3Y1C2,8))</f>
        <v/>
      </c>
      <c r="G977" s="25"/>
      <c r="H977" s="1" t="str">
        <f t="shared" si="23"/>
        <v>Complete</v>
      </c>
      <c r="I977" s="48" t="s">
        <v>1787</v>
      </c>
    </row>
    <row r="978" spans="2:9" ht="15" customHeight="1" x14ac:dyDescent="0.25">
      <c r="B978" s="26" t="s">
        <v>365</v>
      </c>
      <c r="C978" s="1">
        <v>9</v>
      </c>
      <c r="D978" s="27" t="s">
        <v>3139</v>
      </c>
      <c r="E978" s="25"/>
      <c r="F978" s="25" t="str">
        <f>IF(INDEX(I.Production.P3Y1C2,9)="","",INDEX(I.Production.P3Y1C2,9))</f>
        <v/>
      </c>
      <c r="G978" s="25"/>
      <c r="H978" s="1" t="str">
        <f t="shared" si="23"/>
        <v>Complete</v>
      </c>
      <c r="I978" s="48" t="s">
        <v>1788</v>
      </c>
    </row>
    <row r="979" spans="2:9" ht="15" customHeight="1" x14ac:dyDescent="0.25">
      <c r="B979" s="26" t="s">
        <v>365</v>
      </c>
      <c r="C979" s="1">
        <v>10</v>
      </c>
      <c r="D979" s="27" t="s">
        <v>3139</v>
      </c>
      <c r="E979" s="25"/>
      <c r="F979" s="25" t="str">
        <f>IF(INDEX(I.Production.P3Y1C2,10)="","",INDEX(I.Production.P3Y1C2,10))</f>
        <v/>
      </c>
      <c r="G979" s="25"/>
      <c r="H979" s="1" t="str">
        <f t="shared" si="23"/>
        <v>Complete</v>
      </c>
      <c r="I979" s="48" t="s">
        <v>1789</v>
      </c>
    </row>
    <row r="980" spans="2:9" ht="15" customHeight="1" x14ac:dyDescent="0.25">
      <c r="B980" s="26" t="s">
        <v>365</v>
      </c>
      <c r="C980" s="1">
        <v>11</v>
      </c>
      <c r="D980" s="27" t="s">
        <v>3139</v>
      </c>
      <c r="E980" s="25"/>
      <c r="F980" s="25" t="str">
        <f>IF(INDEX(I.Production.P3Y1C2,11)="","",INDEX(I.Production.P3Y1C2,11))</f>
        <v/>
      </c>
      <c r="G980" s="25"/>
      <c r="H980" s="1" t="str">
        <f t="shared" si="23"/>
        <v>Complete</v>
      </c>
      <c r="I980" s="48" t="s">
        <v>1790</v>
      </c>
    </row>
    <row r="981" spans="2:9" ht="15" customHeight="1" x14ac:dyDescent="0.25">
      <c r="B981" s="26" t="s">
        <v>365</v>
      </c>
      <c r="C981" s="1">
        <v>12</v>
      </c>
      <c r="D981" s="27" t="s">
        <v>3139</v>
      </c>
      <c r="E981" s="25"/>
      <c r="F981" s="25" t="str">
        <f>IF(INDEX(I.Production.P3Y1C2,12)="","",INDEX(I.Production.P3Y1C2,12))</f>
        <v/>
      </c>
      <c r="G981" s="25"/>
      <c r="H981" s="1" t="str">
        <f t="shared" si="23"/>
        <v>Complete</v>
      </c>
      <c r="I981" s="48" t="s">
        <v>1791</v>
      </c>
    </row>
    <row r="982" spans="2:9" ht="15" customHeight="1" x14ac:dyDescent="0.25">
      <c r="B982" s="26" t="s">
        <v>365</v>
      </c>
      <c r="C982" s="1">
        <v>13</v>
      </c>
      <c r="D982" s="27" t="s">
        <v>3139</v>
      </c>
      <c r="E982" s="25"/>
      <c r="F982" s="25" t="str">
        <f>IF(INDEX(I.Production.P3Y1C2,13)="","",INDEX(I.Production.P3Y1C2,13))</f>
        <v/>
      </c>
      <c r="G982" s="25"/>
      <c r="H982" s="1" t="str">
        <f t="shared" si="23"/>
        <v>Complete</v>
      </c>
      <c r="I982" s="48" t="s">
        <v>1792</v>
      </c>
    </row>
    <row r="983" spans="2:9" ht="15" customHeight="1" x14ac:dyDescent="0.25">
      <c r="B983" s="26" t="s">
        <v>365</v>
      </c>
      <c r="C983" s="1">
        <v>14</v>
      </c>
      <c r="D983" s="27" t="s">
        <v>3139</v>
      </c>
      <c r="E983" s="25"/>
      <c r="F983" s="25" t="str">
        <f>IF(INDEX(I.Production.P3Y1C2,14)="","",INDEX(I.Production.P3Y1C2,14))</f>
        <v/>
      </c>
      <c r="G983" s="25"/>
      <c r="H983" s="1" t="str">
        <f t="shared" si="23"/>
        <v>Complete</v>
      </c>
      <c r="I983" s="48" t="s">
        <v>1793</v>
      </c>
    </row>
    <row r="984" spans="2:9" ht="15" customHeight="1" x14ac:dyDescent="0.25">
      <c r="B984" s="26" t="s">
        <v>365</v>
      </c>
      <c r="C984" s="1">
        <v>15</v>
      </c>
      <c r="D984" s="27" t="s">
        <v>3139</v>
      </c>
      <c r="E984" s="25"/>
      <c r="F984" s="25" t="str">
        <f>IF(INDEX(I.Production.P3Y1C2,15)="","",INDEX(I.Production.P3Y1C2,15))</f>
        <v/>
      </c>
      <c r="G984" s="25"/>
      <c r="H984" s="1" t="str">
        <f t="shared" si="23"/>
        <v>Complete</v>
      </c>
      <c r="I984" s="48" t="s">
        <v>1794</v>
      </c>
    </row>
    <row r="985" spans="2:9" ht="15" customHeight="1" x14ac:dyDescent="0.25">
      <c r="B985" s="26" t="s">
        <v>365</v>
      </c>
      <c r="C985" s="1">
        <v>16</v>
      </c>
      <c r="D985" s="27" t="s">
        <v>3139</v>
      </c>
      <c r="E985" s="25"/>
      <c r="F985" s="25" t="str">
        <f>IF(INDEX(I.Production.P3Y1C2,16)="","",INDEX(I.Production.P3Y1C2,16))</f>
        <v/>
      </c>
      <c r="G985" s="25"/>
      <c r="H985" s="1" t="str">
        <f t="shared" si="23"/>
        <v>Complete</v>
      </c>
      <c r="I985" s="48" t="s">
        <v>1795</v>
      </c>
    </row>
    <row r="986" spans="2:9" ht="15" customHeight="1" x14ac:dyDescent="0.25">
      <c r="B986" s="26" t="s">
        <v>365</v>
      </c>
      <c r="C986" s="1">
        <v>17</v>
      </c>
      <c r="D986" s="27" t="s">
        <v>3139</v>
      </c>
      <c r="E986" s="25"/>
      <c r="F986" s="25" t="str">
        <f>IF(INDEX(I.Production.P3Y1C2,17)="","",INDEX(I.Production.P3Y1C2,17))</f>
        <v/>
      </c>
      <c r="G986" s="25"/>
      <c r="H986" s="1" t="str">
        <f t="shared" si="23"/>
        <v>Complete</v>
      </c>
      <c r="I986" s="48" t="s">
        <v>1796</v>
      </c>
    </row>
    <row r="987" spans="2:9" ht="15" customHeight="1" x14ac:dyDescent="0.25">
      <c r="B987" s="26" t="s">
        <v>365</v>
      </c>
      <c r="C987" s="1">
        <v>18</v>
      </c>
      <c r="D987" s="27" t="s">
        <v>3139</v>
      </c>
      <c r="E987" s="25"/>
      <c r="F987" s="25" t="str">
        <f>IF(INDEX(I.Production.P3Y1C2,18)="","",INDEX(I.Production.P3Y1C2,18))</f>
        <v/>
      </c>
      <c r="G987" s="25"/>
      <c r="H987" s="1" t="str">
        <f t="shared" si="23"/>
        <v>Complete</v>
      </c>
      <c r="I987" s="48" t="s">
        <v>1797</v>
      </c>
    </row>
    <row r="988" spans="2:9" ht="15" customHeight="1" x14ac:dyDescent="0.25">
      <c r="B988" s="26" t="s">
        <v>365</v>
      </c>
      <c r="C988" s="1">
        <v>19</v>
      </c>
      <c r="D988" s="27" t="s">
        <v>3139</v>
      </c>
      <c r="E988" s="25"/>
      <c r="F988" s="25" t="str">
        <f>IF(INDEX(I.Production.P3Y1C2,19)="","",INDEX(I.Production.P3Y1C2,19))</f>
        <v/>
      </c>
      <c r="G988" s="25"/>
      <c r="H988" s="1" t="str">
        <f t="shared" si="23"/>
        <v>Complete</v>
      </c>
      <c r="I988" s="48" t="s">
        <v>1798</v>
      </c>
    </row>
    <row r="989" spans="2:9" ht="15" customHeight="1" x14ac:dyDescent="0.25">
      <c r="B989" s="26" t="s">
        <v>365</v>
      </c>
      <c r="C989" s="1">
        <v>20</v>
      </c>
      <c r="D989" s="27" t="s">
        <v>3139</v>
      </c>
      <c r="E989" s="25"/>
      <c r="F989" s="25" t="str">
        <f>IF(INDEX(I.Production.P3Y1C2,20)="","",INDEX(I.Production.P3Y1C2,20))</f>
        <v/>
      </c>
      <c r="G989" s="25"/>
      <c r="H989" s="1" t="str">
        <f t="shared" si="23"/>
        <v>Complete</v>
      </c>
      <c r="I989" s="48" t="s">
        <v>1799</v>
      </c>
    </row>
    <row r="990" spans="2:9" ht="15" customHeight="1" x14ac:dyDescent="0.25">
      <c r="B990" s="26" t="s">
        <v>365</v>
      </c>
      <c r="C990" s="1">
        <v>21</v>
      </c>
      <c r="D990" s="27" t="s">
        <v>3139</v>
      </c>
      <c r="E990" s="25"/>
      <c r="F990" s="25" t="str">
        <f>IF(INDEX(I.Production.P3Y1C2,21)="","",INDEX(I.Production.P3Y1C2,21))</f>
        <v/>
      </c>
      <c r="G990" s="25"/>
      <c r="H990" s="1" t="str">
        <f t="shared" si="23"/>
        <v>Complete</v>
      </c>
      <c r="I990" s="48" t="s">
        <v>1800</v>
      </c>
    </row>
    <row r="991" spans="2:9" ht="15" customHeight="1" x14ac:dyDescent="0.25">
      <c r="B991" s="26" t="s">
        <v>365</v>
      </c>
      <c r="C991" s="1">
        <v>22</v>
      </c>
      <c r="D991" s="27" t="s">
        <v>3139</v>
      </c>
      <c r="E991" s="25"/>
      <c r="F991" s="25" t="str">
        <f>IF(INDEX(I.Production.P3Y1C2,22)="","",INDEX(I.Production.P3Y1C2,22))</f>
        <v/>
      </c>
      <c r="G991" s="25"/>
      <c r="H991" s="1" t="str">
        <f t="shared" si="23"/>
        <v>Complete</v>
      </c>
      <c r="I991" s="48" t="s">
        <v>1801</v>
      </c>
    </row>
    <row r="992" spans="2:9" ht="15" customHeight="1" x14ac:dyDescent="0.25">
      <c r="B992" s="26" t="s">
        <v>365</v>
      </c>
      <c r="C992" s="1">
        <v>23</v>
      </c>
      <c r="D992" s="27" t="s">
        <v>3139</v>
      </c>
      <c r="E992" s="25"/>
      <c r="F992" s="25" t="str">
        <f>IF(INDEX(I.Production.P3Y1C2,23)="","",INDEX(I.Production.P3Y1C2,23))</f>
        <v/>
      </c>
      <c r="G992" s="25"/>
      <c r="H992" s="1" t="str">
        <f t="shared" si="23"/>
        <v>Complete</v>
      </c>
      <c r="I992" s="48" t="s">
        <v>1802</v>
      </c>
    </row>
    <row r="993" spans="2:9" ht="15" customHeight="1" x14ac:dyDescent="0.25">
      <c r="B993" s="34" t="s">
        <v>365</v>
      </c>
      <c r="C993" s="35">
        <v>24</v>
      </c>
      <c r="D993" s="46" t="s">
        <v>3139</v>
      </c>
      <c r="E993" s="45"/>
      <c r="F993" s="45" t="str">
        <f>IF(INDEX(I.Production.P3Y1C2,24)="","",INDEX(I.Production.P3Y1C2,24))</f>
        <v/>
      </c>
      <c r="G993" s="45"/>
      <c r="H993" s="35" t="str">
        <f t="shared" si="23"/>
        <v>Complete</v>
      </c>
      <c r="I993" s="49" t="s">
        <v>1803</v>
      </c>
    </row>
    <row r="994" spans="2:9" ht="15" customHeight="1" x14ac:dyDescent="0.25">
      <c r="B994" s="26" t="s">
        <v>366</v>
      </c>
      <c r="C994" s="1">
        <v>1</v>
      </c>
      <c r="D994" s="27" t="s">
        <v>3140</v>
      </c>
      <c r="E994" s="25"/>
      <c r="F994" s="25" t="str">
        <f>IF(INDEX(I.Production.P3Y2C2,1)="","",INDEX(I.Production.P3Y2C2,1))</f>
        <v/>
      </c>
      <c r="G994" s="25"/>
      <c r="H994" s="1" t="str">
        <f t="shared" si="23"/>
        <v>Complete</v>
      </c>
      <c r="I994" s="48" t="s">
        <v>1804</v>
      </c>
    </row>
    <row r="995" spans="2:9" ht="15" customHeight="1" x14ac:dyDescent="0.25">
      <c r="B995" s="26" t="s">
        <v>366</v>
      </c>
      <c r="C995" s="1">
        <v>2</v>
      </c>
      <c r="D995" s="27" t="s">
        <v>3140</v>
      </c>
      <c r="E995" s="25"/>
      <c r="F995" s="25" t="str">
        <f>IF(INDEX(I.Production.P3Y2C2,2)="","",INDEX(I.Production.P3Y2C2,2))</f>
        <v/>
      </c>
      <c r="G995" s="25"/>
      <c r="H995" s="1" t="str">
        <f t="shared" si="23"/>
        <v>Complete</v>
      </c>
      <c r="I995" s="48" t="s">
        <v>1805</v>
      </c>
    </row>
    <row r="996" spans="2:9" ht="15" customHeight="1" x14ac:dyDescent="0.25">
      <c r="B996" s="26" t="s">
        <v>366</v>
      </c>
      <c r="C996" s="1">
        <v>3</v>
      </c>
      <c r="D996" s="27" t="s">
        <v>3140</v>
      </c>
      <c r="E996" s="25"/>
      <c r="F996" s="25" t="str">
        <f>IF(INDEX(I.Production.P3Y2C2,3)="","",INDEX(I.Production.P3Y2C2,3))</f>
        <v/>
      </c>
      <c r="G996" s="25"/>
      <c r="H996" s="1" t="str">
        <f t="shared" si="23"/>
        <v>Complete</v>
      </c>
      <c r="I996" s="48" t="s">
        <v>1806</v>
      </c>
    </row>
    <row r="997" spans="2:9" ht="15" customHeight="1" x14ac:dyDescent="0.25">
      <c r="B997" s="26" t="s">
        <v>366</v>
      </c>
      <c r="C997" s="1">
        <v>4</v>
      </c>
      <c r="D997" s="27" t="s">
        <v>3140</v>
      </c>
      <c r="E997" s="25"/>
      <c r="F997" s="25" t="str">
        <f>IF(INDEX(I.Production.P3Y2C2,4)="","",INDEX(I.Production.P3Y2C2,4))</f>
        <v/>
      </c>
      <c r="G997" s="25"/>
      <c r="H997" s="1" t="str">
        <f t="shared" si="23"/>
        <v>Complete</v>
      </c>
      <c r="I997" s="48" t="s">
        <v>1807</v>
      </c>
    </row>
    <row r="998" spans="2:9" ht="15" customHeight="1" x14ac:dyDescent="0.25">
      <c r="B998" s="26" t="s">
        <v>366</v>
      </c>
      <c r="C998" s="1">
        <v>5</v>
      </c>
      <c r="D998" s="27" t="s">
        <v>3140</v>
      </c>
      <c r="E998" s="25"/>
      <c r="F998" s="25" t="str">
        <f>IF(INDEX(I.Production.P3Y2C2,5)="","",INDEX(I.Production.P3Y2C2,5))</f>
        <v/>
      </c>
      <c r="G998" s="25"/>
      <c r="H998" s="1" t="str">
        <f t="shared" si="23"/>
        <v>Complete</v>
      </c>
      <c r="I998" s="48" t="s">
        <v>1808</v>
      </c>
    </row>
    <row r="999" spans="2:9" ht="15" customHeight="1" x14ac:dyDescent="0.25">
      <c r="B999" s="26" t="s">
        <v>366</v>
      </c>
      <c r="C999" s="1">
        <v>6</v>
      </c>
      <c r="D999" s="27" t="s">
        <v>3140</v>
      </c>
      <c r="E999" s="25"/>
      <c r="F999" s="25" t="str">
        <f>IF(INDEX(I.Production.P3Y2C2,6)="","",INDEX(I.Production.P3Y2C2,6))</f>
        <v/>
      </c>
      <c r="G999" s="25"/>
      <c r="H999" s="1" t="str">
        <f t="shared" si="23"/>
        <v>Complete</v>
      </c>
      <c r="I999" s="48" t="s">
        <v>1809</v>
      </c>
    </row>
    <row r="1000" spans="2:9" ht="15" customHeight="1" x14ac:dyDescent="0.25">
      <c r="B1000" s="26" t="s">
        <v>366</v>
      </c>
      <c r="C1000" s="1">
        <v>7</v>
      </c>
      <c r="D1000" s="27" t="s">
        <v>3140</v>
      </c>
      <c r="E1000" s="25"/>
      <c r="F1000" s="25" t="str">
        <f>IF(INDEX(I.Production.P3Y2C2,7)="","",INDEX(I.Production.P3Y2C2,7))</f>
        <v/>
      </c>
      <c r="G1000" s="25"/>
      <c r="H1000" s="1" t="str">
        <f t="shared" si="23"/>
        <v>Complete</v>
      </c>
      <c r="I1000" s="48" t="s">
        <v>1810</v>
      </c>
    </row>
    <row r="1001" spans="2:9" ht="15" customHeight="1" x14ac:dyDescent="0.25">
      <c r="B1001" s="26" t="s">
        <v>366</v>
      </c>
      <c r="C1001" s="1">
        <v>8</v>
      </c>
      <c r="D1001" s="27" t="s">
        <v>3140</v>
      </c>
      <c r="E1001" s="25"/>
      <c r="F1001" s="25" t="str">
        <f>IF(INDEX(I.Production.P3Y2C2,8)="","",INDEX(I.Production.P3Y2C2,8))</f>
        <v/>
      </c>
      <c r="G1001" s="25"/>
      <c r="H1001" s="1" t="str">
        <f t="shared" si="23"/>
        <v>Complete</v>
      </c>
      <c r="I1001" s="48" t="s">
        <v>1811</v>
      </c>
    </row>
    <row r="1002" spans="2:9" ht="15" customHeight="1" x14ac:dyDescent="0.25">
      <c r="B1002" s="26" t="s">
        <v>366</v>
      </c>
      <c r="C1002" s="1">
        <v>9</v>
      </c>
      <c r="D1002" s="27" t="s">
        <v>3140</v>
      </c>
      <c r="E1002" s="25"/>
      <c r="F1002" s="25" t="str">
        <f>IF(INDEX(I.Production.P3Y2C2,9)="","",INDEX(I.Production.P3Y2C2,9))</f>
        <v/>
      </c>
      <c r="G1002" s="25"/>
      <c r="H1002" s="1" t="str">
        <f t="shared" si="23"/>
        <v>Complete</v>
      </c>
      <c r="I1002" s="48" t="s">
        <v>1812</v>
      </c>
    </row>
    <row r="1003" spans="2:9" ht="15" customHeight="1" x14ac:dyDescent="0.25">
      <c r="B1003" s="26" t="s">
        <v>366</v>
      </c>
      <c r="C1003" s="1">
        <v>10</v>
      </c>
      <c r="D1003" s="27" t="s">
        <v>3140</v>
      </c>
      <c r="E1003" s="25"/>
      <c r="F1003" s="25" t="str">
        <f>IF(INDEX(I.Production.P3Y2C2,10)="","",INDEX(I.Production.P3Y2C2,10))</f>
        <v/>
      </c>
      <c r="G1003" s="25"/>
      <c r="H1003" s="1" t="str">
        <f t="shared" si="23"/>
        <v>Complete</v>
      </c>
      <c r="I1003" s="48" t="s">
        <v>1813</v>
      </c>
    </row>
    <row r="1004" spans="2:9" ht="15" customHeight="1" x14ac:dyDescent="0.25">
      <c r="B1004" s="26" t="s">
        <v>366</v>
      </c>
      <c r="C1004" s="1">
        <v>11</v>
      </c>
      <c r="D1004" s="27" t="s">
        <v>3140</v>
      </c>
      <c r="E1004" s="25"/>
      <c r="F1004" s="25" t="str">
        <f>IF(INDEX(I.Production.P3Y2C2,11)="","",INDEX(I.Production.P3Y2C2,11))</f>
        <v/>
      </c>
      <c r="G1004" s="25"/>
      <c r="H1004" s="1" t="str">
        <f t="shared" si="23"/>
        <v>Complete</v>
      </c>
      <c r="I1004" s="48" t="s">
        <v>1814</v>
      </c>
    </row>
    <row r="1005" spans="2:9" ht="15" customHeight="1" x14ac:dyDescent="0.25">
      <c r="B1005" s="26" t="s">
        <v>366</v>
      </c>
      <c r="C1005" s="1">
        <v>12</v>
      </c>
      <c r="D1005" s="27" t="s">
        <v>3140</v>
      </c>
      <c r="E1005" s="25"/>
      <c r="F1005" s="25" t="str">
        <f>IF(INDEX(I.Production.P3Y2C2,12)="","",INDEX(I.Production.P3Y2C2,12))</f>
        <v/>
      </c>
      <c r="G1005" s="25"/>
      <c r="H1005" s="1" t="str">
        <f t="shared" si="23"/>
        <v>Complete</v>
      </c>
      <c r="I1005" s="48" t="s">
        <v>1815</v>
      </c>
    </row>
    <row r="1006" spans="2:9" ht="15" customHeight="1" x14ac:dyDescent="0.25">
      <c r="B1006" s="26" t="s">
        <v>366</v>
      </c>
      <c r="C1006" s="1">
        <v>13</v>
      </c>
      <c r="D1006" s="27" t="s">
        <v>3140</v>
      </c>
      <c r="E1006" s="25"/>
      <c r="F1006" s="25" t="str">
        <f>IF(INDEX(I.Production.P3Y2C2,13)="","",INDEX(I.Production.P3Y2C2,13))</f>
        <v/>
      </c>
      <c r="G1006" s="25"/>
      <c r="H1006" s="1" t="str">
        <f t="shared" si="23"/>
        <v>Complete</v>
      </c>
      <c r="I1006" s="48" t="s">
        <v>1816</v>
      </c>
    </row>
    <row r="1007" spans="2:9" ht="15" customHeight="1" x14ac:dyDescent="0.25">
      <c r="B1007" s="26" t="s">
        <v>366</v>
      </c>
      <c r="C1007" s="1">
        <v>14</v>
      </c>
      <c r="D1007" s="27" t="s">
        <v>3140</v>
      </c>
      <c r="E1007" s="25"/>
      <c r="F1007" s="25" t="str">
        <f>IF(INDEX(I.Production.P3Y2C2,14)="","",INDEX(I.Production.P3Y2C2,14))</f>
        <v/>
      </c>
      <c r="G1007" s="25"/>
      <c r="H1007" s="1" t="str">
        <f t="shared" si="23"/>
        <v>Complete</v>
      </c>
      <c r="I1007" s="48" t="s">
        <v>1817</v>
      </c>
    </row>
    <row r="1008" spans="2:9" ht="15" customHeight="1" x14ac:dyDescent="0.25">
      <c r="B1008" s="26" t="s">
        <v>366</v>
      </c>
      <c r="C1008" s="1">
        <v>15</v>
      </c>
      <c r="D1008" s="27" t="s">
        <v>3140</v>
      </c>
      <c r="E1008" s="25"/>
      <c r="F1008" s="25" t="str">
        <f>IF(INDEX(I.Production.P3Y2C2,15)="","",INDEX(I.Production.P3Y2C2,15))</f>
        <v/>
      </c>
      <c r="G1008" s="25"/>
      <c r="H1008" s="1" t="str">
        <f t="shared" si="23"/>
        <v>Complete</v>
      </c>
      <c r="I1008" s="48" t="s">
        <v>1818</v>
      </c>
    </row>
    <row r="1009" spans="2:9" ht="15" customHeight="1" x14ac:dyDescent="0.25">
      <c r="B1009" s="26" t="s">
        <v>366</v>
      </c>
      <c r="C1009" s="1">
        <v>16</v>
      </c>
      <c r="D1009" s="27" t="s">
        <v>3140</v>
      </c>
      <c r="E1009" s="25"/>
      <c r="F1009" s="25" t="str">
        <f>IF(INDEX(I.Production.P3Y2C2,16)="","",INDEX(I.Production.P3Y2C2,16))</f>
        <v/>
      </c>
      <c r="G1009" s="25"/>
      <c r="H1009" s="1" t="str">
        <f t="shared" si="23"/>
        <v>Complete</v>
      </c>
      <c r="I1009" s="48" t="s">
        <v>1819</v>
      </c>
    </row>
    <row r="1010" spans="2:9" ht="15" customHeight="1" x14ac:dyDescent="0.25">
      <c r="B1010" s="26" t="s">
        <v>366</v>
      </c>
      <c r="C1010" s="1">
        <v>17</v>
      </c>
      <c r="D1010" s="27" t="s">
        <v>3140</v>
      </c>
      <c r="E1010" s="25"/>
      <c r="F1010" s="25" t="str">
        <f>IF(INDEX(I.Production.P3Y2C2,17)="","",INDEX(I.Production.P3Y2C2,17))</f>
        <v/>
      </c>
      <c r="G1010" s="25"/>
      <c r="H1010" s="1" t="str">
        <f t="shared" si="23"/>
        <v>Complete</v>
      </c>
      <c r="I1010" s="48" t="s">
        <v>1820</v>
      </c>
    </row>
    <row r="1011" spans="2:9" ht="15" customHeight="1" x14ac:dyDescent="0.25">
      <c r="B1011" s="26" t="s">
        <v>366</v>
      </c>
      <c r="C1011" s="1">
        <v>18</v>
      </c>
      <c r="D1011" s="27" t="s">
        <v>3140</v>
      </c>
      <c r="E1011" s="25"/>
      <c r="F1011" s="25" t="str">
        <f>IF(INDEX(I.Production.P3Y2C2,18)="","",INDEX(I.Production.P3Y2C2,18))</f>
        <v/>
      </c>
      <c r="G1011" s="25"/>
      <c r="H1011" s="1" t="str">
        <f t="shared" si="23"/>
        <v>Complete</v>
      </c>
      <c r="I1011" s="48" t="s">
        <v>1821</v>
      </c>
    </row>
    <row r="1012" spans="2:9" ht="15" customHeight="1" x14ac:dyDescent="0.25">
      <c r="B1012" s="26" t="s">
        <v>366</v>
      </c>
      <c r="C1012" s="1">
        <v>19</v>
      </c>
      <c r="D1012" s="27" t="s">
        <v>3140</v>
      </c>
      <c r="E1012" s="25"/>
      <c r="F1012" s="25" t="str">
        <f>IF(INDEX(I.Production.P3Y2C2,19)="","",INDEX(I.Production.P3Y2C2,19))</f>
        <v/>
      </c>
      <c r="G1012" s="25"/>
      <c r="H1012" s="1" t="str">
        <f t="shared" si="23"/>
        <v>Complete</v>
      </c>
      <c r="I1012" s="48" t="s">
        <v>1822</v>
      </c>
    </row>
    <row r="1013" spans="2:9" ht="15" customHeight="1" x14ac:dyDescent="0.25">
      <c r="B1013" s="26" t="s">
        <v>366</v>
      </c>
      <c r="C1013" s="1">
        <v>20</v>
      </c>
      <c r="D1013" s="27" t="s">
        <v>3140</v>
      </c>
      <c r="E1013" s="25"/>
      <c r="F1013" s="25" t="str">
        <f>IF(INDEX(I.Production.P3Y2C2,20)="","",INDEX(I.Production.P3Y2C2,20))</f>
        <v/>
      </c>
      <c r="G1013" s="25"/>
      <c r="H1013" s="1" t="str">
        <f t="shared" si="23"/>
        <v>Complete</v>
      </c>
      <c r="I1013" s="48" t="s">
        <v>1823</v>
      </c>
    </row>
    <row r="1014" spans="2:9" ht="15" customHeight="1" x14ac:dyDescent="0.25">
      <c r="B1014" s="26" t="s">
        <v>366</v>
      </c>
      <c r="C1014" s="1">
        <v>21</v>
      </c>
      <c r="D1014" s="27" t="s">
        <v>3140</v>
      </c>
      <c r="E1014" s="25"/>
      <c r="F1014" s="25" t="str">
        <f>IF(INDEX(I.Production.P3Y2C2,21)="","",INDEX(I.Production.P3Y2C2,21))</f>
        <v/>
      </c>
      <c r="G1014" s="25"/>
      <c r="H1014" s="1" t="str">
        <f t="shared" si="23"/>
        <v>Complete</v>
      </c>
      <c r="I1014" s="48" t="s">
        <v>1824</v>
      </c>
    </row>
    <row r="1015" spans="2:9" ht="15" customHeight="1" x14ac:dyDescent="0.25">
      <c r="B1015" s="26" t="s">
        <v>366</v>
      </c>
      <c r="C1015" s="1">
        <v>22</v>
      </c>
      <c r="D1015" s="27" t="s">
        <v>3140</v>
      </c>
      <c r="E1015" s="25"/>
      <c r="F1015" s="25" t="str">
        <f>IF(INDEX(I.Production.P3Y2C2,22)="","",INDEX(I.Production.P3Y2C2,22))</f>
        <v/>
      </c>
      <c r="G1015" s="25"/>
      <c r="H1015" s="1" t="str">
        <f t="shared" si="23"/>
        <v>Complete</v>
      </c>
      <c r="I1015" s="48" t="s">
        <v>1825</v>
      </c>
    </row>
    <row r="1016" spans="2:9" ht="15" customHeight="1" x14ac:dyDescent="0.25">
      <c r="B1016" s="26" t="s">
        <v>366</v>
      </c>
      <c r="C1016" s="1">
        <v>23</v>
      </c>
      <c r="D1016" s="27" t="s">
        <v>3140</v>
      </c>
      <c r="E1016" s="25"/>
      <c r="F1016" s="25" t="str">
        <f>IF(INDEX(I.Production.P3Y2C2,23)="","",INDEX(I.Production.P3Y2C2,23))</f>
        <v/>
      </c>
      <c r="G1016" s="25"/>
      <c r="H1016" s="1" t="str">
        <f t="shared" si="23"/>
        <v>Complete</v>
      </c>
      <c r="I1016" s="48" t="s">
        <v>1826</v>
      </c>
    </row>
    <row r="1017" spans="2:9" ht="15" customHeight="1" x14ac:dyDescent="0.25">
      <c r="B1017" s="34" t="s">
        <v>366</v>
      </c>
      <c r="C1017" s="35">
        <v>24</v>
      </c>
      <c r="D1017" s="46" t="s">
        <v>3140</v>
      </c>
      <c r="E1017" s="45"/>
      <c r="F1017" s="45" t="str">
        <f>IF(INDEX(I.Production.P3Y2C2,24)="","",INDEX(I.Production.P3Y2C2,24))</f>
        <v/>
      </c>
      <c r="G1017" s="45"/>
      <c r="H1017" s="35" t="str">
        <f t="shared" si="23"/>
        <v>Complete</v>
      </c>
      <c r="I1017" s="49" t="s">
        <v>1827</v>
      </c>
    </row>
    <row r="1018" spans="2:9" ht="15" customHeight="1" x14ac:dyDescent="0.25">
      <c r="B1018" s="26" t="s">
        <v>367</v>
      </c>
      <c r="C1018" s="1">
        <v>1</v>
      </c>
      <c r="D1018" s="27" t="s">
        <v>3141</v>
      </c>
      <c r="E1018" s="25"/>
      <c r="F1018" s="25" t="str">
        <f>IF(INDEX(I.Production.P3Y3C2,1)="","",INDEX(I.Production.P3Y3C2,1))</f>
        <v/>
      </c>
      <c r="G1018" s="25"/>
      <c r="H1018" s="1" t="str">
        <f t="shared" ref="H1018:H1041" si="24">IF(AND(I.Facility.ProductCount&gt;=3,I.Developer.P3C2=TRUE,I.Product.P3Status&lt;&gt;"Yes",F1018=""),"Incomplete","Complete")</f>
        <v>Complete</v>
      </c>
      <c r="I1018" s="48" t="s">
        <v>1828</v>
      </c>
    </row>
    <row r="1019" spans="2:9" ht="15" customHeight="1" x14ac:dyDescent="0.25">
      <c r="B1019" s="26" t="s">
        <v>367</v>
      </c>
      <c r="C1019" s="1">
        <v>2</v>
      </c>
      <c r="D1019" s="27" t="s">
        <v>3141</v>
      </c>
      <c r="E1019" s="25"/>
      <c r="F1019" s="25" t="str">
        <f>IF(INDEX(I.Production.P3Y3C2,2)="","",INDEX(I.Production.P3Y3C2,2))</f>
        <v/>
      </c>
      <c r="G1019" s="25"/>
      <c r="H1019" s="1" t="str">
        <f t="shared" si="24"/>
        <v>Complete</v>
      </c>
      <c r="I1019" s="48" t="s">
        <v>1829</v>
      </c>
    </row>
    <row r="1020" spans="2:9" ht="15" customHeight="1" x14ac:dyDescent="0.25">
      <c r="B1020" s="26" t="s">
        <v>367</v>
      </c>
      <c r="C1020" s="1">
        <v>3</v>
      </c>
      <c r="D1020" s="27" t="s">
        <v>3141</v>
      </c>
      <c r="E1020" s="25"/>
      <c r="F1020" s="25" t="str">
        <f>IF(INDEX(I.Production.P3Y3C2,3)="","",INDEX(I.Production.P3Y3C2,3))</f>
        <v/>
      </c>
      <c r="G1020" s="25"/>
      <c r="H1020" s="1" t="str">
        <f t="shared" si="24"/>
        <v>Complete</v>
      </c>
      <c r="I1020" s="48" t="s">
        <v>1830</v>
      </c>
    </row>
    <row r="1021" spans="2:9" ht="15" customHeight="1" x14ac:dyDescent="0.25">
      <c r="B1021" s="26" t="s">
        <v>367</v>
      </c>
      <c r="C1021" s="1">
        <v>4</v>
      </c>
      <c r="D1021" s="27" t="s">
        <v>3141</v>
      </c>
      <c r="E1021" s="25"/>
      <c r="F1021" s="25" t="str">
        <f>IF(INDEX(I.Production.P3Y3C2,4)="","",INDEX(I.Production.P3Y3C2,4))</f>
        <v/>
      </c>
      <c r="G1021" s="25"/>
      <c r="H1021" s="1" t="str">
        <f t="shared" si="24"/>
        <v>Complete</v>
      </c>
      <c r="I1021" s="48" t="s">
        <v>1831</v>
      </c>
    </row>
    <row r="1022" spans="2:9" ht="15" customHeight="1" x14ac:dyDescent="0.25">
      <c r="B1022" s="26" t="s">
        <v>367</v>
      </c>
      <c r="C1022" s="1">
        <v>5</v>
      </c>
      <c r="D1022" s="27" t="s">
        <v>3141</v>
      </c>
      <c r="E1022" s="25"/>
      <c r="F1022" s="25" t="str">
        <f>IF(INDEX(I.Production.P3Y3C2,5)="","",INDEX(I.Production.P3Y3C2,5))</f>
        <v/>
      </c>
      <c r="G1022" s="25"/>
      <c r="H1022" s="1" t="str">
        <f t="shared" si="24"/>
        <v>Complete</v>
      </c>
      <c r="I1022" s="48" t="s">
        <v>1832</v>
      </c>
    </row>
    <row r="1023" spans="2:9" ht="15" customHeight="1" x14ac:dyDescent="0.25">
      <c r="B1023" s="26" t="s">
        <v>367</v>
      </c>
      <c r="C1023" s="1">
        <v>6</v>
      </c>
      <c r="D1023" s="27" t="s">
        <v>3141</v>
      </c>
      <c r="E1023" s="25"/>
      <c r="F1023" s="25" t="str">
        <f>IF(INDEX(I.Production.P3Y3C2,6)="","",INDEX(I.Production.P3Y3C2,6))</f>
        <v/>
      </c>
      <c r="G1023" s="25"/>
      <c r="H1023" s="1" t="str">
        <f t="shared" si="24"/>
        <v>Complete</v>
      </c>
      <c r="I1023" s="48" t="s">
        <v>1833</v>
      </c>
    </row>
    <row r="1024" spans="2:9" ht="15" customHeight="1" x14ac:dyDescent="0.25">
      <c r="B1024" s="26" t="s">
        <v>367</v>
      </c>
      <c r="C1024" s="1">
        <v>7</v>
      </c>
      <c r="D1024" s="27" t="s">
        <v>3141</v>
      </c>
      <c r="E1024" s="25"/>
      <c r="F1024" s="25" t="str">
        <f>IF(INDEX(I.Production.P3Y3C2,7)="","",INDEX(I.Production.P3Y3C2,7))</f>
        <v/>
      </c>
      <c r="G1024" s="25"/>
      <c r="H1024" s="1" t="str">
        <f t="shared" si="24"/>
        <v>Complete</v>
      </c>
      <c r="I1024" s="48" t="s">
        <v>1834</v>
      </c>
    </row>
    <row r="1025" spans="2:9" ht="15" customHeight="1" x14ac:dyDescent="0.25">
      <c r="B1025" s="26" t="s">
        <v>367</v>
      </c>
      <c r="C1025" s="1">
        <v>8</v>
      </c>
      <c r="D1025" s="27" t="s">
        <v>3141</v>
      </c>
      <c r="E1025" s="25"/>
      <c r="F1025" s="25" t="str">
        <f>IF(INDEX(I.Production.P3Y3C2,8)="","",INDEX(I.Production.P3Y3C2,8))</f>
        <v/>
      </c>
      <c r="G1025" s="25"/>
      <c r="H1025" s="1" t="str">
        <f t="shared" si="24"/>
        <v>Complete</v>
      </c>
      <c r="I1025" s="48" t="s">
        <v>1835</v>
      </c>
    </row>
    <row r="1026" spans="2:9" ht="15" customHeight="1" x14ac:dyDescent="0.25">
      <c r="B1026" s="26" t="s">
        <v>367</v>
      </c>
      <c r="C1026" s="1">
        <v>9</v>
      </c>
      <c r="D1026" s="27" t="s">
        <v>3141</v>
      </c>
      <c r="E1026" s="25"/>
      <c r="F1026" s="25" t="str">
        <f>IF(INDEX(I.Production.P3Y3C2,9)="","",INDEX(I.Production.P3Y3C2,9))</f>
        <v/>
      </c>
      <c r="G1026" s="25"/>
      <c r="H1026" s="1" t="str">
        <f t="shared" si="24"/>
        <v>Complete</v>
      </c>
      <c r="I1026" s="48" t="s">
        <v>1836</v>
      </c>
    </row>
    <row r="1027" spans="2:9" ht="15" customHeight="1" x14ac:dyDescent="0.25">
      <c r="B1027" s="26" t="s">
        <v>367</v>
      </c>
      <c r="C1027" s="1">
        <v>10</v>
      </c>
      <c r="D1027" s="27" t="s">
        <v>3141</v>
      </c>
      <c r="E1027" s="25"/>
      <c r="F1027" s="25" t="str">
        <f>IF(INDEX(I.Production.P3Y3C2,10)="","",INDEX(I.Production.P3Y3C2,10))</f>
        <v/>
      </c>
      <c r="G1027" s="25"/>
      <c r="H1027" s="1" t="str">
        <f t="shared" si="24"/>
        <v>Complete</v>
      </c>
      <c r="I1027" s="48" t="s">
        <v>1837</v>
      </c>
    </row>
    <row r="1028" spans="2:9" ht="15" customHeight="1" x14ac:dyDescent="0.25">
      <c r="B1028" s="26" t="s">
        <v>367</v>
      </c>
      <c r="C1028" s="1">
        <v>11</v>
      </c>
      <c r="D1028" s="27" t="s">
        <v>3141</v>
      </c>
      <c r="E1028" s="25"/>
      <c r="F1028" s="25" t="str">
        <f>IF(INDEX(I.Production.P3Y3C2,11)="","",INDEX(I.Production.P3Y3C2,11))</f>
        <v/>
      </c>
      <c r="G1028" s="25"/>
      <c r="H1028" s="1" t="str">
        <f t="shared" si="24"/>
        <v>Complete</v>
      </c>
      <c r="I1028" s="48" t="s">
        <v>1838</v>
      </c>
    </row>
    <row r="1029" spans="2:9" ht="15" customHeight="1" x14ac:dyDescent="0.25">
      <c r="B1029" s="26" t="s">
        <v>367</v>
      </c>
      <c r="C1029" s="1">
        <v>12</v>
      </c>
      <c r="D1029" s="27" t="s">
        <v>3141</v>
      </c>
      <c r="E1029" s="25"/>
      <c r="F1029" s="25" t="str">
        <f>IF(INDEX(I.Production.P3Y3C2,12)="","",INDEX(I.Production.P3Y3C2,12))</f>
        <v/>
      </c>
      <c r="G1029" s="25"/>
      <c r="H1029" s="1" t="str">
        <f t="shared" si="24"/>
        <v>Complete</v>
      </c>
      <c r="I1029" s="48" t="s">
        <v>1839</v>
      </c>
    </row>
    <row r="1030" spans="2:9" ht="15" customHeight="1" x14ac:dyDescent="0.25">
      <c r="B1030" s="26" t="s">
        <v>367</v>
      </c>
      <c r="C1030" s="1">
        <v>13</v>
      </c>
      <c r="D1030" s="27" t="s">
        <v>3141</v>
      </c>
      <c r="E1030" s="25"/>
      <c r="F1030" s="25" t="str">
        <f>IF(INDEX(I.Production.P3Y3C2,13)="","",INDEX(I.Production.P3Y3C2,13))</f>
        <v/>
      </c>
      <c r="G1030" s="25"/>
      <c r="H1030" s="1" t="str">
        <f t="shared" si="24"/>
        <v>Complete</v>
      </c>
      <c r="I1030" s="48" t="s">
        <v>1840</v>
      </c>
    </row>
    <row r="1031" spans="2:9" ht="15" customHeight="1" x14ac:dyDescent="0.25">
      <c r="B1031" s="26" t="s">
        <v>367</v>
      </c>
      <c r="C1031" s="1">
        <v>14</v>
      </c>
      <c r="D1031" s="27" t="s">
        <v>3141</v>
      </c>
      <c r="E1031" s="25"/>
      <c r="F1031" s="25" t="str">
        <f>IF(INDEX(I.Production.P3Y3C2,14)="","",INDEX(I.Production.P3Y3C2,14))</f>
        <v/>
      </c>
      <c r="G1031" s="25"/>
      <c r="H1031" s="1" t="str">
        <f t="shared" si="24"/>
        <v>Complete</v>
      </c>
      <c r="I1031" s="48" t="s">
        <v>1841</v>
      </c>
    </row>
    <row r="1032" spans="2:9" ht="15" customHeight="1" x14ac:dyDescent="0.25">
      <c r="B1032" s="26" t="s">
        <v>367</v>
      </c>
      <c r="C1032" s="1">
        <v>15</v>
      </c>
      <c r="D1032" s="27" t="s">
        <v>3141</v>
      </c>
      <c r="E1032" s="25"/>
      <c r="F1032" s="25" t="str">
        <f>IF(INDEX(I.Production.P3Y3C2,15)="","",INDEX(I.Production.P3Y3C2,15))</f>
        <v/>
      </c>
      <c r="G1032" s="25"/>
      <c r="H1032" s="1" t="str">
        <f t="shared" si="24"/>
        <v>Complete</v>
      </c>
      <c r="I1032" s="48" t="s">
        <v>1842</v>
      </c>
    </row>
    <row r="1033" spans="2:9" ht="15" customHeight="1" x14ac:dyDescent="0.25">
      <c r="B1033" s="26" t="s">
        <v>367</v>
      </c>
      <c r="C1033" s="1">
        <v>16</v>
      </c>
      <c r="D1033" s="27" t="s">
        <v>3141</v>
      </c>
      <c r="E1033" s="25"/>
      <c r="F1033" s="25" t="str">
        <f>IF(INDEX(I.Production.P3Y3C2,16)="","",INDEX(I.Production.P3Y3C2,16))</f>
        <v/>
      </c>
      <c r="G1033" s="25"/>
      <c r="H1033" s="1" t="str">
        <f t="shared" si="24"/>
        <v>Complete</v>
      </c>
      <c r="I1033" s="48" t="s">
        <v>1843</v>
      </c>
    </row>
    <row r="1034" spans="2:9" ht="15" customHeight="1" x14ac:dyDescent="0.25">
      <c r="B1034" s="26" t="s">
        <v>367</v>
      </c>
      <c r="C1034" s="1">
        <v>17</v>
      </c>
      <c r="D1034" s="27" t="s">
        <v>3141</v>
      </c>
      <c r="E1034" s="25"/>
      <c r="F1034" s="25" t="str">
        <f>IF(INDEX(I.Production.P3Y3C2,17)="","",INDEX(I.Production.P3Y3C2,17))</f>
        <v/>
      </c>
      <c r="G1034" s="25"/>
      <c r="H1034" s="1" t="str">
        <f t="shared" si="24"/>
        <v>Complete</v>
      </c>
      <c r="I1034" s="48" t="s">
        <v>1844</v>
      </c>
    </row>
    <row r="1035" spans="2:9" ht="15" customHeight="1" x14ac:dyDescent="0.25">
      <c r="B1035" s="26" t="s">
        <v>367</v>
      </c>
      <c r="C1035" s="1">
        <v>18</v>
      </c>
      <c r="D1035" s="27" t="s">
        <v>3141</v>
      </c>
      <c r="E1035" s="25"/>
      <c r="F1035" s="25" t="str">
        <f>IF(INDEX(I.Production.P3Y3C2,18)="","",INDEX(I.Production.P3Y3C2,18))</f>
        <v/>
      </c>
      <c r="G1035" s="25"/>
      <c r="H1035" s="1" t="str">
        <f t="shared" si="24"/>
        <v>Complete</v>
      </c>
      <c r="I1035" s="48" t="s">
        <v>1845</v>
      </c>
    </row>
    <row r="1036" spans="2:9" ht="15" customHeight="1" x14ac:dyDescent="0.25">
      <c r="B1036" s="26" t="s">
        <v>367</v>
      </c>
      <c r="C1036" s="1">
        <v>19</v>
      </c>
      <c r="D1036" s="27" t="s">
        <v>3141</v>
      </c>
      <c r="E1036" s="25"/>
      <c r="F1036" s="25" t="str">
        <f>IF(INDEX(I.Production.P3Y3C2,19)="","",INDEX(I.Production.P3Y3C2,19))</f>
        <v/>
      </c>
      <c r="G1036" s="25"/>
      <c r="H1036" s="1" t="str">
        <f t="shared" si="24"/>
        <v>Complete</v>
      </c>
      <c r="I1036" s="48" t="s">
        <v>1846</v>
      </c>
    </row>
    <row r="1037" spans="2:9" ht="15" customHeight="1" x14ac:dyDescent="0.25">
      <c r="B1037" s="26" t="s">
        <v>367</v>
      </c>
      <c r="C1037" s="1">
        <v>20</v>
      </c>
      <c r="D1037" s="27" t="s">
        <v>3141</v>
      </c>
      <c r="E1037" s="25"/>
      <c r="F1037" s="25" t="str">
        <f>IF(INDEX(I.Production.P3Y3C2,20)="","",INDEX(I.Production.P3Y3C2,20))</f>
        <v/>
      </c>
      <c r="G1037" s="25"/>
      <c r="H1037" s="1" t="str">
        <f t="shared" si="24"/>
        <v>Complete</v>
      </c>
      <c r="I1037" s="48" t="s">
        <v>1847</v>
      </c>
    </row>
    <row r="1038" spans="2:9" ht="15" customHeight="1" x14ac:dyDescent="0.25">
      <c r="B1038" s="26" t="s">
        <v>367</v>
      </c>
      <c r="C1038" s="1">
        <v>21</v>
      </c>
      <c r="D1038" s="27" t="s">
        <v>3141</v>
      </c>
      <c r="E1038" s="25"/>
      <c r="F1038" s="25" t="str">
        <f>IF(INDEX(I.Production.P3Y3C2,21)="","",INDEX(I.Production.P3Y3C2,21))</f>
        <v/>
      </c>
      <c r="G1038" s="25"/>
      <c r="H1038" s="1" t="str">
        <f t="shared" si="24"/>
        <v>Complete</v>
      </c>
      <c r="I1038" s="48" t="s">
        <v>1848</v>
      </c>
    </row>
    <row r="1039" spans="2:9" ht="15" customHeight="1" x14ac:dyDescent="0.25">
      <c r="B1039" s="26" t="s">
        <v>367</v>
      </c>
      <c r="C1039" s="1">
        <v>22</v>
      </c>
      <c r="D1039" s="27" t="s">
        <v>3141</v>
      </c>
      <c r="E1039" s="25"/>
      <c r="F1039" s="25" t="str">
        <f>IF(INDEX(I.Production.P3Y3C2,22)="","",INDEX(I.Production.P3Y3C2,22))</f>
        <v/>
      </c>
      <c r="G1039" s="25"/>
      <c r="H1039" s="1" t="str">
        <f t="shared" si="24"/>
        <v>Complete</v>
      </c>
      <c r="I1039" s="48" t="s">
        <v>1849</v>
      </c>
    </row>
    <row r="1040" spans="2:9" ht="15" customHeight="1" x14ac:dyDescent="0.25">
      <c r="B1040" s="26" t="s">
        <v>367</v>
      </c>
      <c r="C1040" s="1">
        <v>23</v>
      </c>
      <c r="D1040" s="27" t="s">
        <v>3141</v>
      </c>
      <c r="E1040" s="25"/>
      <c r="F1040" s="25" t="str">
        <f>IF(INDEX(I.Production.P3Y3C2,23)="","",INDEX(I.Production.P3Y3C2,23))</f>
        <v/>
      </c>
      <c r="G1040" s="25"/>
      <c r="H1040" s="1" t="str">
        <f t="shared" si="24"/>
        <v>Complete</v>
      </c>
      <c r="I1040" s="48" t="s">
        <v>1850</v>
      </c>
    </row>
    <row r="1041" spans="2:9" ht="15" customHeight="1" x14ac:dyDescent="0.25">
      <c r="B1041" s="34" t="s">
        <v>367</v>
      </c>
      <c r="C1041" s="35">
        <v>24</v>
      </c>
      <c r="D1041" s="46" t="s">
        <v>3141</v>
      </c>
      <c r="E1041" s="45"/>
      <c r="F1041" s="45" t="str">
        <f>IF(INDEX(I.Production.P3Y3C2,24)="","",INDEX(I.Production.P3Y3C2,24))</f>
        <v/>
      </c>
      <c r="G1041" s="45"/>
      <c r="H1041" s="35" t="str">
        <f t="shared" si="24"/>
        <v>Complete</v>
      </c>
      <c r="I1041" s="49" t="s">
        <v>1851</v>
      </c>
    </row>
    <row r="1042" spans="2:9" ht="15" customHeight="1" x14ac:dyDescent="0.25">
      <c r="B1042" s="26" t="s">
        <v>368</v>
      </c>
      <c r="C1042" s="1">
        <v>1</v>
      </c>
      <c r="D1042" s="27" t="s">
        <v>3142</v>
      </c>
      <c r="E1042" s="25"/>
      <c r="F1042" s="25" t="str">
        <f>IF(INDEX(I.Production.P3Y1C3,1)="","",INDEX(I.Production.P3Y1C3,1))</f>
        <v/>
      </c>
      <c r="G1042" s="25"/>
      <c r="H1042" s="1" t="str">
        <f t="shared" ref="H1042:H1083" si="25">IF(AND(I.Facility.ProductCount&gt;=3,I.Developer.P3C3=TRUE,F1042=""),"Incomplete","Complete")</f>
        <v>Complete</v>
      </c>
      <c r="I1042" s="48" t="s">
        <v>1852</v>
      </c>
    </row>
    <row r="1043" spans="2:9" ht="15" customHeight="1" x14ac:dyDescent="0.25">
      <c r="B1043" s="26" t="s">
        <v>368</v>
      </c>
      <c r="C1043" s="1">
        <v>2</v>
      </c>
      <c r="D1043" s="27" t="s">
        <v>3142</v>
      </c>
      <c r="E1043" s="25"/>
      <c r="F1043" s="25" t="str">
        <f>IF(INDEX(I.Production.P3Y1C3,2)="","",INDEX(I.Production.P3Y1C3,2))</f>
        <v/>
      </c>
      <c r="G1043" s="25"/>
      <c r="H1043" s="1" t="str">
        <f t="shared" si="25"/>
        <v>Complete</v>
      </c>
      <c r="I1043" s="48" t="s">
        <v>1853</v>
      </c>
    </row>
    <row r="1044" spans="2:9" ht="15" customHeight="1" x14ac:dyDescent="0.25">
      <c r="B1044" s="26" t="s">
        <v>368</v>
      </c>
      <c r="C1044" s="1">
        <v>3</v>
      </c>
      <c r="D1044" s="27" t="s">
        <v>3142</v>
      </c>
      <c r="E1044" s="25"/>
      <c r="F1044" s="25" t="str">
        <f>IF(INDEX(I.Production.P3Y1C3,3)="","",INDEX(I.Production.P3Y1C3,3))</f>
        <v/>
      </c>
      <c r="G1044" s="25"/>
      <c r="H1044" s="1" t="str">
        <f t="shared" si="25"/>
        <v>Complete</v>
      </c>
      <c r="I1044" s="48" t="s">
        <v>1854</v>
      </c>
    </row>
    <row r="1045" spans="2:9" ht="15" customHeight="1" x14ac:dyDescent="0.25">
      <c r="B1045" s="26" t="s">
        <v>368</v>
      </c>
      <c r="C1045" s="1">
        <v>4</v>
      </c>
      <c r="D1045" s="27" t="s">
        <v>3142</v>
      </c>
      <c r="E1045" s="25"/>
      <c r="F1045" s="25" t="str">
        <f>IF(INDEX(I.Production.P3Y1C3,4)="","",INDEX(I.Production.P3Y1C3,4))</f>
        <v/>
      </c>
      <c r="G1045" s="25"/>
      <c r="H1045" s="1" t="str">
        <f t="shared" si="25"/>
        <v>Complete</v>
      </c>
      <c r="I1045" s="48" t="s">
        <v>1855</v>
      </c>
    </row>
    <row r="1046" spans="2:9" ht="15" customHeight="1" x14ac:dyDescent="0.25">
      <c r="B1046" s="26" t="s">
        <v>368</v>
      </c>
      <c r="C1046" s="1">
        <v>5</v>
      </c>
      <c r="D1046" s="27" t="s">
        <v>3142</v>
      </c>
      <c r="E1046" s="25"/>
      <c r="F1046" s="25" t="str">
        <f>IF(INDEX(I.Production.P3Y1C3,5)="","",INDEX(I.Production.P3Y1C3,5))</f>
        <v/>
      </c>
      <c r="G1046" s="25"/>
      <c r="H1046" s="1" t="str">
        <f t="shared" si="25"/>
        <v>Complete</v>
      </c>
      <c r="I1046" s="48" t="s">
        <v>1856</v>
      </c>
    </row>
    <row r="1047" spans="2:9" ht="15" customHeight="1" x14ac:dyDescent="0.25">
      <c r="B1047" s="26" t="s">
        <v>368</v>
      </c>
      <c r="C1047" s="1">
        <v>6</v>
      </c>
      <c r="D1047" s="27" t="s">
        <v>3142</v>
      </c>
      <c r="E1047" s="25"/>
      <c r="F1047" s="25" t="str">
        <f>IF(INDEX(I.Production.P3Y1C3,6)="","",INDEX(I.Production.P3Y1C3,6))</f>
        <v/>
      </c>
      <c r="G1047" s="25"/>
      <c r="H1047" s="1" t="str">
        <f t="shared" si="25"/>
        <v>Complete</v>
      </c>
      <c r="I1047" s="48" t="s">
        <v>1857</v>
      </c>
    </row>
    <row r="1048" spans="2:9" ht="15" customHeight="1" x14ac:dyDescent="0.25">
      <c r="B1048" s="26" t="s">
        <v>368</v>
      </c>
      <c r="C1048" s="1">
        <v>7</v>
      </c>
      <c r="D1048" s="27" t="s">
        <v>3142</v>
      </c>
      <c r="E1048" s="25"/>
      <c r="F1048" s="25" t="str">
        <f>IF(INDEX(I.Production.P3Y1C3,7)="","",INDEX(I.Production.P3Y1C3,7))</f>
        <v/>
      </c>
      <c r="G1048" s="25"/>
      <c r="H1048" s="1" t="str">
        <f t="shared" si="25"/>
        <v>Complete</v>
      </c>
      <c r="I1048" s="48" t="s">
        <v>1858</v>
      </c>
    </row>
    <row r="1049" spans="2:9" ht="15" customHeight="1" x14ac:dyDescent="0.25">
      <c r="B1049" s="26" t="s">
        <v>368</v>
      </c>
      <c r="C1049" s="1">
        <v>8</v>
      </c>
      <c r="D1049" s="27" t="s">
        <v>3142</v>
      </c>
      <c r="E1049" s="25"/>
      <c r="F1049" s="25" t="str">
        <f>IF(INDEX(I.Production.P3Y1C3,8)="","",INDEX(I.Production.P3Y1C3,8))</f>
        <v/>
      </c>
      <c r="G1049" s="25"/>
      <c r="H1049" s="1" t="str">
        <f t="shared" si="25"/>
        <v>Complete</v>
      </c>
      <c r="I1049" s="48" t="s">
        <v>1859</v>
      </c>
    </row>
    <row r="1050" spans="2:9" ht="15" customHeight="1" x14ac:dyDescent="0.25">
      <c r="B1050" s="26" t="s">
        <v>368</v>
      </c>
      <c r="C1050" s="1">
        <v>9</v>
      </c>
      <c r="D1050" s="27" t="s">
        <v>3142</v>
      </c>
      <c r="E1050" s="25"/>
      <c r="F1050" s="25" t="str">
        <f>IF(INDEX(I.Production.P3Y1C3,9)="","",INDEX(I.Production.P3Y1C3,9))</f>
        <v/>
      </c>
      <c r="G1050" s="25"/>
      <c r="H1050" s="1" t="str">
        <f t="shared" si="25"/>
        <v>Complete</v>
      </c>
      <c r="I1050" s="48" t="s">
        <v>1860</v>
      </c>
    </row>
    <row r="1051" spans="2:9" ht="15" customHeight="1" x14ac:dyDescent="0.25">
      <c r="B1051" s="26" t="s">
        <v>368</v>
      </c>
      <c r="C1051" s="1">
        <v>10</v>
      </c>
      <c r="D1051" s="27" t="s">
        <v>3142</v>
      </c>
      <c r="E1051" s="25"/>
      <c r="F1051" s="25" t="str">
        <f>IF(INDEX(I.Production.P3Y1C3,10)="","",INDEX(I.Production.P3Y1C3,10))</f>
        <v/>
      </c>
      <c r="G1051" s="25"/>
      <c r="H1051" s="1" t="str">
        <f t="shared" si="25"/>
        <v>Complete</v>
      </c>
      <c r="I1051" s="48" t="s">
        <v>1861</v>
      </c>
    </row>
    <row r="1052" spans="2:9" ht="15" customHeight="1" x14ac:dyDescent="0.25">
      <c r="B1052" s="26" t="s">
        <v>368</v>
      </c>
      <c r="C1052" s="1">
        <v>11</v>
      </c>
      <c r="D1052" s="27" t="s">
        <v>3142</v>
      </c>
      <c r="E1052" s="25"/>
      <c r="F1052" s="25" t="str">
        <f>IF(INDEX(I.Production.P3Y1C3,11)="","",INDEX(I.Production.P3Y1C3,11))</f>
        <v/>
      </c>
      <c r="G1052" s="25"/>
      <c r="H1052" s="1" t="str">
        <f t="shared" si="25"/>
        <v>Complete</v>
      </c>
      <c r="I1052" s="48" t="s">
        <v>1862</v>
      </c>
    </row>
    <row r="1053" spans="2:9" ht="15" customHeight="1" x14ac:dyDescent="0.25">
      <c r="B1053" s="26" t="s">
        <v>368</v>
      </c>
      <c r="C1053" s="1">
        <v>12</v>
      </c>
      <c r="D1053" s="27" t="s">
        <v>3142</v>
      </c>
      <c r="E1053" s="25"/>
      <c r="F1053" s="25" t="str">
        <f>IF(INDEX(I.Production.P3Y1C3,12)="","",INDEX(I.Production.P3Y1C3,12))</f>
        <v/>
      </c>
      <c r="G1053" s="25"/>
      <c r="H1053" s="1" t="str">
        <f t="shared" si="25"/>
        <v>Complete</v>
      </c>
      <c r="I1053" s="48" t="s">
        <v>1863</v>
      </c>
    </row>
    <row r="1054" spans="2:9" ht="15" customHeight="1" x14ac:dyDescent="0.25">
      <c r="B1054" s="26" t="s">
        <v>368</v>
      </c>
      <c r="C1054" s="1">
        <v>13</v>
      </c>
      <c r="D1054" s="27" t="s">
        <v>3142</v>
      </c>
      <c r="E1054" s="25"/>
      <c r="F1054" s="25" t="str">
        <f>IF(INDEX(I.Production.P3Y1C3,13)="","",INDEX(I.Production.P3Y1C3,13))</f>
        <v/>
      </c>
      <c r="G1054" s="25"/>
      <c r="H1054" s="1" t="str">
        <f t="shared" si="25"/>
        <v>Complete</v>
      </c>
      <c r="I1054" s="48" t="s">
        <v>1864</v>
      </c>
    </row>
    <row r="1055" spans="2:9" ht="15" customHeight="1" x14ac:dyDescent="0.25">
      <c r="B1055" s="26" t="s">
        <v>368</v>
      </c>
      <c r="C1055" s="1">
        <v>14</v>
      </c>
      <c r="D1055" s="27" t="s">
        <v>3142</v>
      </c>
      <c r="E1055" s="25"/>
      <c r="F1055" s="25" t="str">
        <f>IF(INDEX(I.Production.P3Y1C3,14)="","",INDEX(I.Production.P3Y1C3,14))</f>
        <v/>
      </c>
      <c r="G1055" s="25"/>
      <c r="H1055" s="1" t="str">
        <f t="shared" si="25"/>
        <v>Complete</v>
      </c>
      <c r="I1055" s="48" t="s">
        <v>1865</v>
      </c>
    </row>
    <row r="1056" spans="2:9" ht="15" customHeight="1" x14ac:dyDescent="0.25">
      <c r="B1056" s="26" t="s">
        <v>368</v>
      </c>
      <c r="C1056" s="1">
        <v>15</v>
      </c>
      <c r="D1056" s="27" t="s">
        <v>3142</v>
      </c>
      <c r="E1056" s="25"/>
      <c r="F1056" s="25" t="str">
        <f>IF(INDEX(I.Production.P3Y1C3,15)="","",INDEX(I.Production.P3Y1C3,15))</f>
        <v/>
      </c>
      <c r="G1056" s="25"/>
      <c r="H1056" s="1" t="str">
        <f t="shared" si="25"/>
        <v>Complete</v>
      </c>
      <c r="I1056" s="48" t="s">
        <v>1866</v>
      </c>
    </row>
    <row r="1057" spans="2:9" ht="15" customHeight="1" x14ac:dyDescent="0.25">
      <c r="B1057" s="26" t="s">
        <v>368</v>
      </c>
      <c r="C1057" s="1">
        <v>16</v>
      </c>
      <c r="D1057" s="27" t="s">
        <v>3142</v>
      </c>
      <c r="E1057" s="25"/>
      <c r="F1057" s="25" t="str">
        <f>IF(INDEX(I.Production.P3Y1C3,16)="","",INDEX(I.Production.P3Y1C3,16))</f>
        <v/>
      </c>
      <c r="G1057" s="25"/>
      <c r="H1057" s="1" t="str">
        <f t="shared" si="25"/>
        <v>Complete</v>
      </c>
      <c r="I1057" s="48" t="s">
        <v>1867</v>
      </c>
    </row>
    <row r="1058" spans="2:9" ht="15" customHeight="1" x14ac:dyDescent="0.25">
      <c r="B1058" s="26" t="s">
        <v>368</v>
      </c>
      <c r="C1058" s="1">
        <v>17</v>
      </c>
      <c r="D1058" s="27" t="s">
        <v>3142</v>
      </c>
      <c r="E1058" s="25"/>
      <c r="F1058" s="25" t="str">
        <f>IF(INDEX(I.Production.P3Y1C3,17)="","",INDEX(I.Production.P3Y1C3,17))</f>
        <v/>
      </c>
      <c r="G1058" s="25"/>
      <c r="H1058" s="1" t="str">
        <f t="shared" si="25"/>
        <v>Complete</v>
      </c>
      <c r="I1058" s="48" t="s">
        <v>1868</v>
      </c>
    </row>
    <row r="1059" spans="2:9" ht="15" customHeight="1" x14ac:dyDescent="0.25">
      <c r="B1059" s="26" t="s">
        <v>368</v>
      </c>
      <c r="C1059" s="1">
        <v>18</v>
      </c>
      <c r="D1059" s="27" t="s">
        <v>3142</v>
      </c>
      <c r="E1059" s="25"/>
      <c r="F1059" s="25" t="str">
        <f>IF(INDEX(I.Production.P3Y1C3,18)="","",INDEX(I.Production.P3Y1C3,18))</f>
        <v/>
      </c>
      <c r="G1059" s="25"/>
      <c r="H1059" s="1" t="str">
        <f t="shared" si="25"/>
        <v>Complete</v>
      </c>
      <c r="I1059" s="48" t="s">
        <v>1869</v>
      </c>
    </row>
    <row r="1060" spans="2:9" ht="15" customHeight="1" x14ac:dyDescent="0.25">
      <c r="B1060" s="26" t="s">
        <v>368</v>
      </c>
      <c r="C1060" s="1">
        <v>19</v>
      </c>
      <c r="D1060" s="27" t="s">
        <v>3142</v>
      </c>
      <c r="E1060" s="25"/>
      <c r="F1060" s="25" t="str">
        <f>IF(INDEX(I.Production.P3Y1C3,19)="","",INDEX(I.Production.P3Y1C3,19))</f>
        <v/>
      </c>
      <c r="G1060" s="25"/>
      <c r="H1060" s="1" t="str">
        <f t="shared" si="25"/>
        <v>Complete</v>
      </c>
      <c r="I1060" s="48" t="s">
        <v>1870</v>
      </c>
    </row>
    <row r="1061" spans="2:9" ht="15" customHeight="1" x14ac:dyDescent="0.25">
      <c r="B1061" s="26" t="s">
        <v>368</v>
      </c>
      <c r="C1061" s="1">
        <v>20</v>
      </c>
      <c r="D1061" s="27" t="s">
        <v>3142</v>
      </c>
      <c r="E1061" s="25"/>
      <c r="F1061" s="25" t="str">
        <f>IF(INDEX(I.Production.P3Y1C3,20)="","",INDEX(I.Production.P3Y1C3,20))</f>
        <v/>
      </c>
      <c r="G1061" s="25"/>
      <c r="H1061" s="1" t="str">
        <f t="shared" si="25"/>
        <v>Complete</v>
      </c>
      <c r="I1061" s="48" t="s">
        <v>1871</v>
      </c>
    </row>
    <row r="1062" spans="2:9" ht="15" customHeight="1" x14ac:dyDescent="0.25">
      <c r="B1062" s="34" t="s">
        <v>368</v>
      </c>
      <c r="C1062" s="35">
        <v>21</v>
      </c>
      <c r="D1062" s="46" t="s">
        <v>3142</v>
      </c>
      <c r="E1062" s="45"/>
      <c r="F1062" s="45" t="str">
        <f>IF(INDEX(I.Production.P3Y1C3,21)="","",INDEX(I.Production.P3Y1C3,21))</f>
        <v/>
      </c>
      <c r="G1062" s="45"/>
      <c r="H1062" s="35" t="str">
        <f t="shared" si="25"/>
        <v>Complete</v>
      </c>
      <c r="I1062" s="49" t="s">
        <v>1872</v>
      </c>
    </row>
    <row r="1063" spans="2:9" ht="15" customHeight="1" x14ac:dyDescent="0.25">
      <c r="B1063" s="26" t="s">
        <v>369</v>
      </c>
      <c r="C1063" s="1">
        <v>1</v>
      </c>
      <c r="D1063" s="27" t="s">
        <v>3143</v>
      </c>
      <c r="E1063" s="25"/>
      <c r="F1063" s="25" t="str">
        <f>IF(INDEX(I.Production.P3Y2C3,1)="","",INDEX(I.Production.P3Y2C3,1))</f>
        <v/>
      </c>
      <c r="G1063" s="25"/>
      <c r="H1063" s="1" t="str">
        <f t="shared" si="25"/>
        <v>Complete</v>
      </c>
      <c r="I1063" s="48" t="s">
        <v>1873</v>
      </c>
    </row>
    <row r="1064" spans="2:9" ht="15" customHeight="1" x14ac:dyDescent="0.25">
      <c r="B1064" s="26" t="s">
        <v>369</v>
      </c>
      <c r="C1064" s="1">
        <v>2</v>
      </c>
      <c r="D1064" s="27" t="s">
        <v>3143</v>
      </c>
      <c r="E1064" s="25"/>
      <c r="F1064" s="25" t="str">
        <f>IF(INDEX(I.Production.P3Y2C3,2)="","",INDEX(I.Production.P3Y2C3,2))</f>
        <v/>
      </c>
      <c r="G1064" s="25"/>
      <c r="H1064" s="1" t="str">
        <f t="shared" si="25"/>
        <v>Complete</v>
      </c>
      <c r="I1064" s="48" t="s">
        <v>1874</v>
      </c>
    </row>
    <row r="1065" spans="2:9" ht="15" customHeight="1" x14ac:dyDescent="0.25">
      <c r="B1065" s="26" t="s">
        <v>369</v>
      </c>
      <c r="C1065" s="1">
        <v>3</v>
      </c>
      <c r="D1065" s="27" t="s">
        <v>3143</v>
      </c>
      <c r="E1065" s="25"/>
      <c r="F1065" s="25" t="str">
        <f>IF(INDEX(I.Production.P3Y2C3,3)="","",INDEX(I.Production.P3Y2C3,3))</f>
        <v/>
      </c>
      <c r="G1065" s="25"/>
      <c r="H1065" s="1" t="str">
        <f t="shared" si="25"/>
        <v>Complete</v>
      </c>
      <c r="I1065" s="48" t="s">
        <v>1875</v>
      </c>
    </row>
    <row r="1066" spans="2:9" ht="15" customHeight="1" x14ac:dyDescent="0.25">
      <c r="B1066" s="26" t="s">
        <v>369</v>
      </c>
      <c r="C1066" s="1">
        <v>4</v>
      </c>
      <c r="D1066" s="27" t="s">
        <v>3143</v>
      </c>
      <c r="E1066" s="25"/>
      <c r="F1066" s="25" t="str">
        <f>IF(INDEX(I.Production.P3Y2C3,4)="","",INDEX(I.Production.P3Y2C3,4))</f>
        <v/>
      </c>
      <c r="G1066" s="25"/>
      <c r="H1066" s="1" t="str">
        <f t="shared" si="25"/>
        <v>Complete</v>
      </c>
      <c r="I1066" s="48" t="s">
        <v>1876</v>
      </c>
    </row>
    <row r="1067" spans="2:9" ht="15" customHeight="1" x14ac:dyDescent="0.25">
      <c r="B1067" s="26" t="s">
        <v>369</v>
      </c>
      <c r="C1067" s="1">
        <v>5</v>
      </c>
      <c r="D1067" s="27" t="s">
        <v>3143</v>
      </c>
      <c r="E1067" s="25"/>
      <c r="F1067" s="25" t="str">
        <f>IF(INDEX(I.Production.P3Y2C3,5)="","",INDEX(I.Production.P3Y2C3,5))</f>
        <v/>
      </c>
      <c r="G1067" s="25"/>
      <c r="H1067" s="1" t="str">
        <f t="shared" si="25"/>
        <v>Complete</v>
      </c>
      <c r="I1067" s="48" t="s">
        <v>1877</v>
      </c>
    </row>
    <row r="1068" spans="2:9" ht="15" customHeight="1" x14ac:dyDescent="0.25">
      <c r="B1068" s="26" t="s">
        <v>369</v>
      </c>
      <c r="C1068" s="1">
        <v>6</v>
      </c>
      <c r="D1068" s="27" t="s">
        <v>3143</v>
      </c>
      <c r="E1068" s="25"/>
      <c r="F1068" s="25" t="str">
        <f>IF(INDEX(I.Production.P3Y2C3,6)="","",INDEX(I.Production.P3Y2C3,6))</f>
        <v/>
      </c>
      <c r="G1068" s="25"/>
      <c r="H1068" s="1" t="str">
        <f t="shared" si="25"/>
        <v>Complete</v>
      </c>
      <c r="I1068" s="48" t="s">
        <v>1878</v>
      </c>
    </row>
    <row r="1069" spans="2:9" ht="15" customHeight="1" x14ac:dyDescent="0.25">
      <c r="B1069" s="26" t="s">
        <v>369</v>
      </c>
      <c r="C1069" s="1">
        <v>7</v>
      </c>
      <c r="D1069" s="27" t="s">
        <v>3143</v>
      </c>
      <c r="E1069" s="25"/>
      <c r="F1069" s="25" t="str">
        <f>IF(INDEX(I.Production.P3Y2C3,7)="","",INDEX(I.Production.P3Y2C3,7))</f>
        <v/>
      </c>
      <c r="G1069" s="25"/>
      <c r="H1069" s="1" t="str">
        <f t="shared" si="25"/>
        <v>Complete</v>
      </c>
      <c r="I1069" s="48" t="s">
        <v>1879</v>
      </c>
    </row>
    <row r="1070" spans="2:9" ht="15" customHeight="1" x14ac:dyDescent="0.25">
      <c r="B1070" s="26" t="s">
        <v>369</v>
      </c>
      <c r="C1070" s="1">
        <v>8</v>
      </c>
      <c r="D1070" s="27" t="s">
        <v>3143</v>
      </c>
      <c r="E1070" s="25"/>
      <c r="F1070" s="25" t="str">
        <f>IF(INDEX(I.Production.P3Y2C3,8)="","",INDEX(I.Production.P3Y2C3,8))</f>
        <v/>
      </c>
      <c r="G1070" s="25"/>
      <c r="H1070" s="1" t="str">
        <f t="shared" si="25"/>
        <v>Complete</v>
      </c>
      <c r="I1070" s="48" t="s">
        <v>1880</v>
      </c>
    </row>
    <row r="1071" spans="2:9" ht="15" customHeight="1" x14ac:dyDescent="0.25">
      <c r="B1071" s="26" t="s">
        <v>369</v>
      </c>
      <c r="C1071" s="1">
        <v>9</v>
      </c>
      <c r="D1071" s="27" t="s">
        <v>3143</v>
      </c>
      <c r="E1071" s="25"/>
      <c r="F1071" s="25" t="str">
        <f>IF(INDEX(I.Production.P3Y2C3,9)="","",INDEX(I.Production.P3Y2C3,9))</f>
        <v/>
      </c>
      <c r="G1071" s="25"/>
      <c r="H1071" s="1" t="str">
        <f t="shared" si="25"/>
        <v>Complete</v>
      </c>
      <c r="I1071" s="48" t="s">
        <v>1881</v>
      </c>
    </row>
    <row r="1072" spans="2:9" ht="15" customHeight="1" x14ac:dyDescent="0.25">
      <c r="B1072" s="26" t="s">
        <v>369</v>
      </c>
      <c r="C1072" s="1">
        <v>10</v>
      </c>
      <c r="D1072" s="27" t="s">
        <v>3143</v>
      </c>
      <c r="E1072" s="25"/>
      <c r="F1072" s="25" t="str">
        <f>IF(INDEX(I.Production.P3Y2C3,10)="","",INDEX(I.Production.P3Y2C3,10))</f>
        <v/>
      </c>
      <c r="G1072" s="25"/>
      <c r="H1072" s="1" t="str">
        <f t="shared" si="25"/>
        <v>Complete</v>
      </c>
      <c r="I1072" s="48" t="s">
        <v>1882</v>
      </c>
    </row>
    <row r="1073" spans="2:9" ht="15" customHeight="1" x14ac:dyDescent="0.25">
      <c r="B1073" s="26" t="s">
        <v>369</v>
      </c>
      <c r="C1073" s="1">
        <v>11</v>
      </c>
      <c r="D1073" s="27" t="s">
        <v>3143</v>
      </c>
      <c r="E1073" s="25"/>
      <c r="F1073" s="25" t="str">
        <f>IF(INDEX(I.Production.P3Y2C3,11)="","",INDEX(I.Production.P3Y2C3,11))</f>
        <v/>
      </c>
      <c r="G1073" s="25"/>
      <c r="H1073" s="1" t="str">
        <f t="shared" si="25"/>
        <v>Complete</v>
      </c>
      <c r="I1073" s="48" t="s">
        <v>1883</v>
      </c>
    </row>
    <row r="1074" spans="2:9" ht="15" customHeight="1" x14ac:dyDescent="0.25">
      <c r="B1074" s="26" t="s">
        <v>369</v>
      </c>
      <c r="C1074" s="1">
        <v>12</v>
      </c>
      <c r="D1074" s="27" t="s">
        <v>3143</v>
      </c>
      <c r="E1074" s="25"/>
      <c r="F1074" s="25" t="str">
        <f>IF(INDEX(I.Production.P3Y2C3,12)="","",INDEX(I.Production.P3Y2C3,12))</f>
        <v/>
      </c>
      <c r="G1074" s="25"/>
      <c r="H1074" s="1" t="str">
        <f t="shared" si="25"/>
        <v>Complete</v>
      </c>
      <c r="I1074" s="48" t="s">
        <v>1884</v>
      </c>
    </row>
    <row r="1075" spans="2:9" ht="15" customHeight="1" x14ac:dyDescent="0.25">
      <c r="B1075" s="26" t="s">
        <v>369</v>
      </c>
      <c r="C1075" s="1">
        <v>13</v>
      </c>
      <c r="D1075" s="27" t="s">
        <v>3143</v>
      </c>
      <c r="E1075" s="25"/>
      <c r="F1075" s="25" t="str">
        <f>IF(INDEX(I.Production.P3Y2C3,13)="","",INDEX(I.Production.P3Y2C3,13))</f>
        <v/>
      </c>
      <c r="G1075" s="25"/>
      <c r="H1075" s="1" t="str">
        <f t="shared" si="25"/>
        <v>Complete</v>
      </c>
      <c r="I1075" s="48" t="s">
        <v>1885</v>
      </c>
    </row>
    <row r="1076" spans="2:9" ht="15" customHeight="1" x14ac:dyDescent="0.25">
      <c r="B1076" s="26" t="s">
        <v>369</v>
      </c>
      <c r="C1076" s="1">
        <v>14</v>
      </c>
      <c r="D1076" s="27" t="s">
        <v>3143</v>
      </c>
      <c r="E1076" s="25"/>
      <c r="F1076" s="25" t="str">
        <f>IF(INDEX(I.Production.P3Y2C3,14)="","",INDEX(I.Production.P3Y2C3,14))</f>
        <v/>
      </c>
      <c r="G1076" s="25"/>
      <c r="H1076" s="1" t="str">
        <f t="shared" si="25"/>
        <v>Complete</v>
      </c>
      <c r="I1076" s="48" t="s">
        <v>1886</v>
      </c>
    </row>
    <row r="1077" spans="2:9" ht="15" customHeight="1" x14ac:dyDescent="0.25">
      <c r="B1077" s="26" t="s">
        <v>369</v>
      </c>
      <c r="C1077" s="1">
        <v>15</v>
      </c>
      <c r="D1077" s="27" t="s">
        <v>3143</v>
      </c>
      <c r="E1077" s="25"/>
      <c r="F1077" s="25" t="str">
        <f>IF(INDEX(I.Production.P3Y2C3,15)="","",INDEX(I.Production.P3Y2C3,15))</f>
        <v/>
      </c>
      <c r="G1077" s="25"/>
      <c r="H1077" s="1" t="str">
        <f t="shared" si="25"/>
        <v>Complete</v>
      </c>
      <c r="I1077" s="48" t="s">
        <v>1887</v>
      </c>
    </row>
    <row r="1078" spans="2:9" ht="15" customHeight="1" x14ac:dyDescent="0.25">
      <c r="B1078" s="26" t="s">
        <v>369</v>
      </c>
      <c r="C1078" s="1">
        <v>16</v>
      </c>
      <c r="D1078" s="27" t="s">
        <v>3143</v>
      </c>
      <c r="E1078" s="25"/>
      <c r="F1078" s="25" t="str">
        <f>IF(INDEX(I.Production.P3Y2C3,16)="","",INDEX(I.Production.P3Y2C3,16))</f>
        <v/>
      </c>
      <c r="G1078" s="25"/>
      <c r="H1078" s="1" t="str">
        <f t="shared" si="25"/>
        <v>Complete</v>
      </c>
      <c r="I1078" s="48" t="s">
        <v>1888</v>
      </c>
    </row>
    <row r="1079" spans="2:9" ht="15" customHeight="1" x14ac:dyDescent="0.25">
      <c r="B1079" s="26" t="s">
        <v>369</v>
      </c>
      <c r="C1079" s="1">
        <v>17</v>
      </c>
      <c r="D1079" s="27" t="s">
        <v>3143</v>
      </c>
      <c r="E1079" s="25"/>
      <c r="F1079" s="25" t="str">
        <f>IF(INDEX(I.Production.P3Y2C3,17)="","",INDEX(I.Production.P3Y2C3,17))</f>
        <v/>
      </c>
      <c r="G1079" s="25"/>
      <c r="H1079" s="1" t="str">
        <f t="shared" si="25"/>
        <v>Complete</v>
      </c>
      <c r="I1079" s="48" t="s">
        <v>1889</v>
      </c>
    </row>
    <row r="1080" spans="2:9" ht="15" customHeight="1" x14ac:dyDescent="0.25">
      <c r="B1080" s="26" t="s">
        <v>369</v>
      </c>
      <c r="C1080" s="1">
        <v>18</v>
      </c>
      <c r="D1080" s="27" t="s">
        <v>3143</v>
      </c>
      <c r="E1080" s="25"/>
      <c r="F1080" s="25" t="str">
        <f>IF(INDEX(I.Production.P3Y2C3,18)="","",INDEX(I.Production.P3Y2C3,18))</f>
        <v/>
      </c>
      <c r="G1080" s="25"/>
      <c r="H1080" s="1" t="str">
        <f t="shared" si="25"/>
        <v>Complete</v>
      </c>
      <c r="I1080" s="48" t="s">
        <v>1890</v>
      </c>
    </row>
    <row r="1081" spans="2:9" ht="15" customHeight="1" x14ac:dyDescent="0.25">
      <c r="B1081" s="26" t="s">
        <v>369</v>
      </c>
      <c r="C1081" s="1">
        <v>19</v>
      </c>
      <c r="D1081" s="27" t="s">
        <v>3143</v>
      </c>
      <c r="E1081" s="25"/>
      <c r="F1081" s="25" t="str">
        <f>IF(INDEX(I.Production.P3Y2C3,19)="","",INDEX(I.Production.P3Y2C3,19))</f>
        <v/>
      </c>
      <c r="G1081" s="25"/>
      <c r="H1081" s="1" t="str">
        <f t="shared" si="25"/>
        <v>Complete</v>
      </c>
      <c r="I1081" s="48" t="s">
        <v>1891</v>
      </c>
    </row>
    <row r="1082" spans="2:9" ht="15" customHeight="1" x14ac:dyDescent="0.25">
      <c r="B1082" s="26" t="s">
        <v>369</v>
      </c>
      <c r="C1082" s="1">
        <v>20</v>
      </c>
      <c r="D1082" s="27" t="s">
        <v>3143</v>
      </c>
      <c r="E1082" s="25"/>
      <c r="F1082" s="25" t="str">
        <f>IF(INDEX(I.Production.P3Y2C3,20)="","",INDEX(I.Production.P3Y2C3,20))</f>
        <v/>
      </c>
      <c r="G1082" s="25"/>
      <c r="H1082" s="1" t="str">
        <f t="shared" si="25"/>
        <v>Complete</v>
      </c>
      <c r="I1082" s="48" t="s">
        <v>1892</v>
      </c>
    </row>
    <row r="1083" spans="2:9" ht="15" customHeight="1" x14ac:dyDescent="0.25">
      <c r="B1083" s="34" t="s">
        <v>369</v>
      </c>
      <c r="C1083" s="35">
        <v>21</v>
      </c>
      <c r="D1083" s="46" t="s">
        <v>3143</v>
      </c>
      <c r="E1083" s="45"/>
      <c r="F1083" s="45" t="str">
        <f>IF(INDEX(I.Production.P3Y2C3,21)="","",INDEX(I.Production.P3Y2C3,21))</f>
        <v/>
      </c>
      <c r="G1083" s="45"/>
      <c r="H1083" s="35" t="str">
        <f t="shared" si="25"/>
        <v>Complete</v>
      </c>
      <c r="I1083" s="49" t="s">
        <v>1893</v>
      </c>
    </row>
    <row r="1084" spans="2:9" ht="15" customHeight="1" x14ac:dyDescent="0.25">
      <c r="B1084" s="26" t="s">
        <v>370</v>
      </c>
      <c r="C1084" s="1">
        <v>1</v>
      </c>
      <c r="D1084" s="27" t="s">
        <v>3144</v>
      </c>
      <c r="E1084" s="25"/>
      <c r="F1084" s="25" t="str">
        <f>IF(INDEX(I.Production.P3Y3C3,1)="","",INDEX(I.Production.P3Y3C3,1))</f>
        <v/>
      </c>
      <c r="G1084" s="25"/>
      <c r="H1084" s="1" t="str">
        <f t="shared" ref="H1084:H1104" si="26">IF(AND(I.Facility.ProductCount&gt;=3,I.Developer.P3C3=TRUE,I.Product.P3Status&lt;&gt;"Yes",F1084=""),"Incomplete","Complete")</f>
        <v>Complete</v>
      </c>
      <c r="I1084" s="48" t="s">
        <v>1894</v>
      </c>
    </row>
    <row r="1085" spans="2:9" ht="15" customHeight="1" x14ac:dyDescent="0.25">
      <c r="B1085" s="26" t="s">
        <v>370</v>
      </c>
      <c r="C1085" s="1">
        <v>2</v>
      </c>
      <c r="D1085" s="27" t="s">
        <v>3144</v>
      </c>
      <c r="E1085" s="25"/>
      <c r="F1085" s="25" t="str">
        <f>IF(INDEX(I.Production.P3Y3C3,2)="","",INDEX(I.Production.P3Y3C3,2))</f>
        <v/>
      </c>
      <c r="G1085" s="25"/>
      <c r="H1085" s="1" t="str">
        <f t="shared" si="26"/>
        <v>Complete</v>
      </c>
      <c r="I1085" s="48" t="s">
        <v>1895</v>
      </c>
    </row>
    <row r="1086" spans="2:9" ht="15" customHeight="1" x14ac:dyDescent="0.25">
      <c r="B1086" s="26" t="s">
        <v>370</v>
      </c>
      <c r="C1086" s="1">
        <v>3</v>
      </c>
      <c r="D1086" s="27" t="s">
        <v>3144</v>
      </c>
      <c r="E1086" s="25"/>
      <c r="F1086" s="25" t="str">
        <f>IF(INDEX(I.Production.P3Y3C3,3)="","",INDEX(I.Production.P3Y3C3,3))</f>
        <v/>
      </c>
      <c r="G1086" s="25"/>
      <c r="H1086" s="1" t="str">
        <f t="shared" si="26"/>
        <v>Complete</v>
      </c>
      <c r="I1086" s="48" t="s">
        <v>1896</v>
      </c>
    </row>
    <row r="1087" spans="2:9" ht="15" customHeight="1" x14ac:dyDescent="0.25">
      <c r="B1087" s="26" t="s">
        <v>370</v>
      </c>
      <c r="C1087" s="1">
        <v>4</v>
      </c>
      <c r="D1087" s="27" t="s">
        <v>3144</v>
      </c>
      <c r="E1087" s="25"/>
      <c r="F1087" s="25" t="str">
        <f>IF(INDEX(I.Production.P3Y3C3,4)="","",INDEX(I.Production.P3Y3C3,4))</f>
        <v/>
      </c>
      <c r="G1087" s="25"/>
      <c r="H1087" s="1" t="str">
        <f t="shared" si="26"/>
        <v>Complete</v>
      </c>
      <c r="I1087" s="48" t="s">
        <v>1897</v>
      </c>
    </row>
    <row r="1088" spans="2:9" ht="15" customHeight="1" x14ac:dyDescent="0.25">
      <c r="B1088" s="26" t="s">
        <v>370</v>
      </c>
      <c r="C1088" s="1">
        <v>5</v>
      </c>
      <c r="D1088" s="27" t="s">
        <v>3144</v>
      </c>
      <c r="E1088" s="25"/>
      <c r="F1088" s="25" t="str">
        <f>IF(INDEX(I.Production.P3Y3C3,5)="","",INDEX(I.Production.P3Y3C3,5))</f>
        <v/>
      </c>
      <c r="G1088" s="25"/>
      <c r="H1088" s="1" t="str">
        <f t="shared" si="26"/>
        <v>Complete</v>
      </c>
      <c r="I1088" s="48" t="s">
        <v>1898</v>
      </c>
    </row>
    <row r="1089" spans="2:9" ht="15" customHeight="1" x14ac:dyDescent="0.25">
      <c r="B1089" s="26" t="s">
        <v>370</v>
      </c>
      <c r="C1089" s="1">
        <v>6</v>
      </c>
      <c r="D1089" s="27" t="s">
        <v>3144</v>
      </c>
      <c r="E1089" s="25"/>
      <c r="F1089" s="25" t="str">
        <f>IF(INDEX(I.Production.P3Y3C3,6)="","",INDEX(I.Production.P3Y3C3,6))</f>
        <v/>
      </c>
      <c r="G1089" s="25"/>
      <c r="H1089" s="1" t="str">
        <f t="shared" si="26"/>
        <v>Complete</v>
      </c>
      <c r="I1089" s="48" t="s">
        <v>1899</v>
      </c>
    </row>
    <row r="1090" spans="2:9" ht="15" customHeight="1" x14ac:dyDescent="0.25">
      <c r="B1090" s="26" t="s">
        <v>370</v>
      </c>
      <c r="C1090" s="1">
        <v>7</v>
      </c>
      <c r="D1090" s="27" t="s">
        <v>3144</v>
      </c>
      <c r="E1090" s="25"/>
      <c r="F1090" s="25" t="str">
        <f>IF(INDEX(I.Production.P3Y3C3,7)="","",INDEX(I.Production.P3Y3C3,7))</f>
        <v/>
      </c>
      <c r="G1090" s="25"/>
      <c r="H1090" s="1" t="str">
        <f t="shared" si="26"/>
        <v>Complete</v>
      </c>
      <c r="I1090" s="48" t="s">
        <v>1900</v>
      </c>
    </row>
    <row r="1091" spans="2:9" ht="15" customHeight="1" x14ac:dyDescent="0.25">
      <c r="B1091" s="26" t="s">
        <v>370</v>
      </c>
      <c r="C1091" s="1">
        <v>8</v>
      </c>
      <c r="D1091" s="27" t="s">
        <v>3144</v>
      </c>
      <c r="E1091" s="25"/>
      <c r="F1091" s="25" t="str">
        <f>IF(INDEX(I.Production.P3Y3C3,8)="","",INDEX(I.Production.P3Y3C3,8))</f>
        <v/>
      </c>
      <c r="G1091" s="25"/>
      <c r="H1091" s="1" t="str">
        <f t="shared" si="26"/>
        <v>Complete</v>
      </c>
      <c r="I1091" s="48" t="s">
        <v>1901</v>
      </c>
    </row>
    <row r="1092" spans="2:9" ht="15" customHeight="1" x14ac:dyDescent="0.25">
      <c r="B1092" s="26" t="s">
        <v>370</v>
      </c>
      <c r="C1092" s="1">
        <v>9</v>
      </c>
      <c r="D1092" s="27" t="s">
        <v>3144</v>
      </c>
      <c r="E1092" s="25"/>
      <c r="F1092" s="25" t="str">
        <f>IF(INDEX(I.Production.P3Y3C3,9)="","",INDEX(I.Production.P3Y3C3,9))</f>
        <v/>
      </c>
      <c r="G1092" s="25"/>
      <c r="H1092" s="1" t="str">
        <f t="shared" si="26"/>
        <v>Complete</v>
      </c>
      <c r="I1092" s="48" t="s">
        <v>1902</v>
      </c>
    </row>
    <row r="1093" spans="2:9" ht="15" customHeight="1" x14ac:dyDescent="0.25">
      <c r="B1093" s="26" t="s">
        <v>370</v>
      </c>
      <c r="C1093" s="1">
        <v>10</v>
      </c>
      <c r="D1093" s="27" t="s">
        <v>3144</v>
      </c>
      <c r="E1093" s="25"/>
      <c r="F1093" s="25" t="str">
        <f>IF(INDEX(I.Production.P3Y3C3,10)="","",INDEX(I.Production.P3Y3C3,10))</f>
        <v/>
      </c>
      <c r="G1093" s="25"/>
      <c r="H1093" s="1" t="str">
        <f t="shared" si="26"/>
        <v>Complete</v>
      </c>
      <c r="I1093" s="48" t="s">
        <v>1903</v>
      </c>
    </row>
    <row r="1094" spans="2:9" ht="15" customHeight="1" x14ac:dyDescent="0.25">
      <c r="B1094" s="26" t="s">
        <v>370</v>
      </c>
      <c r="C1094" s="1">
        <v>11</v>
      </c>
      <c r="D1094" s="27" t="s">
        <v>3144</v>
      </c>
      <c r="E1094" s="25"/>
      <c r="F1094" s="25" t="str">
        <f>IF(INDEX(I.Production.P3Y3C3,11)="","",INDEX(I.Production.P3Y3C3,11))</f>
        <v/>
      </c>
      <c r="G1094" s="25"/>
      <c r="H1094" s="1" t="str">
        <f t="shared" si="26"/>
        <v>Complete</v>
      </c>
      <c r="I1094" s="48" t="s">
        <v>1904</v>
      </c>
    </row>
    <row r="1095" spans="2:9" ht="15" customHeight="1" x14ac:dyDescent="0.25">
      <c r="B1095" s="26" t="s">
        <v>370</v>
      </c>
      <c r="C1095" s="1">
        <v>12</v>
      </c>
      <c r="D1095" s="27" t="s">
        <v>3144</v>
      </c>
      <c r="E1095" s="25"/>
      <c r="F1095" s="25" t="str">
        <f>IF(INDEX(I.Production.P3Y3C3,12)="","",INDEX(I.Production.P3Y3C3,12))</f>
        <v/>
      </c>
      <c r="G1095" s="25"/>
      <c r="H1095" s="1" t="str">
        <f t="shared" si="26"/>
        <v>Complete</v>
      </c>
      <c r="I1095" s="48" t="s">
        <v>1905</v>
      </c>
    </row>
    <row r="1096" spans="2:9" ht="15" customHeight="1" x14ac:dyDescent="0.25">
      <c r="B1096" s="26" t="s">
        <v>370</v>
      </c>
      <c r="C1096" s="1">
        <v>13</v>
      </c>
      <c r="D1096" s="27" t="s">
        <v>3144</v>
      </c>
      <c r="E1096" s="25"/>
      <c r="F1096" s="25" t="str">
        <f>IF(INDEX(I.Production.P3Y3C3,13)="","",INDEX(I.Production.P3Y3C3,13))</f>
        <v/>
      </c>
      <c r="G1096" s="25"/>
      <c r="H1096" s="1" t="str">
        <f t="shared" si="26"/>
        <v>Complete</v>
      </c>
      <c r="I1096" s="48" t="s">
        <v>1906</v>
      </c>
    </row>
    <row r="1097" spans="2:9" ht="15" customHeight="1" x14ac:dyDescent="0.25">
      <c r="B1097" s="26" t="s">
        <v>370</v>
      </c>
      <c r="C1097" s="1">
        <v>14</v>
      </c>
      <c r="D1097" s="27" t="s">
        <v>3144</v>
      </c>
      <c r="E1097" s="25"/>
      <c r="F1097" s="25" t="str">
        <f>IF(INDEX(I.Production.P3Y3C3,14)="","",INDEX(I.Production.P3Y3C3,14))</f>
        <v/>
      </c>
      <c r="G1097" s="25"/>
      <c r="H1097" s="1" t="str">
        <f t="shared" si="26"/>
        <v>Complete</v>
      </c>
      <c r="I1097" s="48" t="s">
        <v>1907</v>
      </c>
    </row>
    <row r="1098" spans="2:9" ht="15" customHeight="1" x14ac:dyDescent="0.25">
      <c r="B1098" s="26" t="s">
        <v>370</v>
      </c>
      <c r="C1098" s="1">
        <v>15</v>
      </c>
      <c r="D1098" s="27" t="s">
        <v>3144</v>
      </c>
      <c r="E1098" s="25"/>
      <c r="F1098" s="25" t="str">
        <f>IF(INDEX(I.Production.P3Y3C3,15)="","",INDEX(I.Production.P3Y3C3,15))</f>
        <v/>
      </c>
      <c r="G1098" s="25"/>
      <c r="H1098" s="1" t="str">
        <f t="shared" si="26"/>
        <v>Complete</v>
      </c>
      <c r="I1098" s="48" t="s">
        <v>1908</v>
      </c>
    </row>
    <row r="1099" spans="2:9" ht="15" customHeight="1" x14ac:dyDescent="0.25">
      <c r="B1099" s="26" t="s">
        <v>370</v>
      </c>
      <c r="C1099" s="1">
        <v>16</v>
      </c>
      <c r="D1099" s="27" t="s">
        <v>3144</v>
      </c>
      <c r="E1099" s="25"/>
      <c r="F1099" s="25" t="str">
        <f>IF(INDEX(I.Production.P3Y3C3,16)="","",INDEX(I.Production.P3Y3C3,16))</f>
        <v/>
      </c>
      <c r="G1099" s="25"/>
      <c r="H1099" s="1" t="str">
        <f t="shared" si="26"/>
        <v>Complete</v>
      </c>
      <c r="I1099" s="48" t="s">
        <v>1909</v>
      </c>
    </row>
    <row r="1100" spans="2:9" ht="15" customHeight="1" x14ac:dyDescent="0.25">
      <c r="B1100" s="26" t="s">
        <v>370</v>
      </c>
      <c r="C1100" s="1">
        <v>17</v>
      </c>
      <c r="D1100" s="27" t="s">
        <v>3144</v>
      </c>
      <c r="E1100" s="25"/>
      <c r="F1100" s="25" t="str">
        <f>IF(INDEX(I.Production.P3Y3C3,17)="","",INDEX(I.Production.P3Y3C3,17))</f>
        <v/>
      </c>
      <c r="G1100" s="25"/>
      <c r="H1100" s="1" t="str">
        <f t="shared" si="26"/>
        <v>Complete</v>
      </c>
      <c r="I1100" s="48" t="s">
        <v>1910</v>
      </c>
    </row>
    <row r="1101" spans="2:9" ht="15" customHeight="1" x14ac:dyDescent="0.25">
      <c r="B1101" s="26" t="s">
        <v>370</v>
      </c>
      <c r="C1101" s="1">
        <v>18</v>
      </c>
      <c r="D1101" s="27" t="s">
        <v>3144</v>
      </c>
      <c r="E1101" s="25"/>
      <c r="F1101" s="25" t="str">
        <f>IF(INDEX(I.Production.P3Y3C3,18)="","",INDEX(I.Production.P3Y3C3,18))</f>
        <v/>
      </c>
      <c r="G1101" s="25"/>
      <c r="H1101" s="1" t="str">
        <f t="shared" si="26"/>
        <v>Complete</v>
      </c>
      <c r="I1101" s="48" t="s">
        <v>1911</v>
      </c>
    </row>
    <row r="1102" spans="2:9" ht="15" customHeight="1" x14ac:dyDescent="0.25">
      <c r="B1102" s="26" t="s">
        <v>370</v>
      </c>
      <c r="C1102" s="1">
        <v>19</v>
      </c>
      <c r="D1102" s="27" t="s">
        <v>3144</v>
      </c>
      <c r="E1102" s="25"/>
      <c r="F1102" s="25" t="str">
        <f>IF(INDEX(I.Production.P3Y3C3,19)="","",INDEX(I.Production.P3Y3C3,19))</f>
        <v/>
      </c>
      <c r="G1102" s="25"/>
      <c r="H1102" s="1" t="str">
        <f t="shared" si="26"/>
        <v>Complete</v>
      </c>
      <c r="I1102" s="48" t="s">
        <v>1912</v>
      </c>
    </row>
    <row r="1103" spans="2:9" ht="15" customHeight="1" x14ac:dyDescent="0.25">
      <c r="B1103" s="26" t="s">
        <v>370</v>
      </c>
      <c r="C1103" s="1">
        <v>20</v>
      </c>
      <c r="D1103" s="27" t="s">
        <v>3144</v>
      </c>
      <c r="E1103" s="25"/>
      <c r="F1103" s="25" t="str">
        <f>IF(INDEX(I.Production.P3Y3C3,20)="","",INDEX(I.Production.P3Y3C3,20))</f>
        <v/>
      </c>
      <c r="G1103" s="25"/>
      <c r="H1103" s="1" t="str">
        <f t="shared" si="26"/>
        <v>Complete</v>
      </c>
      <c r="I1103" s="48" t="s">
        <v>1913</v>
      </c>
    </row>
    <row r="1104" spans="2:9" ht="15" customHeight="1" x14ac:dyDescent="0.25">
      <c r="B1104" s="34" t="s">
        <v>370</v>
      </c>
      <c r="C1104" s="35">
        <v>21</v>
      </c>
      <c r="D1104" s="46" t="s">
        <v>3144</v>
      </c>
      <c r="E1104" s="45"/>
      <c r="F1104" s="45" t="str">
        <f>IF(INDEX(I.Production.P3Y3C3,21)="","",INDEX(I.Production.P3Y3C3,21))</f>
        <v/>
      </c>
      <c r="G1104" s="45"/>
      <c r="H1104" s="35" t="str">
        <f t="shared" si="26"/>
        <v>Complete</v>
      </c>
      <c r="I1104" s="49" t="s">
        <v>1914</v>
      </c>
    </row>
    <row r="1105" spans="2:9" ht="15" customHeight="1" x14ac:dyDescent="0.25">
      <c r="B1105" s="26" t="s">
        <v>371</v>
      </c>
      <c r="C1105" s="1">
        <v>1</v>
      </c>
      <c r="D1105" s="27" t="s">
        <v>3145</v>
      </c>
      <c r="E1105" s="25"/>
      <c r="F1105" s="25" t="str">
        <f>IF(INDEX(I.Production.P3Y1C4,1)="","",INDEX(I.Production.P3Y1C4,1))</f>
        <v/>
      </c>
      <c r="G1105" s="25"/>
      <c r="H1105" s="1" t="str">
        <f t="shared" ref="H1105:H1110" si="27">IF(AND(I.Facility.ProductCount&gt;=3,I.Developer.P3C4=TRUE,F1105=""),"Incomplete","Complete")</f>
        <v>Complete</v>
      </c>
      <c r="I1105" s="48" t="s">
        <v>1915</v>
      </c>
    </row>
    <row r="1106" spans="2:9" ht="15" customHeight="1" x14ac:dyDescent="0.25">
      <c r="B1106" s="26" t="s">
        <v>371</v>
      </c>
      <c r="C1106" s="1">
        <v>2</v>
      </c>
      <c r="D1106" s="27" t="s">
        <v>3145</v>
      </c>
      <c r="E1106" s="25"/>
      <c r="F1106" s="25" t="str">
        <f>IF(INDEX(I.Production.P3Y1C4,2)="","",INDEX(I.Production.P3Y1C4,2))</f>
        <v/>
      </c>
      <c r="G1106" s="25"/>
      <c r="H1106" s="1" t="str">
        <f t="shared" si="27"/>
        <v>Complete</v>
      </c>
      <c r="I1106" s="48" t="s">
        <v>1916</v>
      </c>
    </row>
    <row r="1107" spans="2:9" ht="15" customHeight="1" x14ac:dyDescent="0.25">
      <c r="B1107" s="34" t="s">
        <v>371</v>
      </c>
      <c r="C1107" s="35">
        <v>3</v>
      </c>
      <c r="D1107" s="46" t="s">
        <v>3145</v>
      </c>
      <c r="E1107" s="45"/>
      <c r="F1107" s="45" t="str">
        <f>IF(INDEX(I.Production.P3Y1C4,3)="","",INDEX(I.Production.P3Y1C4,3))</f>
        <v/>
      </c>
      <c r="G1107" s="45"/>
      <c r="H1107" s="35" t="str">
        <f t="shared" si="27"/>
        <v>Complete</v>
      </c>
      <c r="I1107" s="49" t="s">
        <v>1917</v>
      </c>
    </row>
    <row r="1108" spans="2:9" ht="15" customHeight="1" x14ac:dyDescent="0.25">
      <c r="B1108" s="26" t="s">
        <v>372</v>
      </c>
      <c r="C1108" s="1">
        <v>1</v>
      </c>
      <c r="D1108" s="27" t="s">
        <v>3146</v>
      </c>
      <c r="E1108" s="25"/>
      <c r="F1108" s="25" t="str">
        <f>IF(INDEX(I.Production.P3Y2C4,1)="","",INDEX(I.Production.P3Y2C4,1))</f>
        <v/>
      </c>
      <c r="G1108" s="25"/>
      <c r="H1108" s="1" t="str">
        <f t="shared" si="27"/>
        <v>Complete</v>
      </c>
      <c r="I1108" s="48" t="s">
        <v>1918</v>
      </c>
    </row>
    <row r="1109" spans="2:9" ht="15" customHeight="1" x14ac:dyDescent="0.25">
      <c r="B1109" s="26" t="s">
        <v>372</v>
      </c>
      <c r="C1109" s="1">
        <v>2</v>
      </c>
      <c r="D1109" s="27" t="s">
        <v>3146</v>
      </c>
      <c r="E1109" s="25"/>
      <c r="F1109" s="25" t="str">
        <f>IF(INDEX(I.Production.P3Y2C4,2)="","",INDEX(I.Production.P3Y2C4,2))</f>
        <v/>
      </c>
      <c r="G1109" s="25"/>
      <c r="H1109" s="1" t="str">
        <f t="shared" si="27"/>
        <v>Complete</v>
      </c>
      <c r="I1109" s="48" t="s">
        <v>1919</v>
      </c>
    </row>
    <row r="1110" spans="2:9" ht="15" customHeight="1" x14ac:dyDescent="0.25">
      <c r="B1110" s="34" t="s">
        <v>372</v>
      </c>
      <c r="C1110" s="35">
        <v>3</v>
      </c>
      <c r="D1110" s="46" t="s">
        <v>3146</v>
      </c>
      <c r="E1110" s="45"/>
      <c r="F1110" s="45" t="str">
        <f>IF(INDEX(I.Production.P3Y2C4,3)="","",INDEX(I.Production.P3Y2C4,3))</f>
        <v/>
      </c>
      <c r="G1110" s="45"/>
      <c r="H1110" s="35" t="str">
        <f t="shared" si="27"/>
        <v>Complete</v>
      </c>
      <c r="I1110" s="49" t="s">
        <v>1920</v>
      </c>
    </row>
    <row r="1111" spans="2:9" ht="15" customHeight="1" x14ac:dyDescent="0.25">
      <c r="B1111" s="26" t="s">
        <v>373</v>
      </c>
      <c r="C1111" s="1">
        <v>1</v>
      </c>
      <c r="D1111" s="27" t="s">
        <v>3147</v>
      </c>
      <c r="E1111" s="25"/>
      <c r="F1111" s="25" t="str">
        <f>IF(INDEX(I.Production.P3Y3C4,1)="","",INDEX(I.Production.P3Y3C4,1))</f>
        <v/>
      </c>
      <c r="G1111" s="25"/>
      <c r="H1111" s="1" t="str">
        <f>IF(AND(I.Facility.ProductCount&gt;=3,I.Developer.P3C4=TRUE,I.Product.P3Status&lt;&gt;"Yes",F1111=""),"Incomplete","Complete")</f>
        <v>Complete</v>
      </c>
      <c r="I1111" s="48" t="s">
        <v>1921</v>
      </c>
    </row>
    <row r="1112" spans="2:9" ht="15" customHeight="1" x14ac:dyDescent="0.25">
      <c r="B1112" s="26" t="s">
        <v>373</v>
      </c>
      <c r="C1112" s="1">
        <v>2</v>
      </c>
      <c r="D1112" s="27" t="s">
        <v>3147</v>
      </c>
      <c r="E1112" s="25"/>
      <c r="F1112" s="25" t="str">
        <f>IF(INDEX(I.Production.P3Y3C4,2)="","",INDEX(I.Production.P3Y3C4,2))</f>
        <v/>
      </c>
      <c r="G1112" s="25"/>
      <c r="H1112" s="1" t="str">
        <f>IF(AND(I.Facility.ProductCount&gt;=3,I.Developer.P3C4=TRUE,I.Product.P3Status&lt;&gt;"Yes",F1112=""),"Incomplete","Complete")</f>
        <v>Complete</v>
      </c>
      <c r="I1112" s="48" t="s">
        <v>1922</v>
      </c>
    </row>
    <row r="1113" spans="2:9" ht="15" customHeight="1" x14ac:dyDescent="0.25">
      <c r="B1113" s="34" t="s">
        <v>373</v>
      </c>
      <c r="C1113" s="35">
        <v>3</v>
      </c>
      <c r="D1113" s="46" t="s">
        <v>3147</v>
      </c>
      <c r="E1113" s="45"/>
      <c r="F1113" s="45" t="str">
        <f>IF(INDEX(I.Production.P3Y3C4,3)="","",INDEX(I.Production.P3Y3C4,3))</f>
        <v/>
      </c>
      <c r="G1113" s="45"/>
      <c r="H1113" s="35" t="str">
        <f>IF(AND(I.Facility.ProductCount&gt;=3,I.Developer.P3C4=TRUE,I.Product.P3Status&lt;&gt;"Yes",F1113=""),"Incomplete","Complete")</f>
        <v>Complete</v>
      </c>
      <c r="I1113" s="49" t="s">
        <v>1923</v>
      </c>
    </row>
    <row r="1114" spans="2:9" ht="15" customHeight="1" x14ac:dyDescent="0.25">
      <c r="B1114" s="26" t="s">
        <v>374</v>
      </c>
      <c r="C1114" s="1">
        <v>1</v>
      </c>
      <c r="D1114" s="27" t="s">
        <v>3148</v>
      </c>
      <c r="E1114" s="25"/>
      <c r="F1114" s="25" t="str">
        <f>IF(INDEX(I.Production.P3Y1C5,1)="","",INDEX(I.Production.P3Y1C5,1))</f>
        <v/>
      </c>
      <c r="G1114" s="25"/>
      <c r="H1114" s="1" t="str">
        <f t="shared" ref="H1114:H1119" si="28">IF(AND(I.Facility.ProductCount&gt;=3,I.Developer.P3C5=TRUE,F1114=""),"Incomplete","Complete")</f>
        <v>Complete</v>
      </c>
      <c r="I1114" s="48" t="s">
        <v>1924</v>
      </c>
    </row>
    <row r="1115" spans="2:9" ht="15" customHeight="1" x14ac:dyDescent="0.25">
      <c r="B1115" s="26" t="s">
        <v>374</v>
      </c>
      <c r="C1115" s="1">
        <v>2</v>
      </c>
      <c r="D1115" s="27" t="s">
        <v>3148</v>
      </c>
      <c r="E1115" s="25"/>
      <c r="F1115" s="25" t="str">
        <f>IF(INDEX(I.Production.P3Y1C5,2)="","",INDEX(I.Production.P3Y1C5,2))</f>
        <v/>
      </c>
      <c r="G1115" s="25"/>
      <c r="H1115" s="1" t="str">
        <f t="shared" si="28"/>
        <v>Complete</v>
      </c>
      <c r="I1115" s="48" t="s">
        <v>1925</v>
      </c>
    </row>
    <row r="1116" spans="2:9" ht="15" customHeight="1" x14ac:dyDescent="0.25">
      <c r="B1116" s="34" t="s">
        <v>374</v>
      </c>
      <c r="C1116" s="35">
        <v>3</v>
      </c>
      <c r="D1116" s="46" t="s">
        <v>3148</v>
      </c>
      <c r="E1116" s="45"/>
      <c r="F1116" s="45" t="str">
        <f>IF(INDEX(I.Production.P3Y1C5,3)="","",INDEX(I.Production.P3Y1C5,3))</f>
        <v/>
      </c>
      <c r="G1116" s="45"/>
      <c r="H1116" s="35" t="str">
        <f t="shared" si="28"/>
        <v>Complete</v>
      </c>
      <c r="I1116" s="49" t="s">
        <v>1926</v>
      </c>
    </row>
    <row r="1117" spans="2:9" ht="15" customHeight="1" x14ac:dyDescent="0.25">
      <c r="B1117" s="26" t="s">
        <v>375</v>
      </c>
      <c r="C1117" s="1">
        <v>1</v>
      </c>
      <c r="D1117" s="27" t="s">
        <v>3149</v>
      </c>
      <c r="E1117" s="25"/>
      <c r="F1117" s="25" t="str">
        <f>IF(INDEX(I.Production.P3Y2C5,1)="","",INDEX(I.Production.P3Y2C5,1))</f>
        <v/>
      </c>
      <c r="G1117" s="25"/>
      <c r="H1117" s="1" t="str">
        <f t="shared" si="28"/>
        <v>Complete</v>
      </c>
      <c r="I1117" s="48" t="s">
        <v>1927</v>
      </c>
    </row>
    <row r="1118" spans="2:9" ht="15" customHeight="1" x14ac:dyDescent="0.25">
      <c r="B1118" s="26" t="s">
        <v>375</v>
      </c>
      <c r="C1118" s="1">
        <v>2</v>
      </c>
      <c r="D1118" s="27" t="s">
        <v>3149</v>
      </c>
      <c r="E1118" s="25"/>
      <c r="F1118" s="25" t="str">
        <f>IF(INDEX(I.Production.P3Y2C5,2)="","",INDEX(I.Production.P3Y2C5,2))</f>
        <v/>
      </c>
      <c r="G1118" s="25"/>
      <c r="H1118" s="1" t="str">
        <f t="shared" si="28"/>
        <v>Complete</v>
      </c>
      <c r="I1118" s="48" t="s">
        <v>1928</v>
      </c>
    </row>
    <row r="1119" spans="2:9" ht="15" customHeight="1" x14ac:dyDescent="0.25">
      <c r="B1119" s="34" t="s">
        <v>375</v>
      </c>
      <c r="C1119" s="35">
        <v>3</v>
      </c>
      <c r="D1119" s="46" t="s">
        <v>3149</v>
      </c>
      <c r="E1119" s="45"/>
      <c r="F1119" s="45" t="str">
        <f>IF(INDEX(I.Production.P3Y2C5,3)="","",INDEX(I.Production.P3Y2C5,3))</f>
        <v/>
      </c>
      <c r="G1119" s="45"/>
      <c r="H1119" s="35" t="str">
        <f t="shared" si="28"/>
        <v>Complete</v>
      </c>
      <c r="I1119" s="49" t="s">
        <v>1929</v>
      </c>
    </row>
    <row r="1120" spans="2:9" ht="15" customHeight="1" x14ac:dyDescent="0.25">
      <c r="B1120" s="26" t="s">
        <v>376</v>
      </c>
      <c r="C1120" s="1">
        <v>1</v>
      </c>
      <c r="D1120" s="27" t="s">
        <v>3150</v>
      </c>
      <c r="E1120" s="25"/>
      <c r="F1120" s="25" t="str">
        <f>IF(INDEX(I.Production.P3Y3C5,1)="","",INDEX(I.Production.P3Y3C5,1))</f>
        <v/>
      </c>
      <c r="G1120" s="25"/>
      <c r="H1120" s="1" t="str">
        <f>IF(AND(I.Facility.ProductCount&gt;=3,I.Developer.P3C5=TRUE,I.Product.P3Status&lt;&gt;"Yes",F1120=""),"Incomplete","Complete")</f>
        <v>Complete</v>
      </c>
      <c r="I1120" s="48" t="s">
        <v>1930</v>
      </c>
    </row>
    <row r="1121" spans="2:9" ht="15" customHeight="1" x14ac:dyDescent="0.25">
      <c r="B1121" s="26" t="s">
        <v>376</v>
      </c>
      <c r="C1121" s="1">
        <v>2</v>
      </c>
      <c r="D1121" s="27" t="s">
        <v>3150</v>
      </c>
      <c r="E1121" s="25"/>
      <c r="F1121" s="25" t="str">
        <f>IF(INDEX(I.Production.P3Y3C5,2)="","",INDEX(I.Production.P3Y3C5,2))</f>
        <v/>
      </c>
      <c r="G1121" s="25"/>
      <c r="H1121" s="1" t="str">
        <f>IF(AND(I.Facility.ProductCount&gt;=3,I.Developer.P3C5=TRUE,I.Product.P3Status&lt;&gt;"Yes",F1121=""),"Incomplete","Complete")</f>
        <v>Complete</v>
      </c>
      <c r="I1121" s="48" t="s">
        <v>1931</v>
      </c>
    </row>
    <row r="1122" spans="2:9" ht="15" customHeight="1" x14ac:dyDescent="0.25">
      <c r="B1122" s="34" t="s">
        <v>376</v>
      </c>
      <c r="C1122" s="35">
        <v>3</v>
      </c>
      <c r="D1122" s="46" t="s">
        <v>3150</v>
      </c>
      <c r="E1122" s="45"/>
      <c r="F1122" s="45" t="str">
        <f>IF(INDEX(I.Production.P3Y3C5,3)="","",INDEX(I.Production.P3Y3C5,3))</f>
        <v/>
      </c>
      <c r="G1122" s="45"/>
      <c r="H1122" s="35" t="str">
        <f>IF(AND(I.Facility.ProductCount&gt;=3,I.Developer.P3C5=TRUE,I.Product.P3Status&lt;&gt;"Yes",F1122=""),"Incomplete","Complete")</f>
        <v>Complete</v>
      </c>
      <c r="I1122" s="49" t="s">
        <v>1932</v>
      </c>
    </row>
    <row r="1123" spans="2:9" ht="15" customHeight="1" x14ac:dyDescent="0.25">
      <c r="B1123" s="26" t="s">
        <v>377</v>
      </c>
      <c r="C1123" s="1">
        <v>1</v>
      </c>
      <c r="D1123" s="27" t="s">
        <v>3151</v>
      </c>
      <c r="E1123" s="25"/>
      <c r="F1123" s="25" t="str">
        <f>IF(INDEX(I.Production.P3Y1C6,1)="","",INDEX(I.Production.P3Y1C6,1))</f>
        <v/>
      </c>
      <c r="G1123" s="25"/>
      <c r="H1123" s="1" t="str">
        <f t="shared" ref="H1123:H1128" si="29">IF(AND(I.Facility.ProductCount&gt;=3,I.Developer.P3C6=TRUE,F1123=""),"Incomplete","Complete")</f>
        <v>Complete</v>
      </c>
      <c r="I1123" s="48" t="s">
        <v>1933</v>
      </c>
    </row>
    <row r="1124" spans="2:9" ht="15" customHeight="1" x14ac:dyDescent="0.25">
      <c r="B1124" s="26" t="s">
        <v>377</v>
      </c>
      <c r="C1124" s="1">
        <v>2</v>
      </c>
      <c r="D1124" s="27" t="s">
        <v>3151</v>
      </c>
      <c r="E1124" s="25"/>
      <c r="F1124" s="25" t="str">
        <f>IF(INDEX(I.Production.P3Y1C6,2)="","",INDEX(I.Production.P3Y1C6,2))</f>
        <v/>
      </c>
      <c r="G1124" s="25"/>
      <c r="H1124" s="1" t="str">
        <f t="shared" si="29"/>
        <v>Complete</v>
      </c>
      <c r="I1124" s="48" t="s">
        <v>1934</v>
      </c>
    </row>
    <row r="1125" spans="2:9" ht="15" customHeight="1" x14ac:dyDescent="0.25">
      <c r="B1125" s="34" t="s">
        <v>377</v>
      </c>
      <c r="C1125" s="35">
        <v>3</v>
      </c>
      <c r="D1125" s="46" t="s">
        <v>3151</v>
      </c>
      <c r="E1125" s="45"/>
      <c r="F1125" s="45" t="str">
        <f>IF(INDEX(I.Production.P3Y1C6,3)="","",INDEX(I.Production.P3Y1C6,3))</f>
        <v/>
      </c>
      <c r="G1125" s="45"/>
      <c r="H1125" s="35" t="str">
        <f t="shared" si="29"/>
        <v>Complete</v>
      </c>
      <c r="I1125" s="49" t="s">
        <v>1935</v>
      </c>
    </row>
    <row r="1126" spans="2:9" ht="15" customHeight="1" x14ac:dyDescent="0.25">
      <c r="B1126" s="26" t="s">
        <v>378</v>
      </c>
      <c r="C1126" s="1">
        <v>1</v>
      </c>
      <c r="D1126" s="27" t="s">
        <v>3152</v>
      </c>
      <c r="E1126" s="25"/>
      <c r="F1126" s="25" t="str">
        <f>IF(INDEX(I.Production.P3Y2C6,1)="","",INDEX(I.Production.P3Y2C6,1))</f>
        <v/>
      </c>
      <c r="G1126" s="25"/>
      <c r="H1126" s="1" t="str">
        <f t="shared" si="29"/>
        <v>Complete</v>
      </c>
      <c r="I1126" s="48" t="s">
        <v>1936</v>
      </c>
    </row>
    <row r="1127" spans="2:9" ht="15" customHeight="1" x14ac:dyDescent="0.25">
      <c r="B1127" s="26" t="s">
        <v>378</v>
      </c>
      <c r="C1127" s="1">
        <v>2</v>
      </c>
      <c r="D1127" s="27" t="s">
        <v>3152</v>
      </c>
      <c r="E1127" s="25"/>
      <c r="F1127" s="25" t="str">
        <f>IF(INDEX(I.Production.P3Y2C6,2)="","",INDEX(I.Production.P3Y2C6,2))</f>
        <v/>
      </c>
      <c r="G1127" s="25"/>
      <c r="H1127" s="1" t="str">
        <f t="shared" si="29"/>
        <v>Complete</v>
      </c>
      <c r="I1127" s="48" t="s">
        <v>1937</v>
      </c>
    </row>
    <row r="1128" spans="2:9" ht="15" customHeight="1" x14ac:dyDescent="0.25">
      <c r="B1128" s="34" t="s">
        <v>378</v>
      </c>
      <c r="C1128" s="35">
        <v>3</v>
      </c>
      <c r="D1128" s="46" t="s">
        <v>3152</v>
      </c>
      <c r="E1128" s="45"/>
      <c r="F1128" s="45" t="str">
        <f>IF(INDEX(I.Production.P3Y2C6,3)="","",INDEX(I.Production.P3Y2C6,3))</f>
        <v/>
      </c>
      <c r="G1128" s="45"/>
      <c r="H1128" s="35" t="str">
        <f t="shared" si="29"/>
        <v>Complete</v>
      </c>
      <c r="I1128" s="49" t="s">
        <v>1938</v>
      </c>
    </row>
    <row r="1129" spans="2:9" ht="15" customHeight="1" x14ac:dyDescent="0.25">
      <c r="B1129" s="26" t="s">
        <v>379</v>
      </c>
      <c r="C1129" s="1">
        <v>1</v>
      </c>
      <c r="D1129" s="27" t="s">
        <v>3153</v>
      </c>
      <c r="E1129" s="25"/>
      <c r="F1129" s="25" t="str">
        <f>IF(INDEX(I.Production.P3Y3C6,1)="","",INDEX(I.Production.P3Y3C6,1))</f>
        <v/>
      </c>
      <c r="G1129" s="25"/>
      <c r="H1129" s="1" t="str">
        <f>IF(AND(I.Facility.ProductCount&gt;=3,I.Developer.P3C6=TRUE,I.Product.P3Status&lt;&gt;"Yes",F1129=""),"Incomplete","Complete")</f>
        <v>Complete</v>
      </c>
      <c r="I1129" s="48" t="s">
        <v>1939</v>
      </c>
    </row>
    <row r="1130" spans="2:9" ht="15" customHeight="1" x14ac:dyDescent="0.25">
      <c r="B1130" s="26" t="s">
        <v>379</v>
      </c>
      <c r="C1130" s="1">
        <v>2</v>
      </c>
      <c r="D1130" s="27" t="s">
        <v>3153</v>
      </c>
      <c r="E1130" s="25"/>
      <c r="F1130" s="25" t="str">
        <f>IF(INDEX(I.Production.P3Y3C6,2)="","",INDEX(I.Production.P3Y3C6,2))</f>
        <v/>
      </c>
      <c r="G1130" s="25"/>
      <c r="H1130" s="1" t="str">
        <f>IF(AND(I.Facility.ProductCount&gt;=3,I.Developer.P3C6=TRUE,I.Product.P3Status&lt;&gt;"Yes",F1130=""),"Incomplete","Complete")</f>
        <v>Complete</v>
      </c>
      <c r="I1130" s="48" t="s">
        <v>1940</v>
      </c>
    </row>
    <row r="1131" spans="2:9" ht="15" customHeight="1" x14ac:dyDescent="0.25">
      <c r="B1131" s="34" t="s">
        <v>379</v>
      </c>
      <c r="C1131" s="35">
        <v>3</v>
      </c>
      <c r="D1131" s="46" t="s">
        <v>3153</v>
      </c>
      <c r="E1131" s="45"/>
      <c r="F1131" s="45" t="str">
        <f>IF(INDEX(I.Production.P3Y3C6,3)="","",INDEX(I.Production.P3Y3C6,3))</f>
        <v/>
      </c>
      <c r="G1131" s="45"/>
      <c r="H1131" s="35" t="str">
        <f>IF(AND(I.Facility.ProductCount&gt;=3,I.Developer.P3C6=TRUE,I.Product.P3Status&lt;&gt;"Yes",F1131=""),"Incomplete","Complete")</f>
        <v>Complete</v>
      </c>
      <c r="I1131" s="49" t="s">
        <v>1941</v>
      </c>
    </row>
    <row r="1132" spans="2:9" ht="15" customHeight="1" x14ac:dyDescent="0.25">
      <c r="B1132" s="26" t="s">
        <v>380</v>
      </c>
      <c r="C1132" s="1">
        <v>1</v>
      </c>
      <c r="D1132" s="27" t="s">
        <v>3154</v>
      </c>
      <c r="E1132" s="25"/>
      <c r="F1132" s="25" t="str">
        <f>IF(INDEX(I.Production.P3Y1C7,1)="","",INDEX(I.Production.P3Y1C7,1))</f>
        <v/>
      </c>
      <c r="G1132" s="25"/>
      <c r="H1132" s="1" t="str">
        <f t="shared" ref="H1132:H1137" si="30">IF(AND(I.Facility.ProductCount&gt;=3,I.Developer.P3C7=TRUE,F1132=""),"Incomplete","Complete")</f>
        <v>Complete</v>
      </c>
      <c r="I1132" s="48" t="s">
        <v>1942</v>
      </c>
    </row>
    <row r="1133" spans="2:9" ht="15" customHeight="1" x14ac:dyDescent="0.25">
      <c r="B1133" s="26" t="s">
        <v>380</v>
      </c>
      <c r="C1133" s="1">
        <v>2</v>
      </c>
      <c r="D1133" s="27" t="s">
        <v>3154</v>
      </c>
      <c r="E1133" s="25"/>
      <c r="F1133" s="25" t="str">
        <f>IF(INDEX(I.Production.P3Y1C7,2)="","",INDEX(I.Production.P3Y1C7,2))</f>
        <v/>
      </c>
      <c r="G1133" s="25"/>
      <c r="H1133" s="1" t="str">
        <f t="shared" si="30"/>
        <v>Complete</v>
      </c>
      <c r="I1133" s="48" t="s">
        <v>1943</v>
      </c>
    </row>
    <row r="1134" spans="2:9" ht="15" customHeight="1" x14ac:dyDescent="0.25">
      <c r="B1134" s="34" t="s">
        <v>380</v>
      </c>
      <c r="C1134" s="35">
        <v>3</v>
      </c>
      <c r="D1134" s="46" t="s">
        <v>3154</v>
      </c>
      <c r="E1134" s="45"/>
      <c r="F1134" s="45" t="str">
        <f>IF(INDEX(I.Production.P3Y1C7,3)="","",INDEX(I.Production.P3Y1C7,3))</f>
        <v/>
      </c>
      <c r="G1134" s="45"/>
      <c r="H1134" s="35" t="str">
        <f t="shared" si="30"/>
        <v>Complete</v>
      </c>
      <c r="I1134" s="49" t="s">
        <v>1944</v>
      </c>
    </row>
    <row r="1135" spans="2:9" ht="15" customHeight="1" x14ac:dyDescent="0.25">
      <c r="B1135" s="26" t="s">
        <v>381</v>
      </c>
      <c r="C1135" s="1">
        <v>1</v>
      </c>
      <c r="D1135" s="27" t="s">
        <v>3155</v>
      </c>
      <c r="E1135" s="25"/>
      <c r="F1135" s="25" t="str">
        <f>IF(INDEX(I.Production.P3Y2C7,1)="","",INDEX(I.Production.P3Y2C7,1))</f>
        <v/>
      </c>
      <c r="G1135" s="25"/>
      <c r="H1135" s="1" t="str">
        <f t="shared" si="30"/>
        <v>Complete</v>
      </c>
      <c r="I1135" s="48" t="s">
        <v>1945</v>
      </c>
    </row>
    <row r="1136" spans="2:9" ht="15" customHeight="1" x14ac:dyDescent="0.25">
      <c r="B1136" s="26" t="s">
        <v>381</v>
      </c>
      <c r="C1136" s="1">
        <v>2</v>
      </c>
      <c r="D1136" s="27" t="s">
        <v>3155</v>
      </c>
      <c r="E1136" s="25"/>
      <c r="F1136" s="25" t="str">
        <f>IF(INDEX(I.Production.P3Y2C7,2)="","",INDEX(I.Production.P3Y2C7,2))</f>
        <v/>
      </c>
      <c r="G1136" s="25"/>
      <c r="H1136" s="1" t="str">
        <f t="shared" si="30"/>
        <v>Complete</v>
      </c>
      <c r="I1136" s="48" t="s">
        <v>1946</v>
      </c>
    </row>
    <row r="1137" spans="2:9" ht="15" customHeight="1" x14ac:dyDescent="0.25">
      <c r="B1137" s="34" t="s">
        <v>381</v>
      </c>
      <c r="C1137" s="35">
        <v>3</v>
      </c>
      <c r="D1137" s="46" t="s">
        <v>3155</v>
      </c>
      <c r="E1137" s="45"/>
      <c r="F1137" s="45" t="str">
        <f>IF(INDEX(I.Production.P3Y2C7,3)="","",INDEX(I.Production.P3Y2C7,3))</f>
        <v/>
      </c>
      <c r="G1137" s="45"/>
      <c r="H1137" s="35" t="str">
        <f t="shared" si="30"/>
        <v>Complete</v>
      </c>
      <c r="I1137" s="49" t="s">
        <v>1947</v>
      </c>
    </row>
    <row r="1138" spans="2:9" ht="15" customHeight="1" x14ac:dyDescent="0.25">
      <c r="B1138" s="26" t="s">
        <v>382</v>
      </c>
      <c r="C1138" s="1">
        <v>1</v>
      </c>
      <c r="D1138" s="27" t="s">
        <v>3156</v>
      </c>
      <c r="E1138" s="25"/>
      <c r="F1138" s="25" t="str">
        <f>IF(INDEX(I.Production.P3Y3C7,1)="","",INDEX(I.Production.P3Y3C7,1))</f>
        <v/>
      </c>
      <c r="G1138" s="25"/>
      <c r="H1138" s="1" t="str">
        <f>IF(AND(I.Facility.ProductCount&gt;=3,I.Developer.P3C7=TRUE,I.Product.P3Status&lt;&gt;"Yes",F1138=""),"Incomplete","Complete")</f>
        <v>Complete</v>
      </c>
      <c r="I1138" s="48" t="s">
        <v>1948</v>
      </c>
    </row>
    <row r="1139" spans="2:9" ht="15" customHeight="1" x14ac:dyDescent="0.25">
      <c r="B1139" s="26" t="s">
        <v>382</v>
      </c>
      <c r="C1139" s="1">
        <v>2</v>
      </c>
      <c r="D1139" s="27" t="s">
        <v>3156</v>
      </c>
      <c r="E1139" s="25"/>
      <c r="F1139" s="25" t="str">
        <f>IF(INDEX(I.Production.P3Y3C7,2)="","",INDEX(I.Production.P3Y3C7,2))</f>
        <v/>
      </c>
      <c r="G1139" s="25"/>
      <c r="H1139" s="1" t="str">
        <f>IF(AND(I.Facility.ProductCount&gt;=3,I.Developer.P3C7=TRUE,I.Product.P3Status&lt;&gt;"Yes",F1139=""),"Incomplete","Complete")</f>
        <v>Complete</v>
      </c>
      <c r="I1139" s="48" t="s">
        <v>1949</v>
      </c>
    </row>
    <row r="1140" spans="2:9" ht="15" customHeight="1" x14ac:dyDescent="0.25">
      <c r="B1140" s="34" t="s">
        <v>382</v>
      </c>
      <c r="C1140" s="35">
        <v>3</v>
      </c>
      <c r="D1140" s="46" t="s">
        <v>3156</v>
      </c>
      <c r="E1140" s="45"/>
      <c r="F1140" s="45" t="str">
        <f>IF(INDEX(I.Production.P3Y3C7,3)="","",INDEX(I.Production.P3Y3C7,3))</f>
        <v/>
      </c>
      <c r="G1140" s="45"/>
      <c r="H1140" s="35" t="str">
        <f>IF(AND(I.Facility.ProductCount&gt;=3,I.Developer.P3C7=TRUE,I.Product.P3Status&lt;&gt;"Yes",F1140=""),"Incomplete","Complete")</f>
        <v>Complete</v>
      </c>
      <c r="I1140" s="49" t="s">
        <v>1950</v>
      </c>
    </row>
    <row r="1141" spans="2:9" ht="15" customHeight="1" x14ac:dyDescent="0.25">
      <c r="B1141" s="26" t="s">
        <v>383</v>
      </c>
      <c r="C1141" s="1">
        <v>1</v>
      </c>
      <c r="D1141" s="27" t="s">
        <v>3157</v>
      </c>
      <c r="E1141" s="25"/>
      <c r="F1141" s="25" t="str">
        <f>IF(INDEX(I.Production.P3Y1C8,1)="","",INDEX(I.Production.P3Y1C8,1))</f>
        <v/>
      </c>
      <c r="G1141" s="25"/>
      <c r="H1141" s="1" t="str">
        <f t="shared" ref="H1141:H1146" si="31">IF(AND(I.Facility.ProductCount&gt;=3,I.Developer.P3C8=TRUE,F1141=""),"Incomplete","Complete")</f>
        <v>Complete</v>
      </c>
      <c r="I1141" s="48" t="s">
        <v>1951</v>
      </c>
    </row>
    <row r="1142" spans="2:9" ht="15" customHeight="1" x14ac:dyDescent="0.25">
      <c r="B1142" s="26" t="s">
        <v>383</v>
      </c>
      <c r="C1142" s="1">
        <v>2</v>
      </c>
      <c r="D1142" s="27" t="s">
        <v>3157</v>
      </c>
      <c r="E1142" s="25"/>
      <c r="F1142" s="25" t="str">
        <f>IF(INDEX(I.Production.P3Y1C8,2)="","",INDEX(I.Production.P3Y1C8,2))</f>
        <v/>
      </c>
      <c r="G1142" s="25"/>
      <c r="H1142" s="1" t="str">
        <f t="shared" si="31"/>
        <v>Complete</v>
      </c>
      <c r="I1142" s="48" t="s">
        <v>1952</v>
      </c>
    </row>
    <row r="1143" spans="2:9" ht="15" customHeight="1" x14ac:dyDescent="0.25">
      <c r="B1143" s="34" t="s">
        <v>383</v>
      </c>
      <c r="C1143" s="35">
        <v>3</v>
      </c>
      <c r="D1143" s="46" t="s">
        <v>3157</v>
      </c>
      <c r="E1143" s="45"/>
      <c r="F1143" s="45" t="str">
        <f>IF(INDEX(I.Production.P3Y1C8,3)="","",INDEX(I.Production.P3Y1C8,3))</f>
        <v/>
      </c>
      <c r="G1143" s="45"/>
      <c r="H1143" s="35" t="str">
        <f t="shared" si="31"/>
        <v>Complete</v>
      </c>
      <c r="I1143" s="49" t="s">
        <v>1953</v>
      </c>
    </row>
    <row r="1144" spans="2:9" ht="15" customHeight="1" x14ac:dyDescent="0.25">
      <c r="B1144" s="26" t="s">
        <v>384</v>
      </c>
      <c r="C1144" s="1">
        <v>1</v>
      </c>
      <c r="D1144" s="27" t="s">
        <v>3158</v>
      </c>
      <c r="E1144" s="25"/>
      <c r="F1144" s="25" t="str">
        <f>IF(INDEX(I.Production.P3Y2C8,1)="","",INDEX(I.Production.P3Y2C8,1))</f>
        <v/>
      </c>
      <c r="G1144" s="25"/>
      <c r="H1144" s="1" t="str">
        <f t="shared" si="31"/>
        <v>Complete</v>
      </c>
      <c r="I1144" s="48" t="s">
        <v>1954</v>
      </c>
    </row>
    <row r="1145" spans="2:9" ht="15" customHeight="1" x14ac:dyDescent="0.25">
      <c r="B1145" s="26" t="s">
        <v>384</v>
      </c>
      <c r="C1145" s="1">
        <v>2</v>
      </c>
      <c r="D1145" s="27" t="s">
        <v>3158</v>
      </c>
      <c r="E1145" s="25"/>
      <c r="F1145" s="25" t="str">
        <f>IF(INDEX(I.Production.P3Y2C8,2)="","",INDEX(I.Production.P3Y2C8,2))</f>
        <v/>
      </c>
      <c r="G1145" s="25"/>
      <c r="H1145" s="1" t="str">
        <f t="shared" si="31"/>
        <v>Complete</v>
      </c>
      <c r="I1145" s="48" t="s">
        <v>1955</v>
      </c>
    </row>
    <row r="1146" spans="2:9" ht="15" customHeight="1" x14ac:dyDescent="0.25">
      <c r="B1146" s="34" t="s">
        <v>384</v>
      </c>
      <c r="C1146" s="35">
        <v>3</v>
      </c>
      <c r="D1146" s="46" t="s">
        <v>3158</v>
      </c>
      <c r="E1146" s="45"/>
      <c r="F1146" s="45" t="str">
        <f>IF(INDEX(I.Production.P3Y2C8,3)="","",INDEX(I.Production.P3Y2C8,3))</f>
        <v/>
      </c>
      <c r="G1146" s="45"/>
      <c r="H1146" s="35" t="str">
        <f t="shared" si="31"/>
        <v>Complete</v>
      </c>
      <c r="I1146" s="49" t="s">
        <v>1956</v>
      </c>
    </row>
    <row r="1147" spans="2:9" ht="15" customHeight="1" x14ac:dyDescent="0.25">
      <c r="B1147" s="26" t="s">
        <v>385</v>
      </c>
      <c r="C1147" s="1">
        <v>1</v>
      </c>
      <c r="D1147" s="27" t="s">
        <v>3159</v>
      </c>
      <c r="E1147" s="25"/>
      <c r="F1147" s="25" t="str">
        <f>IF(INDEX(I.Production.P3Y3C8,1)="","",INDEX(I.Production.P3Y3C8,1))</f>
        <v/>
      </c>
      <c r="G1147" s="25"/>
      <c r="H1147" s="1" t="str">
        <f>IF(AND(I.Facility.ProductCount&gt;=3,I.Developer.P3C8=TRUE,I.Product.P3Status&lt;&gt;"Yes",F1147=""),"Incomplete","Complete")</f>
        <v>Complete</v>
      </c>
      <c r="I1147" s="48" t="s">
        <v>1957</v>
      </c>
    </row>
    <row r="1148" spans="2:9" ht="15" customHeight="1" x14ac:dyDescent="0.25">
      <c r="B1148" s="26" t="s">
        <v>385</v>
      </c>
      <c r="C1148" s="1">
        <v>2</v>
      </c>
      <c r="D1148" s="27" t="s">
        <v>3159</v>
      </c>
      <c r="E1148" s="25"/>
      <c r="F1148" s="25" t="str">
        <f>IF(INDEX(I.Production.P3Y3C8,2)="","",INDEX(I.Production.P3Y3C8,2))</f>
        <v/>
      </c>
      <c r="G1148" s="25"/>
      <c r="H1148" s="1" t="str">
        <f>IF(AND(I.Facility.ProductCount&gt;=3,I.Developer.P3C8=TRUE,I.Product.P3Status&lt;&gt;"Yes",F1148=""),"Incomplete","Complete")</f>
        <v>Complete</v>
      </c>
      <c r="I1148" s="48" t="s">
        <v>1958</v>
      </c>
    </row>
    <row r="1149" spans="2:9" ht="15" customHeight="1" x14ac:dyDescent="0.25">
      <c r="B1149" s="34" t="s">
        <v>385</v>
      </c>
      <c r="C1149" s="35">
        <v>3</v>
      </c>
      <c r="D1149" s="46" t="s">
        <v>3159</v>
      </c>
      <c r="E1149" s="45"/>
      <c r="F1149" s="45" t="str">
        <f>IF(INDEX(I.Production.P3Y3C8,3)="","",INDEX(I.Production.P3Y3C8,3))</f>
        <v/>
      </c>
      <c r="G1149" s="45"/>
      <c r="H1149" s="35" t="str">
        <f>IF(AND(I.Facility.ProductCount&gt;=3,I.Developer.P3C8=TRUE,I.Product.P3Status&lt;&gt;"Yes",F1149=""),"Incomplete","Complete")</f>
        <v>Complete</v>
      </c>
      <c r="I1149" s="49" t="s">
        <v>1959</v>
      </c>
    </row>
    <row r="1150" spans="2:9" ht="15" customHeight="1" x14ac:dyDescent="0.25">
      <c r="B1150" s="26" t="s">
        <v>386</v>
      </c>
      <c r="C1150" s="1">
        <v>1</v>
      </c>
      <c r="D1150" s="27" t="s">
        <v>3160</v>
      </c>
      <c r="E1150" s="25"/>
      <c r="F1150" s="25" t="str">
        <f>IF(INDEX(I.Production.P3Y1C9,1)="","",INDEX(I.Production.P3Y1C9,1))</f>
        <v/>
      </c>
      <c r="G1150" s="25"/>
      <c r="H1150" s="1" t="str">
        <f t="shared" ref="H1150:H1155" si="32">IF(AND(I.Facility.ProductCount&gt;=3,I.Developer.P3C9=TRUE,F1150=""),"Incomplete","Complete")</f>
        <v>Complete</v>
      </c>
      <c r="I1150" s="48" t="s">
        <v>1960</v>
      </c>
    </row>
    <row r="1151" spans="2:9" ht="15" customHeight="1" x14ac:dyDescent="0.25">
      <c r="B1151" s="26" t="s">
        <v>386</v>
      </c>
      <c r="C1151" s="1">
        <v>2</v>
      </c>
      <c r="D1151" s="27" t="s">
        <v>3160</v>
      </c>
      <c r="E1151" s="25"/>
      <c r="F1151" s="25" t="str">
        <f>IF(INDEX(I.Production.P3Y1C9,2)="","",INDEX(I.Production.P3Y1C9,2))</f>
        <v/>
      </c>
      <c r="G1151" s="25"/>
      <c r="H1151" s="1" t="str">
        <f t="shared" si="32"/>
        <v>Complete</v>
      </c>
      <c r="I1151" s="48" t="s">
        <v>1961</v>
      </c>
    </row>
    <row r="1152" spans="2:9" ht="15" customHeight="1" x14ac:dyDescent="0.25">
      <c r="B1152" s="34" t="s">
        <v>386</v>
      </c>
      <c r="C1152" s="35">
        <v>3</v>
      </c>
      <c r="D1152" s="46" t="s">
        <v>3160</v>
      </c>
      <c r="E1152" s="45"/>
      <c r="F1152" s="45" t="str">
        <f>IF(INDEX(I.Production.P3Y1C9,3)="","",INDEX(I.Production.P3Y1C9,3))</f>
        <v/>
      </c>
      <c r="G1152" s="45"/>
      <c r="H1152" s="35" t="str">
        <f t="shared" si="32"/>
        <v>Complete</v>
      </c>
      <c r="I1152" s="49" t="s">
        <v>1962</v>
      </c>
    </row>
    <row r="1153" spans="2:9" ht="15" customHeight="1" x14ac:dyDescent="0.25">
      <c r="B1153" s="26" t="s">
        <v>387</v>
      </c>
      <c r="C1153" s="1">
        <v>1</v>
      </c>
      <c r="D1153" s="27" t="s">
        <v>3161</v>
      </c>
      <c r="E1153" s="25"/>
      <c r="F1153" s="25" t="str">
        <f>IF(INDEX(I.Production.P3Y2C9,1)="","",INDEX(I.Production.P3Y2C9,1))</f>
        <v/>
      </c>
      <c r="G1153" s="25"/>
      <c r="H1153" s="1" t="str">
        <f t="shared" si="32"/>
        <v>Complete</v>
      </c>
      <c r="I1153" s="48" t="s">
        <v>1963</v>
      </c>
    </row>
    <row r="1154" spans="2:9" ht="15" customHeight="1" x14ac:dyDescent="0.25">
      <c r="B1154" s="26" t="s">
        <v>387</v>
      </c>
      <c r="C1154" s="1">
        <v>2</v>
      </c>
      <c r="D1154" s="27" t="s">
        <v>3161</v>
      </c>
      <c r="E1154" s="25"/>
      <c r="F1154" s="25" t="str">
        <f>IF(INDEX(I.Production.P3Y2C9,2)="","",INDEX(I.Production.P3Y2C9,2))</f>
        <v/>
      </c>
      <c r="G1154" s="25"/>
      <c r="H1154" s="1" t="str">
        <f t="shared" si="32"/>
        <v>Complete</v>
      </c>
      <c r="I1154" s="48" t="s">
        <v>1964</v>
      </c>
    </row>
    <row r="1155" spans="2:9" ht="15" customHeight="1" x14ac:dyDescent="0.25">
      <c r="B1155" s="34" t="s">
        <v>387</v>
      </c>
      <c r="C1155" s="35">
        <v>3</v>
      </c>
      <c r="D1155" s="46" t="s">
        <v>3161</v>
      </c>
      <c r="E1155" s="45"/>
      <c r="F1155" s="45" t="str">
        <f>IF(INDEX(I.Production.P3Y2C9,3)="","",INDEX(I.Production.P3Y2C9,3))</f>
        <v/>
      </c>
      <c r="G1155" s="45"/>
      <c r="H1155" s="35" t="str">
        <f t="shared" si="32"/>
        <v>Complete</v>
      </c>
      <c r="I1155" s="49" t="s">
        <v>1965</v>
      </c>
    </row>
    <row r="1156" spans="2:9" ht="15" customHeight="1" x14ac:dyDescent="0.25">
      <c r="B1156" s="26" t="s">
        <v>388</v>
      </c>
      <c r="C1156" s="1">
        <v>1</v>
      </c>
      <c r="D1156" s="27" t="s">
        <v>3162</v>
      </c>
      <c r="E1156" s="25"/>
      <c r="F1156" s="25" t="str">
        <f>IF(INDEX(I.Production.P3Y3C9,1)="","",INDEX(I.Production.P3Y3C9,1))</f>
        <v/>
      </c>
      <c r="G1156" s="25"/>
      <c r="H1156" s="1" t="str">
        <f>IF(AND(I.Facility.ProductCount&gt;=3,I.Developer.P3C9=TRUE,I.Product.P3Status&lt;&gt;"Yes",F1156=""),"Incomplete","Complete")</f>
        <v>Complete</v>
      </c>
      <c r="I1156" s="48" t="s">
        <v>1966</v>
      </c>
    </row>
    <row r="1157" spans="2:9" ht="15" customHeight="1" x14ac:dyDescent="0.25">
      <c r="B1157" s="26" t="s">
        <v>388</v>
      </c>
      <c r="C1157" s="1">
        <v>2</v>
      </c>
      <c r="D1157" s="27" t="s">
        <v>3162</v>
      </c>
      <c r="E1157" s="25"/>
      <c r="F1157" s="25" t="str">
        <f>IF(INDEX(I.Production.P3Y3C9,2)="","",INDEX(I.Production.P3Y3C9,2))</f>
        <v/>
      </c>
      <c r="G1157" s="25"/>
      <c r="H1157" s="1" t="str">
        <f>IF(AND(I.Facility.ProductCount&gt;=3,I.Developer.P3C9=TRUE,I.Product.P3Status&lt;&gt;"Yes",F1157=""),"Incomplete","Complete")</f>
        <v>Complete</v>
      </c>
      <c r="I1157" s="48" t="s">
        <v>1967</v>
      </c>
    </row>
    <row r="1158" spans="2:9" ht="15" customHeight="1" x14ac:dyDescent="0.25">
      <c r="B1158" s="34" t="s">
        <v>388</v>
      </c>
      <c r="C1158" s="35">
        <v>3</v>
      </c>
      <c r="D1158" s="46" t="s">
        <v>3162</v>
      </c>
      <c r="E1158" s="45"/>
      <c r="F1158" s="45" t="str">
        <f>IF(INDEX(I.Production.P3Y3C9,3)="","",INDEX(I.Production.P3Y3C9,3))</f>
        <v/>
      </c>
      <c r="G1158" s="45"/>
      <c r="H1158" s="35" t="str">
        <f>IF(AND(I.Facility.ProductCount&gt;=3,I.Developer.P3C9=TRUE,I.Product.P3Status&lt;&gt;"Yes",F1158=""),"Incomplete","Complete")</f>
        <v>Complete</v>
      </c>
      <c r="I1158" s="49" t="s">
        <v>1968</v>
      </c>
    </row>
    <row r="1159" spans="2:9" ht="15" customHeight="1" x14ac:dyDescent="0.25">
      <c r="B1159" s="26" t="s">
        <v>389</v>
      </c>
      <c r="C1159" s="1">
        <v>1</v>
      </c>
      <c r="D1159" s="27" t="s">
        <v>3163</v>
      </c>
      <c r="E1159" s="25"/>
      <c r="F1159" s="25" t="str">
        <f>IF(INDEX(I.Production.P4Y1Quantity,1)="","",INDEX(I.Production.P4Y1Quantity,1))</f>
        <v/>
      </c>
      <c r="G1159" s="25"/>
      <c r="H1159" s="1" t="str">
        <f>IF(AND(I.Facility.ProductCount&gt;=4,I.Production.P4Y1Quantity=""),"Incomplete","Complete")</f>
        <v>Complete</v>
      </c>
      <c r="I1159" s="48" t="s">
        <v>3016</v>
      </c>
    </row>
    <row r="1160" spans="2:9" ht="15" customHeight="1" x14ac:dyDescent="0.25">
      <c r="B1160" s="26" t="s">
        <v>390</v>
      </c>
      <c r="C1160" s="1">
        <v>1</v>
      </c>
      <c r="D1160" s="27" t="s">
        <v>3164</v>
      </c>
      <c r="E1160" s="25"/>
      <c r="F1160" s="25" t="str">
        <f>IF(INDEX(I.Production.P4Y2Quantity,1)="","",INDEX(I.Production.P4Y2Quantity,1))</f>
        <v/>
      </c>
      <c r="G1160" s="25"/>
      <c r="H1160" s="1" t="str">
        <f>IF(AND(I.Facility.ProductCount&gt;=4,I.Production.P4Y2Quantity=""),"Incomplete","Complete")</f>
        <v>Complete</v>
      </c>
      <c r="I1160" s="48" t="s">
        <v>3017</v>
      </c>
    </row>
    <row r="1161" spans="2:9" ht="15" customHeight="1" x14ac:dyDescent="0.25">
      <c r="B1161" s="34" t="s">
        <v>391</v>
      </c>
      <c r="C1161" s="35">
        <v>1</v>
      </c>
      <c r="D1161" s="46" t="s">
        <v>3165</v>
      </c>
      <c r="E1161" s="45"/>
      <c r="F1161" s="45" t="str">
        <f>IF(INDEX(I.Production.P4Y3Quantity,1)="","",INDEX(I.Production.P4Y3Quantity,1))</f>
        <v/>
      </c>
      <c r="G1161" s="45"/>
      <c r="H1161" s="35" t="str">
        <f>IF(AND(I.Facility.ProductCount&gt;=4,I.Product.P4Status&lt;&gt;"Yes",I.Production.P4Y3Quantity=""),"Incomplete","Complete")</f>
        <v>Complete</v>
      </c>
      <c r="I1161" s="49" t="s">
        <v>3018</v>
      </c>
    </row>
    <row r="1162" spans="2:9" ht="15" customHeight="1" x14ac:dyDescent="0.25">
      <c r="B1162" s="34" t="s">
        <v>392</v>
      </c>
      <c r="C1162" s="35">
        <v>1</v>
      </c>
      <c r="D1162" s="46" t="s">
        <v>3061</v>
      </c>
      <c r="E1162" s="46"/>
      <c r="F1162" s="35" t="str">
        <f>IF(INDEX(I.Production.P4Units,1)="","",INDEX(I.Production.P4Units,1))</f>
        <v/>
      </c>
      <c r="G1162" s="46"/>
      <c r="H1162" s="35" t="str">
        <f>IF(AND(I.Facility.ProductCount&gt;=4,I.Production.P4Units=""),"Incomplete","Complete")</f>
        <v>Complete</v>
      </c>
      <c r="I1162" s="49" t="s">
        <v>1969</v>
      </c>
    </row>
    <row r="1163" spans="2:9" ht="15" customHeight="1" x14ac:dyDescent="0.25">
      <c r="B1163" s="26" t="s">
        <v>393</v>
      </c>
      <c r="C1163" s="1">
        <v>1</v>
      </c>
      <c r="D1163" s="27" t="s">
        <v>3166</v>
      </c>
      <c r="E1163" s="25"/>
      <c r="F1163" s="25" t="str">
        <f>IF(INDEX(I.Production.P4Y1C1,1)="","",INDEX(I.Production.P4Y1C1,1))</f>
        <v/>
      </c>
      <c r="G1163" s="25"/>
      <c r="H1163" s="1" t="str">
        <f t="shared" ref="H1163:H1168" si="33">IF(AND(I.Facility.ProductCount&gt;=4,I.Developer.P4C1=TRUE,F1163=""),"Incomplete","Complete")</f>
        <v>Complete</v>
      </c>
      <c r="I1163" s="48" t="s">
        <v>1970</v>
      </c>
    </row>
    <row r="1164" spans="2:9" ht="15" customHeight="1" x14ac:dyDescent="0.25">
      <c r="B1164" s="26" t="s">
        <v>393</v>
      </c>
      <c r="C1164" s="1">
        <v>2</v>
      </c>
      <c r="D1164" s="27" t="s">
        <v>3166</v>
      </c>
      <c r="E1164" s="25"/>
      <c r="F1164" s="25" t="str">
        <f>IF(INDEX(I.Production.P4Y1C1,2)="","",INDEX(I.Production.P4Y1C1,2))</f>
        <v/>
      </c>
      <c r="G1164" s="25"/>
      <c r="H1164" s="1" t="str">
        <f t="shared" si="33"/>
        <v>Complete</v>
      </c>
      <c r="I1164" s="48" t="s">
        <v>1971</v>
      </c>
    </row>
    <row r="1165" spans="2:9" ht="15" customHeight="1" x14ac:dyDescent="0.25">
      <c r="B1165" s="34" t="s">
        <v>393</v>
      </c>
      <c r="C1165" s="35">
        <v>3</v>
      </c>
      <c r="D1165" s="46" t="s">
        <v>3166</v>
      </c>
      <c r="E1165" s="45"/>
      <c r="F1165" s="45" t="str">
        <f>IF(INDEX(I.Production.P4Y1C1,3)="","",INDEX(I.Production.P4Y1C1,3))</f>
        <v/>
      </c>
      <c r="G1165" s="45"/>
      <c r="H1165" s="35" t="str">
        <f t="shared" si="33"/>
        <v>Complete</v>
      </c>
      <c r="I1165" s="49" t="s">
        <v>1972</v>
      </c>
    </row>
    <row r="1166" spans="2:9" ht="15" customHeight="1" x14ac:dyDescent="0.25">
      <c r="B1166" s="26" t="s">
        <v>394</v>
      </c>
      <c r="C1166" s="1">
        <v>1</v>
      </c>
      <c r="D1166" s="27" t="s">
        <v>3167</v>
      </c>
      <c r="E1166" s="25"/>
      <c r="F1166" s="25" t="str">
        <f>IF(INDEX(I.Production.P4Y2C1,1)="","",INDEX(I.Production.P4Y2C1,1))</f>
        <v/>
      </c>
      <c r="G1166" s="25"/>
      <c r="H1166" s="1" t="str">
        <f t="shared" si="33"/>
        <v>Complete</v>
      </c>
      <c r="I1166" s="48" t="s">
        <v>1973</v>
      </c>
    </row>
    <row r="1167" spans="2:9" ht="15" customHeight="1" x14ac:dyDescent="0.25">
      <c r="B1167" s="26" t="s">
        <v>394</v>
      </c>
      <c r="C1167" s="1">
        <v>2</v>
      </c>
      <c r="D1167" s="27" t="s">
        <v>3167</v>
      </c>
      <c r="E1167" s="25"/>
      <c r="F1167" s="25" t="str">
        <f>IF(INDEX(I.Production.P4Y2C1,2)="","",INDEX(I.Production.P4Y2C1,2))</f>
        <v/>
      </c>
      <c r="G1167" s="25"/>
      <c r="H1167" s="1" t="str">
        <f t="shared" si="33"/>
        <v>Complete</v>
      </c>
      <c r="I1167" s="48" t="s">
        <v>1974</v>
      </c>
    </row>
    <row r="1168" spans="2:9" ht="15" customHeight="1" x14ac:dyDescent="0.25">
      <c r="B1168" s="34" t="s">
        <v>394</v>
      </c>
      <c r="C1168" s="35">
        <v>3</v>
      </c>
      <c r="D1168" s="46" t="s">
        <v>3167</v>
      </c>
      <c r="E1168" s="45"/>
      <c r="F1168" s="45" t="str">
        <f>IF(INDEX(I.Production.P4Y2C1,3)="","",INDEX(I.Production.P4Y2C1,3))</f>
        <v/>
      </c>
      <c r="G1168" s="45"/>
      <c r="H1168" s="35" t="str">
        <f t="shared" si="33"/>
        <v>Complete</v>
      </c>
      <c r="I1168" s="49" t="s">
        <v>1975</v>
      </c>
    </row>
    <row r="1169" spans="2:9" ht="15" customHeight="1" x14ac:dyDescent="0.25">
      <c r="B1169" s="26" t="s">
        <v>395</v>
      </c>
      <c r="C1169" s="1">
        <v>1</v>
      </c>
      <c r="D1169" s="27" t="s">
        <v>3168</v>
      </c>
      <c r="E1169" s="25"/>
      <c r="F1169" s="25" t="str">
        <f>IF(INDEX(I.Production.P4Y3C1,1)="","",INDEX(I.Production.P4Y3C1,1))</f>
        <v/>
      </c>
      <c r="G1169" s="25"/>
      <c r="H1169" s="1" t="str">
        <f>IF(AND(I.Facility.ProductCount&gt;=4,I.Developer.P4C1=TRUE,I.Product.P4Status&lt;&gt;"Yes",F1169=""),"Incomplete","Complete")</f>
        <v>Complete</v>
      </c>
      <c r="I1169" s="48" t="s">
        <v>1976</v>
      </c>
    </row>
    <row r="1170" spans="2:9" ht="15" customHeight="1" x14ac:dyDescent="0.25">
      <c r="B1170" s="26" t="s">
        <v>395</v>
      </c>
      <c r="C1170" s="1">
        <v>2</v>
      </c>
      <c r="D1170" s="27" t="s">
        <v>3168</v>
      </c>
      <c r="E1170" s="25"/>
      <c r="F1170" s="25" t="str">
        <f>IF(INDEX(I.Production.P4Y3C1,2)="","",INDEX(I.Production.P4Y3C1,2))</f>
        <v/>
      </c>
      <c r="G1170" s="25"/>
      <c r="H1170" s="1" t="str">
        <f>IF(AND(I.Facility.ProductCount&gt;=4,I.Developer.P4C1=TRUE,I.Product.P4Status&lt;&gt;"Yes",F1170=""),"Incomplete","Complete")</f>
        <v>Complete</v>
      </c>
      <c r="I1170" s="48" t="s">
        <v>1977</v>
      </c>
    </row>
    <row r="1171" spans="2:9" ht="15" customHeight="1" x14ac:dyDescent="0.25">
      <c r="B1171" s="34" t="s">
        <v>395</v>
      </c>
      <c r="C1171" s="35">
        <v>3</v>
      </c>
      <c r="D1171" s="46" t="s">
        <v>3168</v>
      </c>
      <c r="E1171" s="45"/>
      <c r="F1171" s="45" t="str">
        <f>IF(INDEX(I.Production.P4Y3C1,3)="","",INDEX(I.Production.P4Y3C1,3))</f>
        <v/>
      </c>
      <c r="G1171" s="45"/>
      <c r="H1171" s="35" t="str">
        <f>IF(AND(I.Facility.ProductCount&gt;=4,I.Developer.P4C1=TRUE,I.Product.P4Status&lt;&gt;"Yes",F1171=""),"Incomplete","Complete")</f>
        <v>Complete</v>
      </c>
      <c r="I1171" s="49" t="s">
        <v>1978</v>
      </c>
    </row>
    <row r="1172" spans="2:9" ht="15" customHeight="1" x14ac:dyDescent="0.25">
      <c r="B1172" s="26" t="s">
        <v>396</v>
      </c>
      <c r="C1172" s="1">
        <v>1</v>
      </c>
      <c r="D1172" s="27" t="s">
        <v>3169</v>
      </c>
      <c r="E1172" s="25"/>
      <c r="F1172" s="25" t="str">
        <f>IF(INDEX(I.Production.P4Y1C2,1)="","",INDEX(I.Production.P4Y1C2,1))</f>
        <v/>
      </c>
      <c r="G1172" s="25"/>
      <c r="H1172" s="1" t="str">
        <f t="shared" ref="H1172:H1219" si="34">IF(AND(I.Facility.ProductCount&gt;=4,I.Developer.P4C2=TRUE,F1172=""),"Incomplete","Complete")</f>
        <v>Complete</v>
      </c>
      <c r="I1172" s="48" t="s">
        <v>1979</v>
      </c>
    </row>
    <row r="1173" spans="2:9" ht="15" customHeight="1" x14ac:dyDescent="0.25">
      <c r="B1173" s="26" t="s">
        <v>396</v>
      </c>
      <c r="C1173" s="1">
        <v>2</v>
      </c>
      <c r="D1173" s="27" t="s">
        <v>3169</v>
      </c>
      <c r="E1173" s="25"/>
      <c r="F1173" s="25" t="str">
        <f>IF(INDEX(I.Production.P4Y1C2,2)="","",INDEX(I.Production.P4Y1C2,2))</f>
        <v/>
      </c>
      <c r="G1173" s="25"/>
      <c r="H1173" s="1" t="str">
        <f t="shared" si="34"/>
        <v>Complete</v>
      </c>
      <c r="I1173" s="48" t="s">
        <v>1980</v>
      </c>
    </row>
    <row r="1174" spans="2:9" ht="15" customHeight="1" x14ac:dyDescent="0.25">
      <c r="B1174" s="26" t="s">
        <v>396</v>
      </c>
      <c r="C1174" s="1">
        <v>3</v>
      </c>
      <c r="D1174" s="27" t="s">
        <v>3169</v>
      </c>
      <c r="E1174" s="25"/>
      <c r="F1174" s="25" t="str">
        <f>IF(INDEX(I.Production.P4Y1C2,3)="","",INDEX(I.Production.P4Y1C2,3))</f>
        <v/>
      </c>
      <c r="G1174" s="25"/>
      <c r="H1174" s="1" t="str">
        <f t="shared" si="34"/>
        <v>Complete</v>
      </c>
      <c r="I1174" s="48" t="s">
        <v>1981</v>
      </c>
    </row>
    <row r="1175" spans="2:9" ht="15" customHeight="1" x14ac:dyDescent="0.25">
      <c r="B1175" s="26" t="s">
        <v>396</v>
      </c>
      <c r="C1175" s="1">
        <v>4</v>
      </c>
      <c r="D1175" s="27" t="s">
        <v>3169</v>
      </c>
      <c r="E1175" s="25"/>
      <c r="F1175" s="25" t="str">
        <f>IF(INDEX(I.Production.P4Y1C2,4)="","",INDEX(I.Production.P4Y1C2,4))</f>
        <v/>
      </c>
      <c r="G1175" s="25"/>
      <c r="H1175" s="1" t="str">
        <f t="shared" si="34"/>
        <v>Complete</v>
      </c>
      <c r="I1175" s="48" t="s">
        <v>1982</v>
      </c>
    </row>
    <row r="1176" spans="2:9" ht="15" customHeight="1" x14ac:dyDescent="0.25">
      <c r="B1176" s="26" t="s">
        <v>396</v>
      </c>
      <c r="C1176" s="1">
        <v>5</v>
      </c>
      <c r="D1176" s="27" t="s">
        <v>3169</v>
      </c>
      <c r="E1176" s="25"/>
      <c r="F1176" s="25" t="str">
        <f>IF(INDEX(I.Production.P4Y1C2,5)="","",INDEX(I.Production.P4Y1C2,5))</f>
        <v/>
      </c>
      <c r="G1176" s="25"/>
      <c r="H1176" s="1" t="str">
        <f t="shared" si="34"/>
        <v>Complete</v>
      </c>
      <c r="I1176" s="48" t="s">
        <v>1983</v>
      </c>
    </row>
    <row r="1177" spans="2:9" ht="15" customHeight="1" x14ac:dyDescent="0.25">
      <c r="B1177" s="26" t="s">
        <v>396</v>
      </c>
      <c r="C1177" s="1">
        <v>6</v>
      </c>
      <c r="D1177" s="27" t="s">
        <v>3169</v>
      </c>
      <c r="E1177" s="25"/>
      <c r="F1177" s="25" t="str">
        <f>IF(INDEX(I.Production.P4Y1C2,6)="","",INDEX(I.Production.P4Y1C2,6))</f>
        <v/>
      </c>
      <c r="G1177" s="25"/>
      <c r="H1177" s="1" t="str">
        <f t="shared" si="34"/>
        <v>Complete</v>
      </c>
      <c r="I1177" s="48" t="s">
        <v>1984</v>
      </c>
    </row>
    <row r="1178" spans="2:9" ht="15" customHeight="1" x14ac:dyDescent="0.25">
      <c r="B1178" s="26" t="s">
        <v>396</v>
      </c>
      <c r="C1178" s="1">
        <v>7</v>
      </c>
      <c r="D1178" s="27" t="s">
        <v>3169</v>
      </c>
      <c r="E1178" s="25"/>
      <c r="F1178" s="25" t="str">
        <f>IF(INDEX(I.Production.P4Y1C2,7)="","",INDEX(I.Production.P4Y1C2,7))</f>
        <v/>
      </c>
      <c r="G1178" s="25"/>
      <c r="H1178" s="1" t="str">
        <f t="shared" si="34"/>
        <v>Complete</v>
      </c>
      <c r="I1178" s="48" t="s">
        <v>1985</v>
      </c>
    </row>
    <row r="1179" spans="2:9" ht="15" customHeight="1" x14ac:dyDescent="0.25">
      <c r="B1179" s="26" t="s">
        <v>396</v>
      </c>
      <c r="C1179" s="1">
        <v>8</v>
      </c>
      <c r="D1179" s="27" t="s">
        <v>3169</v>
      </c>
      <c r="E1179" s="25"/>
      <c r="F1179" s="25" t="str">
        <f>IF(INDEX(I.Production.P4Y1C2,8)="","",INDEX(I.Production.P4Y1C2,8))</f>
        <v/>
      </c>
      <c r="G1179" s="25"/>
      <c r="H1179" s="1" t="str">
        <f t="shared" si="34"/>
        <v>Complete</v>
      </c>
      <c r="I1179" s="48" t="s">
        <v>1986</v>
      </c>
    </row>
    <row r="1180" spans="2:9" ht="15" customHeight="1" x14ac:dyDescent="0.25">
      <c r="B1180" s="26" t="s">
        <v>396</v>
      </c>
      <c r="C1180" s="1">
        <v>9</v>
      </c>
      <c r="D1180" s="27" t="s">
        <v>3169</v>
      </c>
      <c r="E1180" s="25"/>
      <c r="F1180" s="25" t="str">
        <f>IF(INDEX(I.Production.P4Y1C2,9)="","",INDEX(I.Production.P4Y1C2,9))</f>
        <v/>
      </c>
      <c r="G1180" s="25"/>
      <c r="H1180" s="1" t="str">
        <f t="shared" si="34"/>
        <v>Complete</v>
      </c>
      <c r="I1180" s="48" t="s">
        <v>1987</v>
      </c>
    </row>
    <row r="1181" spans="2:9" ht="15" customHeight="1" x14ac:dyDescent="0.25">
      <c r="B1181" s="26" t="s">
        <v>396</v>
      </c>
      <c r="C1181" s="1">
        <v>10</v>
      </c>
      <c r="D1181" s="27" t="s">
        <v>3169</v>
      </c>
      <c r="E1181" s="25"/>
      <c r="F1181" s="25" t="str">
        <f>IF(INDEX(I.Production.P4Y1C2,10)="","",INDEX(I.Production.P4Y1C2,10))</f>
        <v/>
      </c>
      <c r="G1181" s="25"/>
      <c r="H1181" s="1" t="str">
        <f t="shared" si="34"/>
        <v>Complete</v>
      </c>
      <c r="I1181" s="48" t="s">
        <v>1988</v>
      </c>
    </row>
    <row r="1182" spans="2:9" ht="15" customHeight="1" x14ac:dyDescent="0.25">
      <c r="B1182" s="26" t="s">
        <v>396</v>
      </c>
      <c r="C1182" s="1">
        <v>11</v>
      </c>
      <c r="D1182" s="27" t="s">
        <v>3169</v>
      </c>
      <c r="E1182" s="25"/>
      <c r="F1182" s="25" t="str">
        <f>IF(INDEX(I.Production.P4Y1C2,11)="","",INDEX(I.Production.P4Y1C2,11))</f>
        <v/>
      </c>
      <c r="G1182" s="25"/>
      <c r="H1182" s="1" t="str">
        <f t="shared" si="34"/>
        <v>Complete</v>
      </c>
      <c r="I1182" s="48" t="s">
        <v>1989</v>
      </c>
    </row>
    <row r="1183" spans="2:9" ht="15" customHeight="1" x14ac:dyDescent="0.25">
      <c r="B1183" s="26" t="s">
        <v>396</v>
      </c>
      <c r="C1183" s="1">
        <v>12</v>
      </c>
      <c r="D1183" s="27" t="s">
        <v>3169</v>
      </c>
      <c r="E1183" s="25"/>
      <c r="F1183" s="25" t="str">
        <f>IF(INDEX(I.Production.P4Y1C2,12)="","",INDEX(I.Production.P4Y1C2,12))</f>
        <v/>
      </c>
      <c r="G1183" s="25"/>
      <c r="H1183" s="1" t="str">
        <f t="shared" si="34"/>
        <v>Complete</v>
      </c>
      <c r="I1183" s="48" t="s">
        <v>1990</v>
      </c>
    </row>
    <row r="1184" spans="2:9" ht="15" customHeight="1" x14ac:dyDescent="0.25">
      <c r="B1184" s="26" t="s">
        <v>396</v>
      </c>
      <c r="C1184" s="1">
        <v>13</v>
      </c>
      <c r="D1184" s="27" t="s">
        <v>3169</v>
      </c>
      <c r="E1184" s="25"/>
      <c r="F1184" s="25" t="str">
        <f>IF(INDEX(I.Production.P4Y1C2,13)="","",INDEX(I.Production.P4Y1C2,13))</f>
        <v/>
      </c>
      <c r="G1184" s="25"/>
      <c r="H1184" s="1" t="str">
        <f t="shared" si="34"/>
        <v>Complete</v>
      </c>
      <c r="I1184" s="48" t="s">
        <v>1991</v>
      </c>
    </row>
    <row r="1185" spans="2:9" ht="15" customHeight="1" x14ac:dyDescent="0.25">
      <c r="B1185" s="26" t="s">
        <v>396</v>
      </c>
      <c r="C1185" s="1">
        <v>14</v>
      </c>
      <c r="D1185" s="27" t="s">
        <v>3169</v>
      </c>
      <c r="E1185" s="25"/>
      <c r="F1185" s="25" t="str">
        <f>IF(INDEX(I.Production.P4Y1C2,14)="","",INDEX(I.Production.P4Y1C2,14))</f>
        <v/>
      </c>
      <c r="G1185" s="25"/>
      <c r="H1185" s="1" t="str">
        <f t="shared" si="34"/>
        <v>Complete</v>
      </c>
      <c r="I1185" s="48" t="s">
        <v>1992</v>
      </c>
    </row>
    <row r="1186" spans="2:9" ht="15" customHeight="1" x14ac:dyDescent="0.25">
      <c r="B1186" s="26" t="s">
        <v>396</v>
      </c>
      <c r="C1186" s="1">
        <v>15</v>
      </c>
      <c r="D1186" s="27" t="s">
        <v>3169</v>
      </c>
      <c r="E1186" s="25"/>
      <c r="F1186" s="25" t="str">
        <f>IF(INDEX(I.Production.P4Y1C2,15)="","",INDEX(I.Production.P4Y1C2,15))</f>
        <v/>
      </c>
      <c r="G1186" s="25"/>
      <c r="H1186" s="1" t="str">
        <f t="shared" si="34"/>
        <v>Complete</v>
      </c>
      <c r="I1186" s="48" t="s">
        <v>1993</v>
      </c>
    </row>
    <row r="1187" spans="2:9" ht="15" customHeight="1" x14ac:dyDescent="0.25">
      <c r="B1187" s="26" t="s">
        <v>396</v>
      </c>
      <c r="C1187" s="1">
        <v>16</v>
      </c>
      <c r="D1187" s="27" t="s">
        <v>3169</v>
      </c>
      <c r="E1187" s="25"/>
      <c r="F1187" s="25" t="str">
        <f>IF(INDEX(I.Production.P4Y1C2,16)="","",INDEX(I.Production.P4Y1C2,16))</f>
        <v/>
      </c>
      <c r="G1187" s="25"/>
      <c r="H1187" s="1" t="str">
        <f t="shared" si="34"/>
        <v>Complete</v>
      </c>
      <c r="I1187" s="48" t="s">
        <v>1994</v>
      </c>
    </row>
    <row r="1188" spans="2:9" ht="15" customHeight="1" x14ac:dyDescent="0.25">
      <c r="B1188" s="26" t="s">
        <v>396</v>
      </c>
      <c r="C1188" s="1">
        <v>17</v>
      </c>
      <c r="D1188" s="27" t="s">
        <v>3169</v>
      </c>
      <c r="E1188" s="25"/>
      <c r="F1188" s="25" t="str">
        <f>IF(INDEX(I.Production.P4Y1C2,17)="","",INDEX(I.Production.P4Y1C2,17))</f>
        <v/>
      </c>
      <c r="G1188" s="25"/>
      <c r="H1188" s="1" t="str">
        <f t="shared" si="34"/>
        <v>Complete</v>
      </c>
      <c r="I1188" s="48" t="s">
        <v>1995</v>
      </c>
    </row>
    <row r="1189" spans="2:9" ht="15" customHeight="1" x14ac:dyDescent="0.25">
      <c r="B1189" s="26" t="s">
        <v>396</v>
      </c>
      <c r="C1189" s="1">
        <v>18</v>
      </c>
      <c r="D1189" s="27" t="s">
        <v>3169</v>
      </c>
      <c r="E1189" s="25"/>
      <c r="F1189" s="25" t="str">
        <f>IF(INDEX(I.Production.P4Y1C2,18)="","",INDEX(I.Production.P4Y1C2,18))</f>
        <v/>
      </c>
      <c r="G1189" s="25"/>
      <c r="H1189" s="1" t="str">
        <f t="shared" si="34"/>
        <v>Complete</v>
      </c>
      <c r="I1189" s="48" t="s">
        <v>1996</v>
      </c>
    </row>
    <row r="1190" spans="2:9" ht="15" customHeight="1" x14ac:dyDescent="0.25">
      <c r="B1190" s="26" t="s">
        <v>396</v>
      </c>
      <c r="C1190" s="1">
        <v>19</v>
      </c>
      <c r="D1190" s="27" t="s">
        <v>3169</v>
      </c>
      <c r="E1190" s="25"/>
      <c r="F1190" s="25" t="str">
        <f>IF(INDEX(I.Production.P4Y1C2,19)="","",INDEX(I.Production.P4Y1C2,19))</f>
        <v/>
      </c>
      <c r="G1190" s="25"/>
      <c r="H1190" s="1" t="str">
        <f t="shared" si="34"/>
        <v>Complete</v>
      </c>
      <c r="I1190" s="48" t="s">
        <v>1997</v>
      </c>
    </row>
    <row r="1191" spans="2:9" ht="15" customHeight="1" x14ac:dyDescent="0.25">
      <c r="B1191" s="26" t="s">
        <v>396</v>
      </c>
      <c r="C1191" s="1">
        <v>20</v>
      </c>
      <c r="D1191" s="27" t="s">
        <v>3169</v>
      </c>
      <c r="E1191" s="25"/>
      <c r="F1191" s="25" t="str">
        <f>IF(INDEX(I.Production.P4Y1C2,20)="","",INDEX(I.Production.P4Y1C2,20))</f>
        <v/>
      </c>
      <c r="G1191" s="25"/>
      <c r="H1191" s="1" t="str">
        <f t="shared" si="34"/>
        <v>Complete</v>
      </c>
      <c r="I1191" s="48" t="s">
        <v>1998</v>
      </c>
    </row>
    <row r="1192" spans="2:9" ht="15" customHeight="1" x14ac:dyDescent="0.25">
      <c r="B1192" s="26" t="s">
        <v>396</v>
      </c>
      <c r="C1192" s="1">
        <v>21</v>
      </c>
      <c r="D1192" s="27" t="s">
        <v>3169</v>
      </c>
      <c r="E1192" s="25"/>
      <c r="F1192" s="25" t="str">
        <f>IF(INDEX(I.Production.P4Y1C2,21)="","",INDEX(I.Production.P4Y1C2,21))</f>
        <v/>
      </c>
      <c r="G1192" s="25"/>
      <c r="H1192" s="1" t="str">
        <f t="shared" si="34"/>
        <v>Complete</v>
      </c>
      <c r="I1192" s="48" t="s">
        <v>1999</v>
      </c>
    </row>
    <row r="1193" spans="2:9" ht="15" customHeight="1" x14ac:dyDescent="0.25">
      <c r="B1193" s="26" t="s">
        <v>396</v>
      </c>
      <c r="C1193" s="1">
        <v>22</v>
      </c>
      <c r="D1193" s="27" t="s">
        <v>3169</v>
      </c>
      <c r="E1193" s="25"/>
      <c r="F1193" s="25" t="str">
        <f>IF(INDEX(I.Production.P4Y1C2,22)="","",INDEX(I.Production.P4Y1C2,22))</f>
        <v/>
      </c>
      <c r="G1193" s="25"/>
      <c r="H1193" s="1" t="str">
        <f t="shared" si="34"/>
        <v>Complete</v>
      </c>
      <c r="I1193" s="48" t="s">
        <v>2000</v>
      </c>
    </row>
    <row r="1194" spans="2:9" ht="15" customHeight="1" x14ac:dyDescent="0.25">
      <c r="B1194" s="26" t="s">
        <v>396</v>
      </c>
      <c r="C1194" s="1">
        <v>23</v>
      </c>
      <c r="D1194" s="27" t="s">
        <v>3169</v>
      </c>
      <c r="E1194" s="25"/>
      <c r="F1194" s="25" t="str">
        <f>IF(INDEX(I.Production.P4Y1C2,23)="","",INDEX(I.Production.P4Y1C2,23))</f>
        <v/>
      </c>
      <c r="G1194" s="25"/>
      <c r="H1194" s="1" t="str">
        <f t="shared" si="34"/>
        <v>Complete</v>
      </c>
      <c r="I1194" s="48" t="s">
        <v>2001</v>
      </c>
    </row>
    <row r="1195" spans="2:9" ht="15" customHeight="1" x14ac:dyDescent="0.25">
      <c r="B1195" s="34" t="s">
        <v>396</v>
      </c>
      <c r="C1195" s="35">
        <v>24</v>
      </c>
      <c r="D1195" s="46" t="s">
        <v>3169</v>
      </c>
      <c r="E1195" s="45"/>
      <c r="F1195" s="45" t="str">
        <f>IF(INDEX(I.Production.P4Y1C2,24)="","",INDEX(I.Production.P4Y1C2,24))</f>
        <v/>
      </c>
      <c r="G1195" s="45"/>
      <c r="H1195" s="35" t="str">
        <f t="shared" si="34"/>
        <v>Complete</v>
      </c>
      <c r="I1195" s="49" t="s">
        <v>2002</v>
      </c>
    </row>
    <row r="1196" spans="2:9" ht="15" customHeight="1" x14ac:dyDescent="0.25">
      <c r="B1196" s="26" t="s">
        <v>397</v>
      </c>
      <c r="C1196" s="1">
        <v>1</v>
      </c>
      <c r="D1196" s="27" t="s">
        <v>3170</v>
      </c>
      <c r="E1196" s="25"/>
      <c r="F1196" s="25" t="str">
        <f>IF(INDEX(I.Production.P4Y2C2,1)="","",INDEX(I.Production.P4Y2C2,1))</f>
        <v/>
      </c>
      <c r="G1196" s="25"/>
      <c r="H1196" s="1" t="str">
        <f t="shared" si="34"/>
        <v>Complete</v>
      </c>
      <c r="I1196" s="48" t="s">
        <v>2003</v>
      </c>
    </row>
    <row r="1197" spans="2:9" ht="15" customHeight="1" x14ac:dyDescent="0.25">
      <c r="B1197" s="26" t="s">
        <v>397</v>
      </c>
      <c r="C1197" s="1">
        <v>2</v>
      </c>
      <c r="D1197" s="27" t="s">
        <v>3170</v>
      </c>
      <c r="E1197" s="25"/>
      <c r="F1197" s="25" t="str">
        <f>IF(INDEX(I.Production.P4Y2C2,2)="","",INDEX(I.Production.P4Y2C2,2))</f>
        <v/>
      </c>
      <c r="G1197" s="25"/>
      <c r="H1197" s="1" t="str">
        <f t="shared" si="34"/>
        <v>Complete</v>
      </c>
      <c r="I1197" s="48" t="s">
        <v>2004</v>
      </c>
    </row>
    <row r="1198" spans="2:9" ht="15" customHeight="1" x14ac:dyDescent="0.25">
      <c r="B1198" s="26" t="s">
        <v>397</v>
      </c>
      <c r="C1198" s="1">
        <v>3</v>
      </c>
      <c r="D1198" s="27" t="s">
        <v>3170</v>
      </c>
      <c r="E1198" s="25"/>
      <c r="F1198" s="25" t="str">
        <f>IF(INDEX(I.Production.P4Y2C2,3)="","",INDEX(I.Production.P4Y2C2,3))</f>
        <v/>
      </c>
      <c r="G1198" s="25"/>
      <c r="H1198" s="1" t="str">
        <f t="shared" si="34"/>
        <v>Complete</v>
      </c>
      <c r="I1198" s="48" t="s">
        <v>2005</v>
      </c>
    </row>
    <row r="1199" spans="2:9" ht="15" customHeight="1" x14ac:dyDescent="0.25">
      <c r="B1199" s="26" t="s">
        <v>397</v>
      </c>
      <c r="C1199" s="1">
        <v>4</v>
      </c>
      <c r="D1199" s="27" t="s">
        <v>3170</v>
      </c>
      <c r="E1199" s="25"/>
      <c r="F1199" s="25" t="str">
        <f>IF(INDEX(I.Production.P4Y2C2,4)="","",INDEX(I.Production.P4Y2C2,4))</f>
        <v/>
      </c>
      <c r="G1199" s="25"/>
      <c r="H1199" s="1" t="str">
        <f t="shared" si="34"/>
        <v>Complete</v>
      </c>
      <c r="I1199" s="48" t="s">
        <v>2006</v>
      </c>
    </row>
    <row r="1200" spans="2:9" ht="15" customHeight="1" x14ac:dyDescent="0.25">
      <c r="B1200" s="26" t="s">
        <v>397</v>
      </c>
      <c r="C1200" s="1">
        <v>5</v>
      </c>
      <c r="D1200" s="27" t="s">
        <v>3170</v>
      </c>
      <c r="E1200" s="25"/>
      <c r="F1200" s="25" t="str">
        <f>IF(INDEX(I.Production.P4Y2C2,5)="","",INDEX(I.Production.P4Y2C2,5))</f>
        <v/>
      </c>
      <c r="G1200" s="25"/>
      <c r="H1200" s="1" t="str">
        <f t="shared" si="34"/>
        <v>Complete</v>
      </c>
      <c r="I1200" s="48" t="s">
        <v>2007</v>
      </c>
    </row>
    <row r="1201" spans="2:9" ht="15" customHeight="1" x14ac:dyDescent="0.25">
      <c r="B1201" s="26" t="s">
        <v>397</v>
      </c>
      <c r="C1201" s="1">
        <v>6</v>
      </c>
      <c r="D1201" s="27" t="s">
        <v>3170</v>
      </c>
      <c r="E1201" s="25"/>
      <c r="F1201" s="25" t="str">
        <f>IF(INDEX(I.Production.P4Y2C2,6)="","",INDEX(I.Production.P4Y2C2,6))</f>
        <v/>
      </c>
      <c r="G1201" s="25"/>
      <c r="H1201" s="1" t="str">
        <f t="shared" si="34"/>
        <v>Complete</v>
      </c>
      <c r="I1201" s="48" t="s">
        <v>2008</v>
      </c>
    </row>
    <row r="1202" spans="2:9" ht="15" customHeight="1" x14ac:dyDescent="0.25">
      <c r="B1202" s="26" t="s">
        <v>397</v>
      </c>
      <c r="C1202" s="1">
        <v>7</v>
      </c>
      <c r="D1202" s="27" t="s">
        <v>3170</v>
      </c>
      <c r="E1202" s="25"/>
      <c r="F1202" s="25" t="str">
        <f>IF(INDEX(I.Production.P4Y2C2,7)="","",INDEX(I.Production.P4Y2C2,7))</f>
        <v/>
      </c>
      <c r="G1202" s="25"/>
      <c r="H1202" s="1" t="str">
        <f t="shared" si="34"/>
        <v>Complete</v>
      </c>
      <c r="I1202" s="48" t="s">
        <v>2009</v>
      </c>
    </row>
    <row r="1203" spans="2:9" ht="15" customHeight="1" x14ac:dyDescent="0.25">
      <c r="B1203" s="26" t="s">
        <v>397</v>
      </c>
      <c r="C1203" s="1">
        <v>8</v>
      </c>
      <c r="D1203" s="27" t="s">
        <v>3170</v>
      </c>
      <c r="E1203" s="25"/>
      <c r="F1203" s="25" t="str">
        <f>IF(INDEX(I.Production.P4Y2C2,8)="","",INDEX(I.Production.P4Y2C2,8))</f>
        <v/>
      </c>
      <c r="G1203" s="25"/>
      <c r="H1203" s="1" t="str">
        <f t="shared" si="34"/>
        <v>Complete</v>
      </c>
      <c r="I1203" s="48" t="s">
        <v>2010</v>
      </c>
    </row>
    <row r="1204" spans="2:9" ht="15" customHeight="1" x14ac:dyDescent="0.25">
      <c r="B1204" s="26" t="s">
        <v>397</v>
      </c>
      <c r="C1204" s="1">
        <v>9</v>
      </c>
      <c r="D1204" s="27" t="s">
        <v>3170</v>
      </c>
      <c r="E1204" s="25"/>
      <c r="F1204" s="25" t="str">
        <f>IF(INDEX(I.Production.P4Y2C2,9)="","",INDEX(I.Production.P4Y2C2,9))</f>
        <v/>
      </c>
      <c r="G1204" s="25"/>
      <c r="H1204" s="1" t="str">
        <f t="shared" si="34"/>
        <v>Complete</v>
      </c>
      <c r="I1204" s="48" t="s">
        <v>2011</v>
      </c>
    </row>
    <row r="1205" spans="2:9" ht="15" customHeight="1" x14ac:dyDescent="0.25">
      <c r="B1205" s="26" t="s">
        <v>397</v>
      </c>
      <c r="C1205" s="1">
        <v>10</v>
      </c>
      <c r="D1205" s="27" t="s">
        <v>3170</v>
      </c>
      <c r="E1205" s="25"/>
      <c r="F1205" s="25" t="str">
        <f>IF(INDEX(I.Production.P4Y2C2,10)="","",INDEX(I.Production.P4Y2C2,10))</f>
        <v/>
      </c>
      <c r="G1205" s="25"/>
      <c r="H1205" s="1" t="str">
        <f t="shared" si="34"/>
        <v>Complete</v>
      </c>
      <c r="I1205" s="48" t="s">
        <v>2012</v>
      </c>
    </row>
    <row r="1206" spans="2:9" ht="15" customHeight="1" x14ac:dyDescent="0.25">
      <c r="B1206" s="26" t="s">
        <v>397</v>
      </c>
      <c r="C1206" s="1">
        <v>11</v>
      </c>
      <c r="D1206" s="27" t="s">
        <v>3170</v>
      </c>
      <c r="E1206" s="25"/>
      <c r="F1206" s="25" t="str">
        <f>IF(INDEX(I.Production.P4Y2C2,11)="","",INDEX(I.Production.P4Y2C2,11))</f>
        <v/>
      </c>
      <c r="G1206" s="25"/>
      <c r="H1206" s="1" t="str">
        <f t="shared" si="34"/>
        <v>Complete</v>
      </c>
      <c r="I1206" s="48" t="s">
        <v>2013</v>
      </c>
    </row>
    <row r="1207" spans="2:9" ht="15" customHeight="1" x14ac:dyDescent="0.25">
      <c r="B1207" s="26" t="s">
        <v>397</v>
      </c>
      <c r="C1207" s="1">
        <v>12</v>
      </c>
      <c r="D1207" s="27" t="s">
        <v>3170</v>
      </c>
      <c r="E1207" s="25"/>
      <c r="F1207" s="25" t="str">
        <f>IF(INDEX(I.Production.P4Y2C2,12)="","",INDEX(I.Production.P4Y2C2,12))</f>
        <v/>
      </c>
      <c r="G1207" s="25"/>
      <c r="H1207" s="1" t="str">
        <f t="shared" si="34"/>
        <v>Complete</v>
      </c>
      <c r="I1207" s="48" t="s">
        <v>2014</v>
      </c>
    </row>
    <row r="1208" spans="2:9" ht="15" customHeight="1" x14ac:dyDescent="0.25">
      <c r="B1208" s="26" t="s">
        <v>397</v>
      </c>
      <c r="C1208" s="1">
        <v>13</v>
      </c>
      <c r="D1208" s="27" t="s">
        <v>3170</v>
      </c>
      <c r="E1208" s="25"/>
      <c r="F1208" s="25" t="str">
        <f>IF(INDEX(I.Production.P4Y2C2,13)="","",INDEX(I.Production.P4Y2C2,13))</f>
        <v/>
      </c>
      <c r="G1208" s="25"/>
      <c r="H1208" s="1" t="str">
        <f t="shared" si="34"/>
        <v>Complete</v>
      </c>
      <c r="I1208" s="48" t="s">
        <v>2015</v>
      </c>
    </row>
    <row r="1209" spans="2:9" ht="15" customHeight="1" x14ac:dyDescent="0.25">
      <c r="B1209" s="26" t="s">
        <v>397</v>
      </c>
      <c r="C1209" s="1">
        <v>14</v>
      </c>
      <c r="D1209" s="27" t="s">
        <v>3170</v>
      </c>
      <c r="E1209" s="25"/>
      <c r="F1209" s="25" t="str">
        <f>IF(INDEX(I.Production.P4Y2C2,14)="","",INDEX(I.Production.P4Y2C2,14))</f>
        <v/>
      </c>
      <c r="G1209" s="25"/>
      <c r="H1209" s="1" t="str">
        <f t="shared" si="34"/>
        <v>Complete</v>
      </c>
      <c r="I1209" s="48" t="s">
        <v>2016</v>
      </c>
    </row>
    <row r="1210" spans="2:9" ht="15" customHeight="1" x14ac:dyDescent="0.25">
      <c r="B1210" s="26" t="s">
        <v>397</v>
      </c>
      <c r="C1210" s="1">
        <v>15</v>
      </c>
      <c r="D1210" s="27" t="s">
        <v>3170</v>
      </c>
      <c r="E1210" s="25"/>
      <c r="F1210" s="25" t="str">
        <f>IF(INDEX(I.Production.P4Y2C2,15)="","",INDEX(I.Production.P4Y2C2,15))</f>
        <v/>
      </c>
      <c r="G1210" s="25"/>
      <c r="H1210" s="1" t="str">
        <f t="shared" si="34"/>
        <v>Complete</v>
      </c>
      <c r="I1210" s="48" t="s">
        <v>2017</v>
      </c>
    </row>
    <row r="1211" spans="2:9" ht="15" customHeight="1" x14ac:dyDescent="0.25">
      <c r="B1211" s="26" t="s">
        <v>397</v>
      </c>
      <c r="C1211" s="1">
        <v>16</v>
      </c>
      <c r="D1211" s="27" t="s">
        <v>3170</v>
      </c>
      <c r="E1211" s="25"/>
      <c r="F1211" s="25" t="str">
        <f>IF(INDEX(I.Production.P4Y2C2,16)="","",INDEX(I.Production.P4Y2C2,16))</f>
        <v/>
      </c>
      <c r="G1211" s="25"/>
      <c r="H1211" s="1" t="str">
        <f t="shared" si="34"/>
        <v>Complete</v>
      </c>
      <c r="I1211" s="48" t="s">
        <v>2018</v>
      </c>
    </row>
    <row r="1212" spans="2:9" ht="15" customHeight="1" x14ac:dyDescent="0.25">
      <c r="B1212" s="26" t="s">
        <v>397</v>
      </c>
      <c r="C1212" s="1">
        <v>17</v>
      </c>
      <c r="D1212" s="27" t="s">
        <v>3170</v>
      </c>
      <c r="E1212" s="25"/>
      <c r="F1212" s="25" t="str">
        <f>IF(INDEX(I.Production.P4Y2C2,17)="","",INDEX(I.Production.P4Y2C2,17))</f>
        <v/>
      </c>
      <c r="G1212" s="25"/>
      <c r="H1212" s="1" t="str">
        <f t="shared" si="34"/>
        <v>Complete</v>
      </c>
      <c r="I1212" s="48" t="s">
        <v>2019</v>
      </c>
    </row>
    <row r="1213" spans="2:9" ht="15" customHeight="1" x14ac:dyDescent="0.25">
      <c r="B1213" s="26" t="s">
        <v>397</v>
      </c>
      <c r="C1213" s="1">
        <v>18</v>
      </c>
      <c r="D1213" s="27" t="s">
        <v>3170</v>
      </c>
      <c r="E1213" s="25"/>
      <c r="F1213" s="25" t="str">
        <f>IF(INDEX(I.Production.P4Y2C2,18)="","",INDEX(I.Production.P4Y2C2,18))</f>
        <v/>
      </c>
      <c r="G1213" s="25"/>
      <c r="H1213" s="1" t="str">
        <f t="shared" si="34"/>
        <v>Complete</v>
      </c>
      <c r="I1213" s="48" t="s">
        <v>2020</v>
      </c>
    </row>
    <row r="1214" spans="2:9" ht="15" customHeight="1" x14ac:dyDescent="0.25">
      <c r="B1214" s="26" t="s">
        <v>397</v>
      </c>
      <c r="C1214" s="1">
        <v>19</v>
      </c>
      <c r="D1214" s="27" t="s">
        <v>3170</v>
      </c>
      <c r="E1214" s="25"/>
      <c r="F1214" s="25" t="str">
        <f>IF(INDEX(I.Production.P4Y2C2,19)="","",INDEX(I.Production.P4Y2C2,19))</f>
        <v/>
      </c>
      <c r="G1214" s="25"/>
      <c r="H1214" s="1" t="str">
        <f t="shared" si="34"/>
        <v>Complete</v>
      </c>
      <c r="I1214" s="48" t="s">
        <v>2021</v>
      </c>
    </row>
    <row r="1215" spans="2:9" ht="15" customHeight="1" x14ac:dyDescent="0.25">
      <c r="B1215" s="26" t="s">
        <v>397</v>
      </c>
      <c r="C1215" s="1">
        <v>20</v>
      </c>
      <c r="D1215" s="27" t="s">
        <v>3170</v>
      </c>
      <c r="E1215" s="25"/>
      <c r="F1215" s="25" t="str">
        <f>IF(INDEX(I.Production.P4Y2C2,20)="","",INDEX(I.Production.P4Y2C2,20))</f>
        <v/>
      </c>
      <c r="G1215" s="25"/>
      <c r="H1215" s="1" t="str">
        <f t="shared" si="34"/>
        <v>Complete</v>
      </c>
      <c r="I1215" s="48" t="s">
        <v>2022</v>
      </c>
    </row>
    <row r="1216" spans="2:9" ht="15" customHeight="1" x14ac:dyDescent="0.25">
      <c r="B1216" s="26" t="s">
        <v>397</v>
      </c>
      <c r="C1216" s="1">
        <v>21</v>
      </c>
      <c r="D1216" s="27" t="s">
        <v>3170</v>
      </c>
      <c r="E1216" s="25"/>
      <c r="F1216" s="25" t="str">
        <f>IF(INDEX(I.Production.P4Y2C2,21)="","",INDEX(I.Production.P4Y2C2,21))</f>
        <v/>
      </c>
      <c r="G1216" s="25"/>
      <c r="H1216" s="1" t="str">
        <f t="shared" si="34"/>
        <v>Complete</v>
      </c>
      <c r="I1216" s="48" t="s">
        <v>2023</v>
      </c>
    </row>
    <row r="1217" spans="2:9" ht="15" customHeight="1" x14ac:dyDescent="0.25">
      <c r="B1217" s="26" t="s">
        <v>397</v>
      </c>
      <c r="C1217" s="1">
        <v>22</v>
      </c>
      <c r="D1217" s="27" t="s">
        <v>3170</v>
      </c>
      <c r="E1217" s="25"/>
      <c r="F1217" s="25" t="str">
        <f>IF(INDEX(I.Production.P4Y2C2,22)="","",INDEX(I.Production.P4Y2C2,22))</f>
        <v/>
      </c>
      <c r="G1217" s="25"/>
      <c r="H1217" s="1" t="str">
        <f t="shared" si="34"/>
        <v>Complete</v>
      </c>
      <c r="I1217" s="48" t="s">
        <v>2024</v>
      </c>
    </row>
    <row r="1218" spans="2:9" ht="15" customHeight="1" x14ac:dyDescent="0.25">
      <c r="B1218" s="26" t="s">
        <v>397</v>
      </c>
      <c r="C1218" s="1">
        <v>23</v>
      </c>
      <c r="D1218" s="27" t="s">
        <v>3170</v>
      </c>
      <c r="E1218" s="25"/>
      <c r="F1218" s="25" t="str">
        <f>IF(INDEX(I.Production.P4Y2C2,23)="","",INDEX(I.Production.P4Y2C2,23))</f>
        <v/>
      </c>
      <c r="G1218" s="25"/>
      <c r="H1218" s="1" t="str">
        <f t="shared" si="34"/>
        <v>Complete</v>
      </c>
      <c r="I1218" s="48" t="s">
        <v>2025</v>
      </c>
    </row>
    <row r="1219" spans="2:9" ht="15" customHeight="1" x14ac:dyDescent="0.25">
      <c r="B1219" s="34" t="s">
        <v>397</v>
      </c>
      <c r="C1219" s="35">
        <v>24</v>
      </c>
      <c r="D1219" s="46" t="s">
        <v>3170</v>
      </c>
      <c r="E1219" s="45"/>
      <c r="F1219" s="45" t="str">
        <f>IF(INDEX(I.Production.P4Y2C2,24)="","",INDEX(I.Production.P4Y2C2,24))</f>
        <v/>
      </c>
      <c r="G1219" s="45"/>
      <c r="H1219" s="35" t="str">
        <f t="shared" si="34"/>
        <v>Complete</v>
      </c>
      <c r="I1219" s="49" t="s">
        <v>2026</v>
      </c>
    </row>
    <row r="1220" spans="2:9" ht="15" customHeight="1" x14ac:dyDescent="0.25">
      <c r="B1220" s="26" t="s">
        <v>398</v>
      </c>
      <c r="C1220" s="1">
        <v>1</v>
      </c>
      <c r="D1220" s="27" t="s">
        <v>3171</v>
      </c>
      <c r="E1220" s="25"/>
      <c r="F1220" s="25" t="str">
        <f>IF(INDEX(I.Production.P4Y3C2,1)="","",INDEX(I.Production.P4Y3C2,1))</f>
        <v/>
      </c>
      <c r="G1220" s="25"/>
      <c r="H1220" s="1" t="str">
        <f t="shared" ref="H1220:H1243" si="35">IF(AND(I.Facility.ProductCount&gt;=4,I.Developer.P4C2=TRUE,I.Product.P4Status&lt;&gt;"Yes",F1220=""),"Incomplete","Complete")</f>
        <v>Complete</v>
      </c>
      <c r="I1220" s="48" t="s">
        <v>2027</v>
      </c>
    </row>
    <row r="1221" spans="2:9" ht="15" customHeight="1" x14ac:dyDescent="0.25">
      <c r="B1221" s="26" t="s">
        <v>398</v>
      </c>
      <c r="C1221" s="1">
        <v>2</v>
      </c>
      <c r="D1221" s="27" t="s">
        <v>3171</v>
      </c>
      <c r="E1221" s="25"/>
      <c r="F1221" s="25" t="str">
        <f>IF(INDEX(I.Production.P4Y3C2,2)="","",INDEX(I.Production.P4Y3C2,2))</f>
        <v/>
      </c>
      <c r="G1221" s="25"/>
      <c r="H1221" s="1" t="str">
        <f t="shared" si="35"/>
        <v>Complete</v>
      </c>
      <c r="I1221" s="48" t="s">
        <v>2028</v>
      </c>
    </row>
    <row r="1222" spans="2:9" ht="15" customHeight="1" x14ac:dyDescent="0.25">
      <c r="B1222" s="26" t="s">
        <v>398</v>
      </c>
      <c r="C1222" s="1">
        <v>3</v>
      </c>
      <c r="D1222" s="27" t="s">
        <v>3171</v>
      </c>
      <c r="E1222" s="25"/>
      <c r="F1222" s="25" t="str">
        <f>IF(INDEX(I.Production.P4Y3C2,3)="","",INDEX(I.Production.P4Y3C2,3))</f>
        <v/>
      </c>
      <c r="G1222" s="25"/>
      <c r="H1222" s="1" t="str">
        <f t="shared" si="35"/>
        <v>Complete</v>
      </c>
      <c r="I1222" s="48" t="s">
        <v>2029</v>
      </c>
    </row>
    <row r="1223" spans="2:9" ht="15" customHeight="1" x14ac:dyDescent="0.25">
      <c r="B1223" s="26" t="s">
        <v>398</v>
      </c>
      <c r="C1223" s="1">
        <v>4</v>
      </c>
      <c r="D1223" s="27" t="s">
        <v>3171</v>
      </c>
      <c r="E1223" s="25"/>
      <c r="F1223" s="25" t="str">
        <f>IF(INDEX(I.Production.P4Y3C2,4)="","",INDEX(I.Production.P4Y3C2,4))</f>
        <v/>
      </c>
      <c r="G1223" s="25"/>
      <c r="H1223" s="1" t="str">
        <f t="shared" si="35"/>
        <v>Complete</v>
      </c>
      <c r="I1223" s="48" t="s">
        <v>2030</v>
      </c>
    </row>
    <row r="1224" spans="2:9" ht="15" customHeight="1" x14ac:dyDescent="0.25">
      <c r="B1224" s="26" t="s">
        <v>398</v>
      </c>
      <c r="C1224" s="1">
        <v>5</v>
      </c>
      <c r="D1224" s="27" t="s">
        <v>3171</v>
      </c>
      <c r="E1224" s="25"/>
      <c r="F1224" s="25" t="str">
        <f>IF(INDEX(I.Production.P4Y3C2,5)="","",INDEX(I.Production.P4Y3C2,5))</f>
        <v/>
      </c>
      <c r="G1224" s="25"/>
      <c r="H1224" s="1" t="str">
        <f t="shared" si="35"/>
        <v>Complete</v>
      </c>
      <c r="I1224" s="48" t="s">
        <v>2031</v>
      </c>
    </row>
    <row r="1225" spans="2:9" ht="15" customHeight="1" x14ac:dyDescent="0.25">
      <c r="B1225" s="26" t="s">
        <v>398</v>
      </c>
      <c r="C1225" s="1">
        <v>6</v>
      </c>
      <c r="D1225" s="27" t="s">
        <v>3171</v>
      </c>
      <c r="E1225" s="25"/>
      <c r="F1225" s="25" t="str">
        <f>IF(INDEX(I.Production.P4Y3C2,6)="","",INDEX(I.Production.P4Y3C2,6))</f>
        <v/>
      </c>
      <c r="G1225" s="25"/>
      <c r="H1225" s="1" t="str">
        <f t="shared" si="35"/>
        <v>Complete</v>
      </c>
      <c r="I1225" s="48" t="s">
        <v>2032</v>
      </c>
    </row>
    <row r="1226" spans="2:9" ht="15" customHeight="1" x14ac:dyDescent="0.25">
      <c r="B1226" s="26" t="s">
        <v>398</v>
      </c>
      <c r="C1226" s="1">
        <v>7</v>
      </c>
      <c r="D1226" s="27" t="s">
        <v>3171</v>
      </c>
      <c r="E1226" s="25"/>
      <c r="F1226" s="25" t="str">
        <f>IF(INDEX(I.Production.P4Y3C2,7)="","",INDEX(I.Production.P4Y3C2,7))</f>
        <v/>
      </c>
      <c r="G1226" s="25"/>
      <c r="H1226" s="1" t="str">
        <f t="shared" si="35"/>
        <v>Complete</v>
      </c>
      <c r="I1226" s="48" t="s">
        <v>2033</v>
      </c>
    </row>
    <row r="1227" spans="2:9" ht="15" customHeight="1" x14ac:dyDescent="0.25">
      <c r="B1227" s="26" t="s">
        <v>398</v>
      </c>
      <c r="C1227" s="1">
        <v>8</v>
      </c>
      <c r="D1227" s="27" t="s">
        <v>3171</v>
      </c>
      <c r="E1227" s="25"/>
      <c r="F1227" s="25" t="str">
        <f>IF(INDEX(I.Production.P4Y3C2,8)="","",INDEX(I.Production.P4Y3C2,8))</f>
        <v/>
      </c>
      <c r="G1227" s="25"/>
      <c r="H1227" s="1" t="str">
        <f t="shared" si="35"/>
        <v>Complete</v>
      </c>
      <c r="I1227" s="48" t="s">
        <v>2034</v>
      </c>
    </row>
    <row r="1228" spans="2:9" ht="15" customHeight="1" x14ac:dyDescent="0.25">
      <c r="B1228" s="26" t="s">
        <v>398</v>
      </c>
      <c r="C1228" s="1">
        <v>9</v>
      </c>
      <c r="D1228" s="27" t="s">
        <v>3171</v>
      </c>
      <c r="E1228" s="25"/>
      <c r="F1228" s="25" t="str">
        <f>IF(INDEX(I.Production.P4Y3C2,9)="","",INDEX(I.Production.P4Y3C2,9))</f>
        <v/>
      </c>
      <c r="G1228" s="25"/>
      <c r="H1228" s="1" t="str">
        <f t="shared" si="35"/>
        <v>Complete</v>
      </c>
      <c r="I1228" s="48" t="s">
        <v>2035</v>
      </c>
    </row>
    <row r="1229" spans="2:9" ht="15" customHeight="1" x14ac:dyDescent="0.25">
      <c r="B1229" s="26" t="s">
        <v>398</v>
      </c>
      <c r="C1229" s="1">
        <v>10</v>
      </c>
      <c r="D1229" s="27" t="s">
        <v>3171</v>
      </c>
      <c r="E1229" s="25"/>
      <c r="F1229" s="25" t="str">
        <f>IF(INDEX(I.Production.P4Y3C2,10)="","",INDEX(I.Production.P4Y3C2,10))</f>
        <v/>
      </c>
      <c r="G1229" s="25"/>
      <c r="H1229" s="1" t="str">
        <f t="shared" si="35"/>
        <v>Complete</v>
      </c>
      <c r="I1229" s="48" t="s">
        <v>2036</v>
      </c>
    </row>
    <row r="1230" spans="2:9" ht="15" customHeight="1" x14ac:dyDescent="0.25">
      <c r="B1230" s="26" t="s">
        <v>398</v>
      </c>
      <c r="C1230" s="1">
        <v>11</v>
      </c>
      <c r="D1230" s="27" t="s">
        <v>3171</v>
      </c>
      <c r="E1230" s="25"/>
      <c r="F1230" s="25" t="str">
        <f>IF(INDEX(I.Production.P4Y3C2,11)="","",INDEX(I.Production.P4Y3C2,11))</f>
        <v/>
      </c>
      <c r="G1230" s="25"/>
      <c r="H1230" s="1" t="str">
        <f t="shared" si="35"/>
        <v>Complete</v>
      </c>
      <c r="I1230" s="48" t="s">
        <v>2037</v>
      </c>
    </row>
    <row r="1231" spans="2:9" ht="15" customHeight="1" x14ac:dyDescent="0.25">
      <c r="B1231" s="26" t="s">
        <v>398</v>
      </c>
      <c r="C1231" s="1">
        <v>12</v>
      </c>
      <c r="D1231" s="27" t="s">
        <v>3171</v>
      </c>
      <c r="E1231" s="25"/>
      <c r="F1231" s="25" t="str">
        <f>IF(INDEX(I.Production.P4Y3C2,12)="","",INDEX(I.Production.P4Y3C2,12))</f>
        <v/>
      </c>
      <c r="G1231" s="25"/>
      <c r="H1231" s="1" t="str">
        <f t="shared" si="35"/>
        <v>Complete</v>
      </c>
      <c r="I1231" s="48" t="s">
        <v>2038</v>
      </c>
    </row>
    <row r="1232" spans="2:9" ht="15" customHeight="1" x14ac:dyDescent="0.25">
      <c r="B1232" s="26" t="s">
        <v>398</v>
      </c>
      <c r="C1232" s="1">
        <v>13</v>
      </c>
      <c r="D1232" s="27" t="s">
        <v>3171</v>
      </c>
      <c r="E1232" s="25"/>
      <c r="F1232" s="25" t="str">
        <f>IF(INDEX(I.Production.P4Y3C2,13)="","",INDEX(I.Production.P4Y3C2,13))</f>
        <v/>
      </c>
      <c r="G1232" s="25"/>
      <c r="H1232" s="1" t="str">
        <f t="shared" si="35"/>
        <v>Complete</v>
      </c>
      <c r="I1232" s="48" t="s">
        <v>2039</v>
      </c>
    </row>
    <row r="1233" spans="2:9" ht="15" customHeight="1" x14ac:dyDescent="0.25">
      <c r="B1233" s="26" t="s">
        <v>398</v>
      </c>
      <c r="C1233" s="1">
        <v>14</v>
      </c>
      <c r="D1233" s="27" t="s">
        <v>3171</v>
      </c>
      <c r="E1233" s="25"/>
      <c r="F1233" s="25" t="str">
        <f>IF(INDEX(I.Production.P4Y3C2,14)="","",INDEX(I.Production.P4Y3C2,14))</f>
        <v/>
      </c>
      <c r="G1233" s="25"/>
      <c r="H1233" s="1" t="str">
        <f t="shared" si="35"/>
        <v>Complete</v>
      </c>
      <c r="I1233" s="48" t="s">
        <v>2040</v>
      </c>
    </row>
    <row r="1234" spans="2:9" ht="15" customHeight="1" x14ac:dyDescent="0.25">
      <c r="B1234" s="26" t="s">
        <v>398</v>
      </c>
      <c r="C1234" s="1">
        <v>15</v>
      </c>
      <c r="D1234" s="27" t="s">
        <v>3171</v>
      </c>
      <c r="E1234" s="25"/>
      <c r="F1234" s="25" t="str">
        <f>IF(INDEX(I.Production.P4Y3C2,15)="","",INDEX(I.Production.P4Y3C2,15))</f>
        <v/>
      </c>
      <c r="G1234" s="25"/>
      <c r="H1234" s="1" t="str">
        <f t="shared" si="35"/>
        <v>Complete</v>
      </c>
      <c r="I1234" s="48" t="s">
        <v>2041</v>
      </c>
    </row>
    <row r="1235" spans="2:9" ht="15" customHeight="1" x14ac:dyDescent="0.25">
      <c r="B1235" s="26" t="s">
        <v>398</v>
      </c>
      <c r="C1235" s="1">
        <v>16</v>
      </c>
      <c r="D1235" s="27" t="s">
        <v>3171</v>
      </c>
      <c r="E1235" s="25"/>
      <c r="F1235" s="25" t="str">
        <f>IF(INDEX(I.Production.P4Y3C2,16)="","",INDEX(I.Production.P4Y3C2,16))</f>
        <v/>
      </c>
      <c r="G1235" s="25"/>
      <c r="H1235" s="1" t="str">
        <f t="shared" si="35"/>
        <v>Complete</v>
      </c>
      <c r="I1235" s="48" t="s">
        <v>2042</v>
      </c>
    </row>
    <row r="1236" spans="2:9" ht="15" customHeight="1" x14ac:dyDescent="0.25">
      <c r="B1236" s="26" t="s">
        <v>398</v>
      </c>
      <c r="C1236" s="1">
        <v>17</v>
      </c>
      <c r="D1236" s="27" t="s">
        <v>3171</v>
      </c>
      <c r="E1236" s="25"/>
      <c r="F1236" s="25" t="str">
        <f>IF(INDEX(I.Production.P4Y3C2,17)="","",INDEX(I.Production.P4Y3C2,17))</f>
        <v/>
      </c>
      <c r="G1236" s="25"/>
      <c r="H1236" s="1" t="str">
        <f t="shared" si="35"/>
        <v>Complete</v>
      </c>
      <c r="I1236" s="48" t="s">
        <v>2043</v>
      </c>
    </row>
    <row r="1237" spans="2:9" ht="15" customHeight="1" x14ac:dyDescent="0.25">
      <c r="B1237" s="26" t="s">
        <v>398</v>
      </c>
      <c r="C1237" s="1">
        <v>18</v>
      </c>
      <c r="D1237" s="27" t="s">
        <v>3171</v>
      </c>
      <c r="E1237" s="25"/>
      <c r="F1237" s="25" t="str">
        <f>IF(INDEX(I.Production.P4Y3C2,18)="","",INDEX(I.Production.P4Y3C2,18))</f>
        <v/>
      </c>
      <c r="G1237" s="25"/>
      <c r="H1237" s="1" t="str">
        <f t="shared" si="35"/>
        <v>Complete</v>
      </c>
      <c r="I1237" s="48" t="s">
        <v>2044</v>
      </c>
    </row>
    <row r="1238" spans="2:9" ht="15" customHeight="1" x14ac:dyDescent="0.25">
      <c r="B1238" s="26" t="s">
        <v>398</v>
      </c>
      <c r="C1238" s="1">
        <v>19</v>
      </c>
      <c r="D1238" s="27" t="s">
        <v>3171</v>
      </c>
      <c r="E1238" s="25"/>
      <c r="F1238" s="25" t="str">
        <f>IF(INDEX(I.Production.P4Y3C2,19)="","",INDEX(I.Production.P4Y3C2,19))</f>
        <v/>
      </c>
      <c r="G1238" s="25"/>
      <c r="H1238" s="1" t="str">
        <f t="shared" si="35"/>
        <v>Complete</v>
      </c>
      <c r="I1238" s="48" t="s">
        <v>2045</v>
      </c>
    </row>
    <row r="1239" spans="2:9" ht="15" customHeight="1" x14ac:dyDescent="0.25">
      <c r="B1239" s="26" t="s">
        <v>398</v>
      </c>
      <c r="C1239" s="1">
        <v>20</v>
      </c>
      <c r="D1239" s="27" t="s">
        <v>3171</v>
      </c>
      <c r="E1239" s="25"/>
      <c r="F1239" s="25" t="str">
        <f>IF(INDEX(I.Production.P4Y3C2,20)="","",INDEX(I.Production.P4Y3C2,20))</f>
        <v/>
      </c>
      <c r="G1239" s="25"/>
      <c r="H1239" s="1" t="str">
        <f t="shared" si="35"/>
        <v>Complete</v>
      </c>
      <c r="I1239" s="48" t="s">
        <v>2046</v>
      </c>
    </row>
    <row r="1240" spans="2:9" ht="15" customHeight="1" x14ac:dyDescent="0.25">
      <c r="B1240" s="26" t="s">
        <v>398</v>
      </c>
      <c r="C1240" s="1">
        <v>21</v>
      </c>
      <c r="D1240" s="27" t="s">
        <v>3171</v>
      </c>
      <c r="E1240" s="25"/>
      <c r="F1240" s="25" t="str">
        <f>IF(INDEX(I.Production.P4Y3C2,21)="","",INDEX(I.Production.P4Y3C2,21))</f>
        <v/>
      </c>
      <c r="G1240" s="25"/>
      <c r="H1240" s="1" t="str">
        <f t="shared" si="35"/>
        <v>Complete</v>
      </c>
      <c r="I1240" s="48" t="s">
        <v>2047</v>
      </c>
    </row>
    <row r="1241" spans="2:9" ht="15" customHeight="1" x14ac:dyDescent="0.25">
      <c r="B1241" s="26" t="s">
        <v>398</v>
      </c>
      <c r="C1241" s="1">
        <v>22</v>
      </c>
      <c r="D1241" s="27" t="s">
        <v>3171</v>
      </c>
      <c r="E1241" s="25"/>
      <c r="F1241" s="25" t="str">
        <f>IF(INDEX(I.Production.P4Y3C2,22)="","",INDEX(I.Production.P4Y3C2,22))</f>
        <v/>
      </c>
      <c r="G1241" s="25"/>
      <c r="H1241" s="1" t="str">
        <f t="shared" si="35"/>
        <v>Complete</v>
      </c>
      <c r="I1241" s="48" t="s">
        <v>2048</v>
      </c>
    </row>
    <row r="1242" spans="2:9" ht="15" customHeight="1" x14ac:dyDescent="0.25">
      <c r="B1242" s="26" t="s">
        <v>398</v>
      </c>
      <c r="C1242" s="1">
        <v>23</v>
      </c>
      <c r="D1242" s="27" t="s">
        <v>3171</v>
      </c>
      <c r="E1242" s="25"/>
      <c r="F1242" s="25" t="str">
        <f>IF(INDEX(I.Production.P4Y3C2,23)="","",INDEX(I.Production.P4Y3C2,23))</f>
        <v/>
      </c>
      <c r="G1242" s="25"/>
      <c r="H1242" s="1" t="str">
        <f t="shared" si="35"/>
        <v>Complete</v>
      </c>
      <c r="I1242" s="48" t="s">
        <v>2049</v>
      </c>
    </row>
    <row r="1243" spans="2:9" ht="15" customHeight="1" x14ac:dyDescent="0.25">
      <c r="B1243" s="34" t="s">
        <v>398</v>
      </c>
      <c r="C1243" s="35">
        <v>24</v>
      </c>
      <c r="D1243" s="46" t="s">
        <v>3171</v>
      </c>
      <c r="E1243" s="45"/>
      <c r="F1243" s="45" t="str">
        <f>IF(INDEX(I.Production.P4Y3C2,24)="","",INDEX(I.Production.P4Y3C2,24))</f>
        <v/>
      </c>
      <c r="G1243" s="45"/>
      <c r="H1243" s="35" t="str">
        <f t="shared" si="35"/>
        <v>Complete</v>
      </c>
      <c r="I1243" s="49" t="s">
        <v>2050</v>
      </c>
    </row>
    <row r="1244" spans="2:9" ht="15" customHeight="1" x14ac:dyDescent="0.25">
      <c r="B1244" s="26" t="s">
        <v>399</v>
      </c>
      <c r="C1244" s="1">
        <v>1</v>
      </c>
      <c r="D1244" s="27" t="s">
        <v>3172</v>
      </c>
      <c r="E1244" s="25"/>
      <c r="F1244" s="25" t="str">
        <f>IF(INDEX(I.Production.P4Y1C3,1)="","",INDEX(I.Production.P4Y1C3,1))</f>
        <v/>
      </c>
      <c r="G1244" s="25"/>
      <c r="H1244" s="1" t="str">
        <f t="shared" ref="H1244:H1285" si="36">IF(AND(I.Facility.ProductCount&gt;=4,I.Developer.P4C3=TRUE,F1244=""),"Incomplete","Complete")</f>
        <v>Complete</v>
      </c>
      <c r="I1244" s="48" t="s">
        <v>2051</v>
      </c>
    </row>
    <row r="1245" spans="2:9" ht="15" customHeight="1" x14ac:dyDescent="0.25">
      <c r="B1245" s="26" t="s">
        <v>399</v>
      </c>
      <c r="C1245" s="1">
        <v>2</v>
      </c>
      <c r="D1245" s="27" t="s">
        <v>3172</v>
      </c>
      <c r="E1245" s="25"/>
      <c r="F1245" s="25" t="str">
        <f>IF(INDEX(I.Production.P4Y1C3,2)="","",INDEX(I.Production.P4Y1C3,2))</f>
        <v/>
      </c>
      <c r="G1245" s="25"/>
      <c r="H1245" s="1" t="str">
        <f t="shared" si="36"/>
        <v>Complete</v>
      </c>
      <c r="I1245" s="48" t="s">
        <v>2052</v>
      </c>
    </row>
    <row r="1246" spans="2:9" ht="15" customHeight="1" x14ac:dyDescent="0.25">
      <c r="B1246" s="26" t="s">
        <v>399</v>
      </c>
      <c r="C1246" s="1">
        <v>3</v>
      </c>
      <c r="D1246" s="27" t="s">
        <v>3172</v>
      </c>
      <c r="E1246" s="25"/>
      <c r="F1246" s="25" t="str">
        <f>IF(INDEX(I.Production.P4Y1C3,3)="","",INDEX(I.Production.P4Y1C3,3))</f>
        <v/>
      </c>
      <c r="G1246" s="25"/>
      <c r="H1246" s="1" t="str">
        <f t="shared" si="36"/>
        <v>Complete</v>
      </c>
      <c r="I1246" s="48" t="s">
        <v>2053</v>
      </c>
    </row>
    <row r="1247" spans="2:9" ht="15" customHeight="1" x14ac:dyDescent="0.25">
      <c r="B1247" s="26" t="s">
        <v>399</v>
      </c>
      <c r="C1247" s="1">
        <v>4</v>
      </c>
      <c r="D1247" s="27" t="s">
        <v>3172</v>
      </c>
      <c r="E1247" s="25"/>
      <c r="F1247" s="25" t="str">
        <f>IF(INDEX(I.Production.P4Y1C3,4)="","",INDEX(I.Production.P4Y1C3,4))</f>
        <v/>
      </c>
      <c r="G1247" s="25"/>
      <c r="H1247" s="1" t="str">
        <f t="shared" si="36"/>
        <v>Complete</v>
      </c>
      <c r="I1247" s="48" t="s">
        <v>2054</v>
      </c>
    </row>
    <row r="1248" spans="2:9" ht="15" customHeight="1" x14ac:dyDescent="0.25">
      <c r="B1248" s="26" t="s">
        <v>399</v>
      </c>
      <c r="C1248" s="1">
        <v>5</v>
      </c>
      <c r="D1248" s="27" t="s">
        <v>3172</v>
      </c>
      <c r="E1248" s="25"/>
      <c r="F1248" s="25" t="str">
        <f>IF(INDEX(I.Production.P4Y1C3,5)="","",INDEX(I.Production.P4Y1C3,5))</f>
        <v/>
      </c>
      <c r="G1248" s="25"/>
      <c r="H1248" s="1" t="str">
        <f t="shared" si="36"/>
        <v>Complete</v>
      </c>
      <c r="I1248" s="48" t="s">
        <v>2055</v>
      </c>
    </row>
    <row r="1249" spans="2:9" ht="15" customHeight="1" x14ac:dyDescent="0.25">
      <c r="B1249" s="26" t="s">
        <v>399</v>
      </c>
      <c r="C1249" s="1">
        <v>6</v>
      </c>
      <c r="D1249" s="27" t="s">
        <v>3172</v>
      </c>
      <c r="E1249" s="25"/>
      <c r="F1249" s="25" t="str">
        <f>IF(INDEX(I.Production.P4Y1C3,6)="","",INDEX(I.Production.P4Y1C3,6))</f>
        <v/>
      </c>
      <c r="G1249" s="25"/>
      <c r="H1249" s="1" t="str">
        <f t="shared" si="36"/>
        <v>Complete</v>
      </c>
      <c r="I1249" s="48" t="s">
        <v>2056</v>
      </c>
    </row>
    <row r="1250" spans="2:9" ht="15" customHeight="1" x14ac:dyDescent="0.25">
      <c r="B1250" s="26" t="s">
        <v>399</v>
      </c>
      <c r="C1250" s="1">
        <v>7</v>
      </c>
      <c r="D1250" s="27" t="s">
        <v>3172</v>
      </c>
      <c r="E1250" s="25"/>
      <c r="F1250" s="25" t="str">
        <f>IF(INDEX(I.Production.P4Y1C3,7)="","",INDEX(I.Production.P4Y1C3,7))</f>
        <v/>
      </c>
      <c r="G1250" s="25"/>
      <c r="H1250" s="1" t="str">
        <f t="shared" si="36"/>
        <v>Complete</v>
      </c>
      <c r="I1250" s="48" t="s">
        <v>2057</v>
      </c>
    </row>
    <row r="1251" spans="2:9" ht="15" customHeight="1" x14ac:dyDescent="0.25">
      <c r="B1251" s="26" t="s">
        <v>399</v>
      </c>
      <c r="C1251" s="1">
        <v>8</v>
      </c>
      <c r="D1251" s="27" t="s">
        <v>3172</v>
      </c>
      <c r="E1251" s="25"/>
      <c r="F1251" s="25" t="str">
        <f>IF(INDEX(I.Production.P4Y1C3,8)="","",INDEX(I.Production.P4Y1C3,8))</f>
        <v/>
      </c>
      <c r="G1251" s="25"/>
      <c r="H1251" s="1" t="str">
        <f t="shared" si="36"/>
        <v>Complete</v>
      </c>
      <c r="I1251" s="48" t="s">
        <v>2058</v>
      </c>
    </row>
    <row r="1252" spans="2:9" ht="15" customHeight="1" x14ac:dyDescent="0.25">
      <c r="B1252" s="26" t="s">
        <v>399</v>
      </c>
      <c r="C1252" s="1">
        <v>9</v>
      </c>
      <c r="D1252" s="27" t="s">
        <v>3172</v>
      </c>
      <c r="E1252" s="25"/>
      <c r="F1252" s="25" t="str">
        <f>IF(INDEX(I.Production.P4Y1C3,9)="","",INDEX(I.Production.P4Y1C3,9))</f>
        <v/>
      </c>
      <c r="G1252" s="25"/>
      <c r="H1252" s="1" t="str">
        <f t="shared" si="36"/>
        <v>Complete</v>
      </c>
      <c r="I1252" s="48" t="s">
        <v>2059</v>
      </c>
    </row>
    <row r="1253" spans="2:9" ht="15" customHeight="1" x14ac:dyDescent="0.25">
      <c r="B1253" s="26" t="s">
        <v>399</v>
      </c>
      <c r="C1253" s="1">
        <v>10</v>
      </c>
      <c r="D1253" s="27" t="s">
        <v>3172</v>
      </c>
      <c r="E1253" s="25"/>
      <c r="F1253" s="25" t="str">
        <f>IF(INDEX(I.Production.P4Y1C3,10)="","",INDEX(I.Production.P4Y1C3,10))</f>
        <v/>
      </c>
      <c r="G1253" s="25"/>
      <c r="H1253" s="1" t="str">
        <f t="shared" si="36"/>
        <v>Complete</v>
      </c>
      <c r="I1253" s="48" t="s">
        <v>2060</v>
      </c>
    </row>
    <row r="1254" spans="2:9" ht="15" customHeight="1" x14ac:dyDescent="0.25">
      <c r="B1254" s="26" t="s">
        <v>399</v>
      </c>
      <c r="C1254" s="1">
        <v>11</v>
      </c>
      <c r="D1254" s="27" t="s">
        <v>3172</v>
      </c>
      <c r="E1254" s="25"/>
      <c r="F1254" s="25" t="str">
        <f>IF(INDEX(I.Production.P4Y1C3,11)="","",INDEX(I.Production.P4Y1C3,11))</f>
        <v/>
      </c>
      <c r="G1254" s="25"/>
      <c r="H1254" s="1" t="str">
        <f t="shared" si="36"/>
        <v>Complete</v>
      </c>
      <c r="I1254" s="48" t="s">
        <v>2061</v>
      </c>
    </row>
    <row r="1255" spans="2:9" ht="15" customHeight="1" x14ac:dyDescent="0.25">
      <c r="B1255" s="26" t="s">
        <v>399</v>
      </c>
      <c r="C1255" s="1">
        <v>12</v>
      </c>
      <c r="D1255" s="27" t="s">
        <v>3172</v>
      </c>
      <c r="E1255" s="25"/>
      <c r="F1255" s="25" t="str">
        <f>IF(INDEX(I.Production.P4Y1C3,12)="","",INDEX(I.Production.P4Y1C3,12))</f>
        <v/>
      </c>
      <c r="G1255" s="25"/>
      <c r="H1255" s="1" t="str">
        <f t="shared" si="36"/>
        <v>Complete</v>
      </c>
      <c r="I1255" s="48" t="s">
        <v>2062</v>
      </c>
    </row>
    <row r="1256" spans="2:9" ht="15" customHeight="1" x14ac:dyDescent="0.25">
      <c r="B1256" s="26" t="s">
        <v>399</v>
      </c>
      <c r="C1256" s="1">
        <v>13</v>
      </c>
      <c r="D1256" s="27" t="s">
        <v>3172</v>
      </c>
      <c r="E1256" s="25"/>
      <c r="F1256" s="25" t="str">
        <f>IF(INDEX(I.Production.P4Y1C3,13)="","",INDEX(I.Production.P4Y1C3,13))</f>
        <v/>
      </c>
      <c r="G1256" s="25"/>
      <c r="H1256" s="1" t="str">
        <f t="shared" si="36"/>
        <v>Complete</v>
      </c>
      <c r="I1256" s="48" t="s">
        <v>2063</v>
      </c>
    </row>
    <row r="1257" spans="2:9" ht="15" customHeight="1" x14ac:dyDescent="0.25">
      <c r="B1257" s="26" t="s">
        <v>399</v>
      </c>
      <c r="C1257" s="1">
        <v>14</v>
      </c>
      <c r="D1257" s="27" t="s">
        <v>3172</v>
      </c>
      <c r="E1257" s="25"/>
      <c r="F1257" s="25" t="str">
        <f>IF(INDEX(I.Production.P4Y1C3,14)="","",INDEX(I.Production.P4Y1C3,14))</f>
        <v/>
      </c>
      <c r="G1257" s="25"/>
      <c r="H1257" s="1" t="str">
        <f t="shared" si="36"/>
        <v>Complete</v>
      </c>
      <c r="I1257" s="48" t="s">
        <v>2064</v>
      </c>
    </row>
    <row r="1258" spans="2:9" ht="15" customHeight="1" x14ac:dyDescent="0.25">
      <c r="B1258" s="26" t="s">
        <v>399</v>
      </c>
      <c r="C1258" s="1">
        <v>15</v>
      </c>
      <c r="D1258" s="27" t="s">
        <v>3172</v>
      </c>
      <c r="E1258" s="25"/>
      <c r="F1258" s="25" t="str">
        <f>IF(INDEX(I.Production.P4Y1C3,15)="","",INDEX(I.Production.P4Y1C3,15))</f>
        <v/>
      </c>
      <c r="G1258" s="25"/>
      <c r="H1258" s="1" t="str">
        <f t="shared" si="36"/>
        <v>Complete</v>
      </c>
      <c r="I1258" s="48" t="s">
        <v>2065</v>
      </c>
    </row>
    <row r="1259" spans="2:9" ht="15" customHeight="1" x14ac:dyDescent="0.25">
      <c r="B1259" s="26" t="s">
        <v>399</v>
      </c>
      <c r="C1259" s="1">
        <v>16</v>
      </c>
      <c r="D1259" s="27" t="s">
        <v>3172</v>
      </c>
      <c r="E1259" s="25"/>
      <c r="F1259" s="25" t="str">
        <f>IF(INDEX(I.Production.P4Y1C3,16)="","",INDEX(I.Production.P4Y1C3,16))</f>
        <v/>
      </c>
      <c r="G1259" s="25"/>
      <c r="H1259" s="1" t="str">
        <f t="shared" si="36"/>
        <v>Complete</v>
      </c>
      <c r="I1259" s="48" t="s">
        <v>2066</v>
      </c>
    </row>
    <row r="1260" spans="2:9" ht="15" customHeight="1" x14ac:dyDescent="0.25">
      <c r="B1260" s="26" t="s">
        <v>399</v>
      </c>
      <c r="C1260" s="1">
        <v>17</v>
      </c>
      <c r="D1260" s="27" t="s">
        <v>3172</v>
      </c>
      <c r="E1260" s="25"/>
      <c r="F1260" s="25" t="str">
        <f>IF(INDEX(I.Production.P4Y1C3,17)="","",INDEX(I.Production.P4Y1C3,17))</f>
        <v/>
      </c>
      <c r="G1260" s="25"/>
      <c r="H1260" s="1" t="str">
        <f t="shared" si="36"/>
        <v>Complete</v>
      </c>
      <c r="I1260" s="48" t="s">
        <v>2067</v>
      </c>
    </row>
    <row r="1261" spans="2:9" ht="15" customHeight="1" x14ac:dyDescent="0.25">
      <c r="B1261" s="26" t="s">
        <v>399</v>
      </c>
      <c r="C1261" s="1">
        <v>18</v>
      </c>
      <c r="D1261" s="27" t="s">
        <v>3172</v>
      </c>
      <c r="E1261" s="25"/>
      <c r="F1261" s="25" t="str">
        <f>IF(INDEX(I.Production.P4Y1C3,18)="","",INDEX(I.Production.P4Y1C3,18))</f>
        <v/>
      </c>
      <c r="G1261" s="25"/>
      <c r="H1261" s="1" t="str">
        <f t="shared" si="36"/>
        <v>Complete</v>
      </c>
      <c r="I1261" s="48" t="s">
        <v>2068</v>
      </c>
    </row>
    <row r="1262" spans="2:9" ht="15" customHeight="1" x14ac:dyDescent="0.25">
      <c r="B1262" s="26" t="s">
        <v>399</v>
      </c>
      <c r="C1262" s="1">
        <v>19</v>
      </c>
      <c r="D1262" s="27" t="s">
        <v>3172</v>
      </c>
      <c r="E1262" s="25"/>
      <c r="F1262" s="25" t="str">
        <f>IF(INDEX(I.Production.P4Y1C3,19)="","",INDEX(I.Production.P4Y1C3,19))</f>
        <v/>
      </c>
      <c r="G1262" s="25"/>
      <c r="H1262" s="1" t="str">
        <f t="shared" si="36"/>
        <v>Complete</v>
      </c>
      <c r="I1262" s="48" t="s">
        <v>2069</v>
      </c>
    </row>
    <row r="1263" spans="2:9" ht="15" customHeight="1" x14ac:dyDescent="0.25">
      <c r="B1263" s="26" t="s">
        <v>399</v>
      </c>
      <c r="C1263" s="1">
        <v>20</v>
      </c>
      <c r="D1263" s="27" t="s">
        <v>3172</v>
      </c>
      <c r="E1263" s="25"/>
      <c r="F1263" s="25" t="str">
        <f>IF(INDEX(I.Production.P4Y1C3,20)="","",INDEX(I.Production.P4Y1C3,20))</f>
        <v/>
      </c>
      <c r="G1263" s="25"/>
      <c r="H1263" s="1" t="str">
        <f t="shared" si="36"/>
        <v>Complete</v>
      </c>
      <c r="I1263" s="48" t="s">
        <v>2070</v>
      </c>
    </row>
    <row r="1264" spans="2:9" ht="15" customHeight="1" x14ac:dyDescent="0.25">
      <c r="B1264" s="34" t="s">
        <v>399</v>
      </c>
      <c r="C1264" s="35">
        <v>21</v>
      </c>
      <c r="D1264" s="46" t="s">
        <v>3172</v>
      </c>
      <c r="E1264" s="45"/>
      <c r="F1264" s="45" t="str">
        <f>IF(INDEX(I.Production.P4Y1C3,21)="","",INDEX(I.Production.P4Y1C3,21))</f>
        <v/>
      </c>
      <c r="G1264" s="45"/>
      <c r="H1264" s="35" t="str">
        <f t="shared" si="36"/>
        <v>Complete</v>
      </c>
      <c r="I1264" s="49" t="s">
        <v>2071</v>
      </c>
    </row>
    <row r="1265" spans="2:9" ht="15" customHeight="1" x14ac:dyDescent="0.25">
      <c r="B1265" s="26" t="s">
        <v>400</v>
      </c>
      <c r="C1265" s="1">
        <v>1</v>
      </c>
      <c r="D1265" s="27" t="s">
        <v>3173</v>
      </c>
      <c r="E1265" s="25"/>
      <c r="F1265" s="25" t="str">
        <f>IF(INDEX(I.Production.P4Y2C3,1)="","",INDEX(I.Production.P4Y2C3,1))</f>
        <v/>
      </c>
      <c r="G1265" s="25"/>
      <c r="H1265" s="1" t="str">
        <f t="shared" si="36"/>
        <v>Complete</v>
      </c>
      <c r="I1265" s="48" t="s">
        <v>2072</v>
      </c>
    </row>
    <row r="1266" spans="2:9" ht="15" customHeight="1" x14ac:dyDescent="0.25">
      <c r="B1266" s="26" t="s">
        <v>400</v>
      </c>
      <c r="C1266" s="1">
        <v>2</v>
      </c>
      <c r="D1266" s="27" t="s">
        <v>3173</v>
      </c>
      <c r="E1266" s="25"/>
      <c r="F1266" s="25" t="str">
        <f>IF(INDEX(I.Production.P4Y2C3,2)="","",INDEX(I.Production.P4Y2C3,2))</f>
        <v/>
      </c>
      <c r="G1266" s="25"/>
      <c r="H1266" s="1" t="str">
        <f t="shared" si="36"/>
        <v>Complete</v>
      </c>
      <c r="I1266" s="48" t="s">
        <v>2073</v>
      </c>
    </row>
    <row r="1267" spans="2:9" ht="15" customHeight="1" x14ac:dyDescent="0.25">
      <c r="B1267" s="26" t="s">
        <v>400</v>
      </c>
      <c r="C1267" s="1">
        <v>3</v>
      </c>
      <c r="D1267" s="27" t="s">
        <v>3173</v>
      </c>
      <c r="E1267" s="25"/>
      <c r="F1267" s="25" t="str">
        <f>IF(INDEX(I.Production.P4Y2C3,3)="","",INDEX(I.Production.P4Y2C3,3))</f>
        <v/>
      </c>
      <c r="G1267" s="25"/>
      <c r="H1267" s="1" t="str">
        <f t="shared" si="36"/>
        <v>Complete</v>
      </c>
      <c r="I1267" s="48" t="s">
        <v>2074</v>
      </c>
    </row>
    <row r="1268" spans="2:9" ht="15" customHeight="1" x14ac:dyDescent="0.25">
      <c r="B1268" s="26" t="s">
        <v>400</v>
      </c>
      <c r="C1268" s="1">
        <v>4</v>
      </c>
      <c r="D1268" s="27" t="s">
        <v>3173</v>
      </c>
      <c r="E1268" s="25"/>
      <c r="F1268" s="25" t="str">
        <f>IF(INDEX(I.Production.P4Y2C3,4)="","",INDEX(I.Production.P4Y2C3,4))</f>
        <v/>
      </c>
      <c r="G1268" s="25"/>
      <c r="H1268" s="1" t="str">
        <f t="shared" si="36"/>
        <v>Complete</v>
      </c>
      <c r="I1268" s="48" t="s">
        <v>2075</v>
      </c>
    </row>
    <row r="1269" spans="2:9" ht="15" customHeight="1" x14ac:dyDescent="0.25">
      <c r="B1269" s="26" t="s">
        <v>400</v>
      </c>
      <c r="C1269" s="1">
        <v>5</v>
      </c>
      <c r="D1269" s="27" t="s">
        <v>3173</v>
      </c>
      <c r="E1269" s="25"/>
      <c r="F1269" s="25" t="str">
        <f>IF(INDEX(I.Production.P4Y2C3,5)="","",INDEX(I.Production.P4Y2C3,5))</f>
        <v/>
      </c>
      <c r="G1269" s="25"/>
      <c r="H1269" s="1" t="str">
        <f t="shared" si="36"/>
        <v>Complete</v>
      </c>
      <c r="I1269" s="48" t="s">
        <v>2076</v>
      </c>
    </row>
    <row r="1270" spans="2:9" ht="15" customHeight="1" x14ac:dyDescent="0.25">
      <c r="B1270" s="26" t="s">
        <v>400</v>
      </c>
      <c r="C1270" s="1">
        <v>6</v>
      </c>
      <c r="D1270" s="27" t="s">
        <v>3173</v>
      </c>
      <c r="E1270" s="25"/>
      <c r="F1270" s="25" t="str">
        <f>IF(INDEX(I.Production.P4Y2C3,6)="","",INDEX(I.Production.P4Y2C3,6))</f>
        <v/>
      </c>
      <c r="G1270" s="25"/>
      <c r="H1270" s="1" t="str">
        <f t="shared" si="36"/>
        <v>Complete</v>
      </c>
      <c r="I1270" s="48" t="s">
        <v>2077</v>
      </c>
    </row>
    <row r="1271" spans="2:9" ht="15" customHeight="1" x14ac:dyDescent="0.25">
      <c r="B1271" s="26" t="s">
        <v>400</v>
      </c>
      <c r="C1271" s="1">
        <v>7</v>
      </c>
      <c r="D1271" s="27" t="s">
        <v>3173</v>
      </c>
      <c r="E1271" s="25"/>
      <c r="F1271" s="25" t="str">
        <f>IF(INDEX(I.Production.P4Y2C3,7)="","",INDEX(I.Production.P4Y2C3,7))</f>
        <v/>
      </c>
      <c r="G1271" s="25"/>
      <c r="H1271" s="1" t="str">
        <f t="shared" si="36"/>
        <v>Complete</v>
      </c>
      <c r="I1271" s="48" t="s">
        <v>2078</v>
      </c>
    </row>
    <row r="1272" spans="2:9" ht="15" customHeight="1" x14ac:dyDescent="0.25">
      <c r="B1272" s="26" t="s">
        <v>400</v>
      </c>
      <c r="C1272" s="1">
        <v>8</v>
      </c>
      <c r="D1272" s="27" t="s">
        <v>3173</v>
      </c>
      <c r="E1272" s="25"/>
      <c r="F1272" s="25" t="str">
        <f>IF(INDEX(I.Production.P4Y2C3,8)="","",INDEX(I.Production.P4Y2C3,8))</f>
        <v/>
      </c>
      <c r="G1272" s="25"/>
      <c r="H1272" s="1" t="str">
        <f t="shared" si="36"/>
        <v>Complete</v>
      </c>
      <c r="I1272" s="48" t="s">
        <v>2079</v>
      </c>
    </row>
    <row r="1273" spans="2:9" ht="15" customHeight="1" x14ac:dyDescent="0.25">
      <c r="B1273" s="26" t="s">
        <v>400</v>
      </c>
      <c r="C1273" s="1">
        <v>9</v>
      </c>
      <c r="D1273" s="27" t="s">
        <v>3173</v>
      </c>
      <c r="E1273" s="25"/>
      <c r="F1273" s="25" t="str">
        <f>IF(INDEX(I.Production.P4Y2C3,9)="","",INDEX(I.Production.P4Y2C3,9))</f>
        <v/>
      </c>
      <c r="G1273" s="25"/>
      <c r="H1273" s="1" t="str">
        <f t="shared" si="36"/>
        <v>Complete</v>
      </c>
      <c r="I1273" s="48" t="s">
        <v>2080</v>
      </c>
    </row>
    <row r="1274" spans="2:9" ht="15" customHeight="1" x14ac:dyDescent="0.25">
      <c r="B1274" s="26" t="s">
        <v>400</v>
      </c>
      <c r="C1274" s="1">
        <v>10</v>
      </c>
      <c r="D1274" s="27" t="s">
        <v>3173</v>
      </c>
      <c r="E1274" s="25"/>
      <c r="F1274" s="25" t="str">
        <f>IF(INDEX(I.Production.P4Y2C3,10)="","",INDEX(I.Production.P4Y2C3,10))</f>
        <v/>
      </c>
      <c r="G1274" s="25"/>
      <c r="H1274" s="1" t="str">
        <f t="shared" si="36"/>
        <v>Complete</v>
      </c>
      <c r="I1274" s="48" t="s">
        <v>2081</v>
      </c>
    </row>
    <row r="1275" spans="2:9" ht="15" customHeight="1" x14ac:dyDescent="0.25">
      <c r="B1275" s="26" t="s">
        <v>400</v>
      </c>
      <c r="C1275" s="1">
        <v>11</v>
      </c>
      <c r="D1275" s="27" t="s">
        <v>3173</v>
      </c>
      <c r="E1275" s="25"/>
      <c r="F1275" s="25" t="str">
        <f>IF(INDEX(I.Production.P4Y2C3,11)="","",INDEX(I.Production.P4Y2C3,11))</f>
        <v/>
      </c>
      <c r="G1275" s="25"/>
      <c r="H1275" s="1" t="str">
        <f t="shared" si="36"/>
        <v>Complete</v>
      </c>
      <c r="I1275" s="48" t="s">
        <v>2082</v>
      </c>
    </row>
    <row r="1276" spans="2:9" ht="15" customHeight="1" x14ac:dyDescent="0.25">
      <c r="B1276" s="26" t="s">
        <v>400</v>
      </c>
      <c r="C1276" s="1">
        <v>12</v>
      </c>
      <c r="D1276" s="27" t="s">
        <v>3173</v>
      </c>
      <c r="E1276" s="25"/>
      <c r="F1276" s="25" t="str">
        <f>IF(INDEX(I.Production.P4Y2C3,12)="","",INDEX(I.Production.P4Y2C3,12))</f>
        <v/>
      </c>
      <c r="G1276" s="25"/>
      <c r="H1276" s="1" t="str">
        <f t="shared" si="36"/>
        <v>Complete</v>
      </c>
      <c r="I1276" s="48" t="s">
        <v>2083</v>
      </c>
    </row>
    <row r="1277" spans="2:9" ht="15" customHeight="1" x14ac:dyDescent="0.25">
      <c r="B1277" s="26" t="s">
        <v>400</v>
      </c>
      <c r="C1277" s="1">
        <v>13</v>
      </c>
      <c r="D1277" s="27" t="s">
        <v>3173</v>
      </c>
      <c r="E1277" s="25"/>
      <c r="F1277" s="25" t="str">
        <f>IF(INDEX(I.Production.P4Y2C3,13)="","",INDEX(I.Production.P4Y2C3,13))</f>
        <v/>
      </c>
      <c r="G1277" s="25"/>
      <c r="H1277" s="1" t="str">
        <f t="shared" si="36"/>
        <v>Complete</v>
      </c>
      <c r="I1277" s="48" t="s">
        <v>2084</v>
      </c>
    </row>
    <row r="1278" spans="2:9" ht="15" customHeight="1" x14ac:dyDescent="0.25">
      <c r="B1278" s="26" t="s">
        <v>400</v>
      </c>
      <c r="C1278" s="1">
        <v>14</v>
      </c>
      <c r="D1278" s="27" t="s">
        <v>3173</v>
      </c>
      <c r="E1278" s="25"/>
      <c r="F1278" s="25" t="str">
        <f>IF(INDEX(I.Production.P4Y2C3,14)="","",INDEX(I.Production.P4Y2C3,14))</f>
        <v/>
      </c>
      <c r="G1278" s="25"/>
      <c r="H1278" s="1" t="str">
        <f t="shared" si="36"/>
        <v>Complete</v>
      </c>
      <c r="I1278" s="48" t="s">
        <v>2085</v>
      </c>
    </row>
    <row r="1279" spans="2:9" ht="15" customHeight="1" x14ac:dyDescent="0.25">
      <c r="B1279" s="26" t="s">
        <v>400</v>
      </c>
      <c r="C1279" s="1">
        <v>15</v>
      </c>
      <c r="D1279" s="27" t="s">
        <v>3173</v>
      </c>
      <c r="E1279" s="25"/>
      <c r="F1279" s="25" t="str">
        <f>IF(INDEX(I.Production.P4Y2C3,15)="","",INDEX(I.Production.P4Y2C3,15))</f>
        <v/>
      </c>
      <c r="G1279" s="25"/>
      <c r="H1279" s="1" t="str">
        <f t="shared" si="36"/>
        <v>Complete</v>
      </c>
      <c r="I1279" s="48" t="s">
        <v>2086</v>
      </c>
    </row>
    <row r="1280" spans="2:9" ht="15" customHeight="1" x14ac:dyDescent="0.25">
      <c r="B1280" s="26" t="s">
        <v>400</v>
      </c>
      <c r="C1280" s="1">
        <v>16</v>
      </c>
      <c r="D1280" s="27" t="s">
        <v>3173</v>
      </c>
      <c r="E1280" s="25"/>
      <c r="F1280" s="25" t="str">
        <f>IF(INDEX(I.Production.P4Y2C3,16)="","",INDEX(I.Production.P4Y2C3,16))</f>
        <v/>
      </c>
      <c r="G1280" s="25"/>
      <c r="H1280" s="1" t="str">
        <f t="shared" si="36"/>
        <v>Complete</v>
      </c>
      <c r="I1280" s="48" t="s">
        <v>2087</v>
      </c>
    </row>
    <row r="1281" spans="2:9" ht="15" customHeight="1" x14ac:dyDescent="0.25">
      <c r="B1281" s="26" t="s">
        <v>400</v>
      </c>
      <c r="C1281" s="1">
        <v>17</v>
      </c>
      <c r="D1281" s="27" t="s">
        <v>3173</v>
      </c>
      <c r="E1281" s="25"/>
      <c r="F1281" s="25" t="str">
        <f>IF(INDEX(I.Production.P4Y2C3,17)="","",INDEX(I.Production.P4Y2C3,17))</f>
        <v/>
      </c>
      <c r="G1281" s="25"/>
      <c r="H1281" s="1" t="str">
        <f t="shared" si="36"/>
        <v>Complete</v>
      </c>
      <c r="I1281" s="48" t="s">
        <v>2088</v>
      </c>
    </row>
    <row r="1282" spans="2:9" ht="15" customHeight="1" x14ac:dyDescent="0.25">
      <c r="B1282" s="26" t="s">
        <v>400</v>
      </c>
      <c r="C1282" s="1">
        <v>18</v>
      </c>
      <c r="D1282" s="27" t="s">
        <v>3173</v>
      </c>
      <c r="E1282" s="25"/>
      <c r="F1282" s="25" t="str">
        <f>IF(INDEX(I.Production.P4Y2C3,18)="","",INDEX(I.Production.P4Y2C3,18))</f>
        <v/>
      </c>
      <c r="G1282" s="25"/>
      <c r="H1282" s="1" t="str">
        <f t="shared" si="36"/>
        <v>Complete</v>
      </c>
      <c r="I1282" s="48" t="s">
        <v>2089</v>
      </c>
    </row>
    <row r="1283" spans="2:9" ht="15" customHeight="1" x14ac:dyDescent="0.25">
      <c r="B1283" s="26" t="s">
        <v>400</v>
      </c>
      <c r="C1283" s="1">
        <v>19</v>
      </c>
      <c r="D1283" s="27" t="s">
        <v>3173</v>
      </c>
      <c r="E1283" s="25"/>
      <c r="F1283" s="25" t="str">
        <f>IF(INDEX(I.Production.P4Y2C3,19)="","",INDEX(I.Production.P4Y2C3,19))</f>
        <v/>
      </c>
      <c r="G1283" s="25"/>
      <c r="H1283" s="1" t="str">
        <f t="shared" si="36"/>
        <v>Complete</v>
      </c>
      <c r="I1283" s="48" t="s">
        <v>2090</v>
      </c>
    </row>
    <row r="1284" spans="2:9" ht="15" customHeight="1" x14ac:dyDescent="0.25">
      <c r="B1284" s="26" t="s">
        <v>400</v>
      </c>
      <c r="C1284" s="1">
        <v>20</v>
      </c>
      <c r="D1284" s="27" t="s">
        <v>3173</v>
      </c>
      <c r="E1284" s="25"/>
      <c r="F1284" s="25" t="str">
        <f>IF(INDEX(I.Production.P4Y2C3,20)="","",INDEX(I.Production.P4Y2C3,20))</f>
        <v/>
      </c>
      <c r="G1284" s="25"/>
      <c r="H1284" s="1" t="str">
        <f t="shared" si="36"/>
        <v>Complete</v>
      </c>
      <c r="I1284" s="48" t="s">
        <v>2091</v>
      </c>
    </row>
    <row r="1285" spans="2:9" ht="15" customHeight="1" x14ac:dyDescent="0.25">
      <c r="B1285" s="34" t="s">
        <v>400</v>
      </c>
      <c r="C1285" s="35">
        <v>21</v>
      </c>
      <c r="D1285" s="46" t="s">
        <v>3173</v>
      </c>
      <c r="E1285" s="45"/>
      <c r="F1285" s="45" t="str">
        <f>IF(INDEX(I.Production.P4Y2C3,21)="","",INDEX(I.Production.P4Y2C3,21))</f>
        <v/>
      </c>
      <c r="G1285" s="45"/>
      <c r="H1285" s="35" t="str">
        <f t="shared" si="36"/>
        <v>Complete</v>
      </c>
      <c r="I1285" s="49" t="s">
        <v>2092</v>
      </c>
    </row>
    <row r="1286" spans="2:9" ht="15" customHeight="1" x14ac:dyDescent="0.25">
      <c r="B1286" s="26" t="s">
        <v>401</v>
      </c>
      <c r="C1286" s="1">
        <v>1</v>
      </c>
      <c r="D1286" s="27" t="s">
        <v>3174</v>
      </c>
      <c r="E1286" s="25"/>
      <c r="F1286" s="25" t="str">
        <f>IF(INDEX(I.Production.P4Y3C3,1)="","",INDEX(I.Production.P4Y3C3,1))</f>
        <v/>
      </c>
      <c r="G1286" s="25"/>
      <c r="H1286" s="1" t="str">
        <f t="shared" ref="H1286:H1306" si="37">IF(AND(I.Facility.ProductCount&gt;=4,I.Developer.P4C3=TRUE,I.Product.P4Status&lt;&gt;"Yes",F1286=""),"Incomplete","Complete")</f>
        <v>Complete</v>
      </c>
      <c r="I1286" s="48" t="s">
        <v>2093</v>
      </c>
    </row>
    <row r="1287" spans="2:9" ht="15" customHeight="1" x14ac:dyDescent="0.25">
      <c r="B1287" s="26" t="s">
        <v>401</v>
      </c>
      <c r="C1287" s="1">
        <v>2</v>
      </c>
      <c r="D1287" s="27" t="s">
        <v>3174</v>
      </c>
      <c r="E1287" s="25"/>
      <c r="F1287" s="25" t="str">
        <f>IF(INDEX(I.Production.P4Y3C3,2)="","",INDEX(I.Production.P4Y3C3,2))</f>
        <v/>
      </c>
      <c r="G1287" s="25"/>
      <c r="H1287" s="1" t="str">
        <f t="shared" si="37"/>
        <v>Complete</v>
      </c>
      <c r="I1287" s="48" t="s">
        <v>2094</v>
      </c>
    </row>
    <row r="1288" spans="2:9" ht="15" customHeight="1" x14ac:dyDescent="0.25">
      <c r="B1288" s="26" t="s">
        <v>401</v>
      </c>
      <c r="C1288" s="1">
        <v>3</v>
      </c>
      <c r="D1288" s="27" t="s">
        <v>3174</v>
      </c>
      <c r="E1288" s="25"/>
      <c r="F1288" s="25" t="str">
        <f>IF(INDEX(I.Production.P4Y3C3,3)="","",INDEX(I.Production.P4Y3C3,3))</f>
        <v/>
      </c>
      <c r="G1288" s="25"/>
      <c r="H1288" s="1" t="str">
        <f t="shared" si="37"/>
        <v>Complete</v>
      </c>
      <c r="I1288" s="48" t="s">
        <v>2095</v>
      </c>
    </row>
    <row r="1289" spans="2:9" ht="15" customHeight="1" x14ac:dyDescent="0.25">
      <c r="B1289" s="26" t="s">
        <v>401</v>
      </c>
      <c r="C1289" s="1">
        <v>4</v>
      </c>
      <c r="D1289" s="27" t="s">
        <v>3174</v>
      </c>
      <c r="E1289" s="25"/>
      <c r="F1289" s="25" t="str">
        <f>IF(INDEX(I.Production.P4Y3C3,4)="","",INDEX(I.Production.P4Y3C3,4))</f>
        <v/>
      </c>
      <c r="G1289" s="25"/>
      <c r="H1289" s="1" t="str">
        <f t="shared" si="37"/>
        <v>Complete</v>
      </c>
      <c r="I1289" s="48" t="s">
        <v>2096</v>
      </c>
    </row>
    <row r="1290" spans="2:9" ht="15" customHeight="1" x14ac:dyDescent="0.25">
      <c r="B1290" s="26" t="s">
        <v>401</v>
      </c>
      <c r="C1290" s="1">
        <v>5</v>
      </c>
      <c r="D1290" s="27" t="s">
        <v>3174</v>
      </c>
      <c r="E1290" s="25"/>
      <c r="F1290" s="25" t="str">
        <f>IF(INDEX(I.Production.P4Y3C3,5)="","",INDEX(I.Production.P4Y3C3,5))</f>
        <v/>
      </c>
      <c r="G1290" s="25"/>
      <c r="H1290" s="1" t="str">
        <f t="shared" si="37"/>
        <v>Complete</v>
      </c>
      <c r="I1290" s="48" t="s">
        <v>2097</v>
      </c>
    </row>
    <row r="1291" spans="2:9" ht="15" customHeight="1" x14ac:dyDescent="0.25">
      <c r="B1291" s="26" t="s">
        <v>401</v>
      </c>
      <c r="C1291" s="1">
        <v>6</v>
      </c>
      <c r="D1291" s="27" t="s">
        <v>3174</v>
      </c>
      <c r="E1291" s="25"/>
      <c r="F1291" s="25" t="str">
        <f>IF(INDEX(I.Production.P4Y3C3,6)="","",INDEX(I.Production.P4Y3C3,6))</f>
        <v/>
      </c>
      <c r="G1291" s="25"/>
      <c r="H1291" s="1" t="str">
        <f t="shared" si="37"/>
        <v>Complete</v>
      </c>
      <c r="I1291" s="48" t="s">
        <v>2098</v>
      </c>
    </row>
    <row r="1292" spans="2:9" ht="15" customHeight="1" x14ac:dyDescent="0.25">
      <c r="B1292" s="26" t="s">
        <v>401</v>
      </c>
      <c r="C1292" s="1">
        <v>7</v>
      </c>
      <c r="D1292" s="27" t="s">
        <v>3174</v>
      </c>
      <c r="E1292" s="25"/>
      <c r="F1292" s="25" t="str">
        <f>IF(INDEX(I.Production.P4Y3C3,7)="","",INDEX(I.Production.P4Y3C3,7))</f>
        <v/>
      </c>
      <c r="G1292" s="25"/>
      <c r="H1292" s="1" t="str">
        <f t="shared" si="37"/>
        <v>Complete</v>
      </c>
      <c r="I1292" s="48" t="s">
        <v>2099</v>
      </c>
    </row>
    <row r="1293" spans="2:9" ht="15" customHeight="1" x14ac:dyDescent="0.25">
      <c r="B1293" s="26" t="s">
        <v>401</v>
      </c>
      <c r="C1293" s="1">
        <v>8</v>
      </c>
      <c r="D1293" s="27" t="s">
        <v>3174</v>
      </c>
      <c r="E1293" s="25"/>
      <c r="F1293" s="25" t="str">
        <f>IF(INDEX(I.Production.P4Y3C3,8)="","",INDEX(I.Production.P4Y3C3,8))</f>
        <v/>
      </c>
      <c r="G1293" s="25"/>
      <c r="H1293" s="1" t="str">
        <f t="shared" si="37"/>
        <v>Complete</v>
      </c>
      <c r="I1293" s="48" t="s">
        <v>2100</v>
      </c>
    </row>
    <row r="1294" spans="2:9" ht="15" customHeight="1" x14ac:dyDescent="0.25">
      <c r="B1294" s="26" t="s">
        <v>401</v>
      </c>
      <c r="C1294" s="1">
        <v>9</v>
      </c>
      <c r="D1294" s="27" t="s">
        <v>3174</v>
      </c>
      <c r="E1294" s="25"/>
      <c r="F1294" s="25" t="str">
        <f>IF(INDEX(I.Production.P4Y3C3,9)="","",INDEX(I.Production.P4Y3C3,9))</f>
        <v/>
      </c>
      <c r="G1294" s="25"/>
      <c r="H1294" s="1" t="str">
        <f t="shared" si="37"/>
        <v>Complete</v>
      </c>
      <c r="I1294" s="48" t="s">
        <v>2101</v>
      </c>
    </row>
    <row r="1295" spans="2:9" ht="15" customHeight="1" x14ac:dyDescent="0.25">
      <c r="B1295" s="26" t="s">
        <v>401</v>
      </c>
      <c r="C1295" s="1">
        <v>10</v>
      </c>
      <c r="D1295" s="27" t="s">
        <v>3174</v>
      </c>
      <c r="E1295" s="25"/>
      <c r="F1295" s="25" t="str">
        <f>IF(INDEX(I.Production.P4Y3C3,10)="","",INDEX(I.Production.P4Y3C3,10))</f>
        <v/>
      </c>
      <c r="G1295" s="25"/>
      <c r="H1295" s="1" t="str">
        <f t="shared" si="37"/>
        <v>Complete</v>
      </c>
      <c r="I1295" s="48" t="s">
        <v>2102</v>
      </c>
    </row>
    <row r="1296" spans="2:9" ht="15" customHeight="1" x14ac:dyDescent="0.25">
      <c r="B1296" s="26" t="s">
        <v>401</v>
      </c>
      <c r="C1296" s="1">
        <v>11</v>
      </c>
      <c r="D1296" s="27" t="s">
        <v>3174</v>
      </c>
      <c r="E1296" s="25"/>
      <c r="F1296" s="25" t="str">
        <f>IF(INDEX(I.Production.P4Y3C3,11)="","",INDEX(I.Production.P4Y3C3,11))</f>
        <v/>
      </c>
      <c r="G1296" s="25"/>
      <c r="H1296" s="1" t="str">
        <f t="shared" si="37"/>
        <v>Complete</v>
      </c>
      <c r="I1296" s="48" t="s">
        <v>2103</v>
      </c>
    </row>
    <row r="1297" spans="2:9" ht="15" customHeight="1" x14ac:dyDescent="0.25">
      <c r="B1297" s="26" t="s">
        <v>401</v>
      </c>
      <c r="C1297" s="1">
        <v>12</v>
      </c>
      <c r="D1297" s="27" t="s">
        <v>3174</v>
      </c>
      <c r="E1297" s="25"/>
      <c r="F1297" s="25" t="str">
        <f>IF(INDEX(I.Production.P4Y3C3,12)="","",INDEX(I.Production.P4Y3C3,12))</f>
        <v/>
      </c>
      <c r="G1297" s="25"/>
      <c r="H1297" s="1" t="str">
        <f t="shared" si="37"/>
        <v>Complete</v>
      </c>
      <c r="I1297" s="48" t="s">
        <v>2104</v>
      </c>
    </row>
    <row r="1298" spans="2:9" ht="15" customHeight="1" x14ac:dyDescent="0.25">
      <c r="B1298" s="26" t="s">
        <v>401</v>
      </c>
      <c r="C1298" s="1">
        <v>13</v>
      </c>
      <c r="D1298" s="27" t="s">
        <v>3174</v>
      </c>
      <c r="E1298" s="25"/>
      <c r="F1298" s="25" t="str">
        <f>IF(INDEX(I.Production.P4Y3C3,13)="","",INDEX(I.Production.P4Y3C3,13))</f>
        <v/>
      </c>
      <c r="G1298" s="25"/>
      <c r="H1298" s="1" t="str">
        <f t="shared" si="37"/>
        <v>Complete</v>
      </c>
      <c r="I1298" s="48" t="s">
        <v>2105</v>
      </c>
    </row>
    <row r="1299" spans="2:9" ht="15" customHeight="1" x14ac:dyDescent="0.25">
      <c r="B1299" s="26" t="s">
        <v>401</v>
      </c>
      <c r="C1299" s="1">
        <v>14</v>
      </c>
      <c r="D1299" s="27" t="s">
        <v>3174</v>
      </c>
      <c r="E1299" s="25"/>
      <c r="F1299" s="25" t="str">
        <f>IF(INDEX(I.Production.P4Y3C3,14)="","",INDEX(I.Production.P4Y3C3,14))</f>
        <v/>
      </c>
      <c r="G1299" s="25"/>
      <c r="H1299" s="1" t="str">
        <f t="shared" si="37"/>
        <v>Complete</v>
      </c>
      <c r="I1299" s="48" t="s">
        <v>2106</v>
      </c>
    </row>
    <row r="1300" spans="2:9" ht="15" customHeight="1" x14ac:dyDescent="0.25">
      <c r="B1300" s="26" t="s">
        <v>401</v>
      </c>
      <c r="C1300" s="1">
        <v>15</v>
      </c>
      <c r="D1300" s="27" t="s">
        <v>3174</v>
      </c>
      <c r="E1300" s="25"/>
      <c r="F1300" s="25" t="str">
        <f>IF(INDEX(I.Production.P4Y3C3,15)="","",INDEX(I.Production.P4Y3C3,15))</f>
        <v/>
      </c>
      <c r="G1300" s="25"/>
      <c r="H1300" s="1" t="str">
        <f t="shared" si="37"/>
        <v>Complete</v>
      </c>
      <c r="I1300" s="48" t="s">
        <v>2107</v>
      </c>
    </row>
    <row r="1301" spans="2:9" ht="15" customHeight="1" x14ac:dyDescent="0.25">
      <c r="B1301" s="26" t="s">
        <v>401</v>
      </c>
      <c r="C1301" s="1">
        <v>16</v>
      </c>
      <c r="D1301" s="27" t="s">
        <v>3174</v>
      </c>
      <c r="E1301" s="25"/>
      <c r="F1301" s="25" t="str">
        <f>IF(INDEX(I.Production.P4Y3C3,16)="","",INDEX(I.Production.P4Y3C3,16))</f>
        <v/>
      </c>
      <c r="G1301" s="25"/>
      <c r="H1301" s="1" t="str">
        <f t="shared" si="37"/>
        <v>Complete</v>
      </c>
      <c r="I1301" s="48" t="s">
        <v>2108</v>
      </c>
    </row>
    <row r="1302" spans="2:9" ht="15" customHeight="1" x14ac:dyDescent="0.25">
      <c r="B1302" s="26" t="s">
        <v>401</v>
      </c>
      <c r="C1302" s="1">
        <v>17</v>
      </c>
      <c r="D1302" s="27" t="s">
        <v>3174</v>
      </c>
      <c r="E1302" s="25"/>
      <c r="F1302" s="25" t="str">
        <f>IF(INDEX(I.Production.P4Y3C3,17)="","",INDEX(I.Production.P4Y3C3,17))</f>
        <v/>
      </c>
      <c r="G1302" s="25"/>
      <c r="H1302" s="1" t="str">
        <f t="shared" si="37"/>
        <v>Complete</v>
      </c>
      <c r="I1302" s="48" t="s">
        <v>2109</v>
      </c>
    </row>
    <row r="1303" spans="2:9" ht="15" customHeight="1" x14ac:dyDescent="0.25">
      <c r="B1303" s="26" t="s">
        <v>401</v>
      </c>
      <c r="C1303" s="1">
        <v>18</v>
      </c>
      <c r="D1303" s="27" t="s">
        <v>3174</v>
      </c>
      <c r="E1303" s="25"/>
      <c r="F1303" s="25" t="str">
        <f>IF(INDEX(I.Production.P4Y3C3,18)="","",INDEX(I.Production.P4Y3C3,18))</f>
        <v/>
      </c>
      <c r="G1303" s="25"/>
      <c r="H1303" s="1" t="str">
        <f t="shared" si="37"/>
        <v>Complete</v>
      </c>
      <c r="I1303" s="48" t="s">
        <v>2110</v>
      </c>
    </row>
    <row r="1304" spans="2:9" ht="15" customHeight="1" x14ac:dyDescent="0.25">
      <c r="B1304" s="26" t="s">
        <v>401</v>
      </c>
      <c r="C1304" s="1">
        <v>19</v>
      </c>
      <c r="D1304" s="27" t="s">
        <v>3174</v>
      </c>
      <c r="E1304" s="25"/>
      <c r="F1304" s="25" t="str">
        <f>IF(INDEX(I.Production.P4Y3C3,19)="","",INDEX(I.Production.P4Y3C3,19))</f>
        <v/>
      </c>
      <c r="G1304" s="25"/>
      <c r="H1304" s="1" t="str">
        <f t="shared" si="37"/>
        <v>Complete</v>
      </c>
      <c r="I1304" s="48" t="s">
        <v>2111</v>
      </c>
    </row>
    <row r="1305" spans="2:9" ht="15" customHeight="1" x14ac:dyDescent="0.25">
      <c r="B1305" s="26" t="s">
        <v>401</v>
      </c>
      <c r="C1305" s="1">
        <v>20</v>
      </c>
      <c r="D1305" s="27" t="s">
        <v>3174</v>
      </c>
      <c r="E1305" s="25"/>
      <c r="F1305" s="25" t="str">
        <f>IF(INDEX(I.Production.P4Y3C3,20)="","",INDEX(I.Production.P4Y3C3,20))</f>
        <v/>
      </c>
      <c r="G1305" s="25"/>
      <c r="H1305" s="1" t="str">
        <f t="shared" si="37"/>
        <v>Complete</v>
      </c>
      <c r="I1305" s="48" t="s">
        <v>2112</v>
      </c>
    </row>
    <row r="1306" spans="2:9" ht="15" customHeight="1" x14ac:dyDescent="0.25">
      <c r="B1306" s="34" t="s">
        <v>401</v>
      </c>
      <c r="C1306" s="35">
        <v>21</v>
      </c>
      <c r="D1306" s="46" t="s">
        <v>3174</v>
      </c>
      <c r="E1306" s="45"/>
      <c r="F1306" s="45" t="str">
        <f>IF(INDEX(I.Production.P4Y3C3,21)="","",INDEX(I.Production.P4Y3C3,21))</f>
        <v/>
      </c>
      <c r="G1306" s="45"/>
      <c r="H1306" s="35" t="str">
        <f t="shared" si="37"/>
        <v>Complete</v>
      </c>
      <c r="I1306" s="49" t="s">
        <v>2113</v>
      </c>
    </row>
    <row r="1307" spans="2:9" ht="15" customHeight="1" x14ac:dyDescent="0.25">
      <c r="B1307" s="26" t="s">
        <v>402</v>
      </c>
      <c r="C1307" s="1">
        <v>1</v>
      </c>
      <c r="D1307" s="27" t="s">
        <v>3175</v>
      </c>
      <c r="E1307" s="25"/>
      <c r="F1307" s="25" t="str">
        <f>IF(INDEX(I.Production.P4Y1C4,1)="","",INDEX(I.Production.P4Y1C4,1))</f>
        <v/>
      </c>
      <c r="G1307" s="25"/>
      <c r="H1307" s="1" t="str">
        <f t="shared" ref="H1307:H1312" si="38">IF(AND(I.Facility.ProductCount&gt;=4,I.Developer.P4C4=TRUE,F1307=""),"Incomplete","Complete")</f>
        <v>Complete</v>
      </c>
      <c r="I1307" s="48" t="s">
        <v>2114</v>
      </c>
    </row>
    <row r="1308" spans="2:9" ht="15" customHeight="1" x14ac:dyDescent="0.25">
      <c r="B1308" s="26" t="s">
        <v>402</v>
      </c>
      <c r="C1308" s="1">
        <v>2</v>
      </c>
      <c r="D1308" s="27" t="s">
        <v>3175</v>
      </c>
      <c r="E1308" s="25"/>
      <c r="F1308" s="25" t="str">
        <f>IF(INDEX(I.Production.P4Y1C4,2)="","",INDEX(I.Production.P4Y1C4,2))</f>
        <v/>
      </c>
      <c r="G1308" s="25"/>
      <c r="H1308" s="1" t="str">
        <f t="shared" si="38"/>
        <v>Complete</v>
      </c>
      <c r="I1308" s="48" t="s">
        <v>2115</v>
      </c>
    </row>
    <row r="1309" spans="2:9" ht="15" customHeight="1" x14ac:dyDescent="0.25">
      <c r="B1309" s="34" t="s">
        <v>402</v>
      </c>
      <c r="C1309" s="35">
        <v>3</v>
      </c>
      <c r="D1309" s="46" t="s">
        <v>3175</v>
      </c>
      <c r="E1309" s="45"/>
      <c r="F1309" s="45" t="str">
        <f>IF(INDEX(I.Production.P4Y1C4,3)="","",INDEX(I.Production.P4Y1C4,3))</f>
        <v/>
      </c>
      <c r="G1309" s="45"/>
      <c r="H1309" s="35" t="str">
        <f t="shared" si="38"/>
        <v>Complete</v>
      </c>
      <c r="I1309" s="49" t="s">
        <v>2116</v>
      </c>
    </row>
    <row r="1310" spans="2:9" ht="15" customHeight="1" x14ac:dyDescent="0.25">
      <c r="B1310" s="26" t="s">
        <v>403</v>
      </c>
      <c r="C1310" s="1">
        <v>1</v>
      </c>
      <c r="D1310" s="27" t="s">
        <v>3176</v>
      </c>
      <c r="E1310" s="25"/>
      <c r="F1310" s="25" t="str">
        <f>IF(INDEX(I.Production.P4Y2C4,1)="","",INDEX(I.Production.P4Y2C4,1))</f>
        <v/>
      </c>
      <c r="G1310" s="25"/>
      <c r="H1310" s="1" t="str">
        <f t="shared" si="38"/>
        <v>Complete</v>
      </c>
      <c r="I1310" s="48" t="s">
        <v>2117</v>
      </c>
    </row>
    <row r="1311" spans="2:9" ht="15" customHeight="1" x14ac:dyDescent="0.25">
      <c r="B1311" s="26" t="s">
        <v>403</v>
      </c>
      <c r="C1311" s="1">
        <v>2</v>
      </c>
      <c r="D1311" s="27" t="s">
        <v>3176</v>
      </c>
      <c r="E1311" s="25"/>
      <c r="F1311" s="25" t="str">
        <f>IF(INDEX(I.Production.P4Y2C4,2)="","",INDEX(I.Production.P4Y2C4,2))</f>
        <v/>
      </c>
      <c r="G1311" s="25"/>
      <c r="H1311" s="1" t="str">
        <f t="shared" si="38"/>
        <v>Complete</v>
      </c>
      <c r="I1311" s="48" t="s">
        <v>2118</v>
      </c>
    </row>
    <row r="1312" spans="2:9" ht="15" customHeight="1" x14ac:dyDescent="0.25">
      <c r="B1312" s="34" t="s">
        <v>403</v>
      </c>
      <c r="C1312" s="35">
        <v>3</v>
      </c>
      <c r="D1312" s="46" t="s">
        <v>3176</v>
      </c>
      <c r="E1312" s="45"/>
      <c r="F1312" s="45" t="str">
        <f>IF(INDEX(I.Production.P4Y2C4,3)="","",INDEX(I.Production.P4Y2C4,3))</f>
        <v/>
      </c>
      <c r="G1312" s="45"/>
      <c r="H1312" s="35" t="str">
        <f t="shared" si="38"/>
        <v>Complete</v>
      </c>
      <c r="I1312" s="49" t="s">
        <v>2119</v>
      </c>
    </row>
    <row r="1313" spans="2:9" ht="15" customHeight="1" x14ac:dyDescent="0.25">
      <c r="B1313" s="26" t="s">
        <v>404</v>
      </c>
      <c r="C1313" s="1">
        <v>1</v>
      </c>
      <c r="D1313" s="27" t="s">
        <v>3177</v>
      </c>
      <c r="E1313" s="25"/>
      <c r="F1313" s="25" t="str">
        <f>IF(INDEX(I.Production.P4Y3C4,1)="","",INDEX(I.Production.P4Y3C4,1))</f>
        <v/>
      </c>
      <c r="G1313" s="25"/>
      <c r="H1313" s="1" t="str">
        <f>IF(AND(I.Facility.ProductCount&gt;=4,I.Developer.P4C4=TRUE,I.Product.P4Status&lt;&gt;"Yes",F1313=""),"Incomplete","Complete")</f>
        <v>Complete</v>
      </c>
      <c r="I1313" s="48" t="s">
        <v>2120</v>
      </c>
    </row>
    <row r="1314" spans="2:9" ht="15" customHeight="1" x14ac:dyDescent="0.25">
      <c r="B1314" s="26" t="s">
        <v>404</v>
      </c>
      <c r="C1314" s="1">
        <v>2</v>
      </c>
      <c r="D1314" s="27" t="s">
        <v>3177</v>
      </c>
      <c r="E1314" s="25"/>
      <c r="F1314" s="25" t="str">
        <f>IF(INDEX(I.Production.P4Y3C4,2)="","",INDEX(I.Production.P4Y3C4,2))</f>
        <v/>
      </c>
      <c r="G1314" s="25"/>
      <c r="H1314" s="1" t="str">
        <f>IF(AND(I.Facility.ProductCount&gt;=4,I.Developer.P4C4=TRUE,I.Product.P4Status&lt;&gt;"Yes",F1314=""),"Incomplete","Complete")</f>
        <v>Complete</v>
      </c>
      <c r="I1314" s="48" t="s">
        <v>2121</v>
      </c>
    </row>
    <row r="1315" spans="2:9" ht="15" customHeight="1" x14ac:dyDescent="0.25">
      <c r="B1315" s="34" t="s">
        <v>404</v>
      </c>
      <c r="C1315" s="35">
        <v>3</v>
      </c>
      <c r="D1315" s="46" t="s">
        <v>3177</v>
      </c>
      <c r="E1315" s="45"/>
      <c r="F1315" s="45" t="str">
        <f>IF(INDEX(I.Production.P4Y3C4,3)="","",INDEX(I.Production.P4Y3C4,3))</f>
        <v/>
      </c>
      <c r="G1315" s="45"/>
      <c r="H1315" s="35" t="str">
        <f>IF(AND(I.Facility.ProductCount&gt;=4,I.Developer.P4C4=TRUE,I.Product.P4Status&lt;&gt;"Yes",F1315=""),"Incomplete","Complete")</f>
        <v>Complete</v>
      </c>
      <c r="I1315" s="49" t="s">
        <v>2122</v>
      </c>
    </row>
    <row r="1316" spans="2:9" ht="15" customHeight="1" x14ac:dyDescent="0.25">
      <c r="B1316" s="26" t="s">
        <v>405</v>
      </c>
      <c r="C1316" s="1">
        <v>1</v>
      </c>
      <c r="D1316" s="27" t="s">
        <v>3178</v>
      </c>
      <c r="E1316" s="25"/>
      <c r="F1316" s="25" t="str">
        <f>IF(INDEX(I.Production.P4Y1C5,1)="","",INDEX(I.Production.P4Y1C5,1))</f>
        <v/>
      </c>
      <c r="G1316" s="25"/>
      <c r="H1316" s="1" t="str">
        <f t="shared" ref="H1316:H1321" si="39">IF(AND(I.Facility.ProductCount&gt;=4,I.Developer.P4C5=TRUE,F1316=""),"Incomplete","Complete")</f>
        <v>Complete</v>
      </c>
      <c r="I1316" s="48" t="s">
        <v>2123</v>
      </c>
    </row>
    <row r="1317" spans="2:9" ht="15" customHeight="1" x14ac:dyDescent="0.25">
      <c r="B1317" s="26" t="s">
        <v>405</v>
      </c>
      <c r="C1317" s="1">
        <v>2</v>
      </c>
      <c r="D1317" s="27" t="s">
        <v>3178</v>
      </c>
      <c r="E1317" s="25"/>
      <c r="F1317" s="25" t="str">
        <f>IF(INDEX(I.Production.P4Y1C5,2)="","",INDEX(I.Production.P4Y1C5,2))</f>
        <v/>
      </c>
      <c r="G1317" s="25"/>
      <c r="H1317" s="1" t="str">
        <f t="shared" si="39"/>
        <v>Complete</v>
      </c>
      <c r="I1317" s="48" t="s">
        <v>2124</v>
      </c>
    </row>
    <row r="1318" spans="2:9" ht="15" customHeight="1" x14ac:dyDescent="0.25">
      <c r="B1318" s="34" t="s">
        <v>405</v>
      </c>
      <c r="C1318" s="35">
        <v>3</v>
      </c>
      <c r="D1318" s="46" t="s">
        <v>3178</v>
      </c>
      <c r="E1318" s="45"/>
      <c r="F1318" s="45" t="str">
        <f>IF(INDEX(I.Production.P4Y1C5,3)="","",INDEX(I.Production.P4Y1C5,3))</f>
        <v/>
      </c>
      <c r="G1318" s="45"/>
      <c r="H1318" s="35" t="str">
        <f t="shared" si="39"/>
        <v>Complete</v>
      </c>
      <c r="I1318" s="49" t="s">
        <v>2125</v>
      </c>
    </row>
    <row r="1319" spans="2:9" ht="15" customHeight="1" x14ac:dyDescent="0.25">
      <c r="B1319" s="26" t="s">
        <v>406</v>
      </c>
      <c r="C1319" s="1">
        <v>1</v>
      </c>
      <c r="D1319" s="27" t="s">
        <v>3179</v>
      </c>
      <c r="E1319" s="25"/>
      <c r="F1319" s="25" t="str">
        <f>IF(INDEX(I.Production.P4Y2C5,1)="","",INDEX(I.Production.P4Y2C5,1))</f>
        <v/>
      </c>
      <c r="G1319" s="25"/>
      <c r="H1319" s="1" t="str">
        <f t="shared" si="39"/>
        <v>Complete</v>
      </c>
      <c r="I1319" s="48" t="s">
        <v>2126</v>
      </c>
    </row>
    <row r="1320" spans="2:9" ht="15" customHeight="1" x14ac:dyDescent="0.25">
      <c r="B1320" s="26" t="s">
        <v>406</v>
      </c>
      <c r="C1320" s="1">
        <v>2</v>
      </c>
      <c r="D1320" s="27" t="s">
        <v>3179</v>
      </c>
      <c r="E1320" s="25"/>
      <c r="F1320" s="25" t="str">
        <f>IF(INDEX(I.Production.P4Y2C5,2)="","",INDEX(I.Production.P4Y2C5,2))</f>
        <v/>
      </c>
      <c r="G1320" s="25"/>
      <c r="H1320" s="1" t="str">
        <f t="shared" si="39"/>
        <v>Complete</v>
      </c>
      <c r="I1320" s="48" t="s">
        <v>2127</v>
      </c>
    </row>
    <row r="1321" spans="2:9" ht="15" customHeight="1" x14ac:dyDescent="0.25">
      <c r="B1321" s="34" t="s">
        <v>406</v>
      </c>
      <c r="C1321" s="35">
        <v>3</v>
      </c>
      <c r="D1321" s="46" t="s">
        <v>3179</v>
      </c>
      <c r="E1321" s="45"/>
      <c r="F1321" s="45" t="str">
        <f>IF(INDEX(I.Production.P4Y2C5,3)="","",INDEX(I.Production.P4Y2C5,3))</f>
        <v/>
      </c>
      <c r="G1321" s="45"/>
      <c r="H1321" s="35" t="str">
        <f t="shared" si="39"/>
        <v>Complete</v>
      </c>
      <c r="I1321" s="49" t="s">
        <v>2128</v>
      </c>
    </row>
    <row r="1322" spans="2:9" ht="15" customHeight="1" x14ac:dyDescent="0.25">
      <c r="B1322" s="26" t="s">
        <v>407</v>
      </c>
      <c r="C1322" s="1">
        <v>1</v>
      </c>
      <c r="D1322" s="27" t="s">
        <v>3180</v>
      </c>
      <c r="E1322" s="25"/>
      <c r="F1322" s="25" t="str">
        <f>IF(INDEX(I.Production.P4Y3C5,1)="","",INDEX(I.Production.P4Y3C5,1))</f>
        <v/>
      </c>
      <c r="G1322" s="25"/>
      <c r="H1322" s="1" t="str">
        <f>IF(AND(I.Facility.ProductCount&gt;=4,I.Developer.P4C5=TRUE,I.Product.P4Status&lt;&gt;"Yes",F1322=""),"Incomplete","Complete")</f>
        <v>Complete</v>
      </c>
      <c r="I1322" s="48" t="s">
        <v>2129</v>
      </c>
    </row>
    <row r="1323" spans="2:9" ht="15" customHeight="1" x14ac:dyDescent="0.25">
      <c r="B1323" s="26" t="s">
        <v>407</v>
      </c>
      <c r="C1323" s="1">
        <v>2</v>
      </c>
      <c r="D1323" s="27" t="s">
        <v>3180</v>
      </c>
      <c r="E1323" s="25"/>
      <c r="F1323" s="25" t="str">
        <f>IF(INDEX(I.Production.P4Y3C5,2)="","",INDEX(I.Production.P4Y3C5,2))</f>
        <v/>
      </c>
      <c r="G1323" s="25"/>
      <c r="H1323" s="1" t="str">
        <f>IF(AND(I.Facility.ProductCount&gt;=4,I.Developer.P4C5=TRUE,I.Product.P4Status&lt;&gt;"Yes",F1323=""),"Incomplete","Complete")</f>
        <v>Complete</v>
      </c>
      <c r="I1323" s="48" t="s">
        <v>2130</v>
      </c>
    </row>
    <row r="1324" spans="2:9" ht="15" customHeight="1" x14ac:dyDescent="0.25">
      <c r="B1324" s="34" t="s">
        <v>407</v>
      </c>
      <c r="C1324" s="35">
        <v>3</v>
      </c>
      <c r="D1324" s="46" t="s">
        <v>3180</v>
      </c>
      <c r="E1324" s="45"/>
      <c r="F1324" s="45" t="str">
        <f>IF(INDEX(I.Production.P4Y3C5,3)="","",INDEX(I.Production.P4Y3C5,3))</f>
        <v/>
      </c>
      <c r="G1324" s="45"/>
      <c r="H1324" s="35" t="str">
        <f>IF(AND(I.Facility.ProductCount&gt;=4,I.Developer.P4C5=TRUE,I.Product.P4Status&lt;&gt;"Yes",F1324=""),"Incomplete","Complete")</f>
        <v>Complete</v>
      </c>
      <c r="I1324" s="49" t="s">
        <v>2131</v>
      </c>
    </row>
    <row r="1325" spans="2:9" ht="15" customHeight="1" x14ac:dyDescent="0.25">
      <c r="B1325" s="26" t="s">
        <v>408</v>
      </c>
      <c r="C1325" s="1">
        <v>1</v>
      </c>
      <c r="D1325" s="27" t="s">
        <v>3181</v>
      </c>
      <c r="E1325" s="25"/>
      <c r="F1325" s="25" t="str">
        <f>IF(INDEX(I.Production.P4Y1C6,1)="","",INDEX(I.Production.P4Y1C6,1))</f>
        <v/>
      </c>
      <c r="G1325" s="25"/>
      <c r="H1325" s="1" t="str">
        <f t="shared" ref="H1325:H1330" si="40">IF(AND(I.Facility.ProductCount&gt;=4,I.Developer.P4C6=TRUE,F1325=""),"Incomplete","Complete")</f>
        <v>Complete</v>
      </c>
      <c r="I1325" s="48" t="s">
        <v>2132</v>
      </c>
    </row>
    <row r="1326" spans="2:9" ht="15" customHeight="1" x14ac:dyDescent="0.25">
      <c r="B1326" s="26" t="s">
        <v>408</v>
      </c>
      <c r="C1326" s="1">
        <v>2</v>
      </c>
      <c r="D1326" s="27" t="s">
        <v>3181</v>
      </c>
      <c r="E1326" s="25"/>
      <c r="F1326" s="25" t="str">
        <f>IF(INDEX(I.Production.P4Y1C6,2)="","",INDEX(I.Production.P4Y1C6,2))</f>
        <v/>
      </c>
      <c r="G1326" s="25"/>
      <c r="H1326" s="1" t="str">
        <f t="shared" si="40"/>
        <v>Complete</v>
      </c>
      <c r="I1326" s="48" t="s">
        <v>2133</v>
      </c>
    </row>
    <row r="1327" spans="2:9" ht="15" customHeight="1" x14ac:dyDescent="0.25">
      <c r="B1327" s="34" t="s">
        <v>408</v>
      </c>
      <c r="C1327" s="35">
        <v>3</v>
      </c>
      <c r="D1327" s="46" t="s">
        <v>3181</v>
      </c>
      <c r="E1327" s="45"/>
      <c r="F1327" s="45" t="str">
        <f>IF(INDEX(I.Production.P4Y1C6,3)="","",INDEX(I.Production.P4Y1C6,3))</f>
        <v/>
      </c>
      <c r="G1327" s="45"/>
      <c r="H1327" s="35" t="str">
        <f t="shared" si="40"/>
        <v>Complete</v>
      </c>
      <c r="I1327" s="49" t="s">
        <v>2134</v>
      </c>
    </row>
    <row r="1328" spans="2:9" ht="15" customHeight="1" x14ac:dyDescent="0.25">
      <c r="B1328" s="26" t="s">
        <v>409</v>
      </c>
      <c r="C1328" s="1">
        <v>1</v>
      </c>
      <c r="D1328" s="27" t="s">
        <v>3182</v>
      </c>
      <c r="E1328" s="25"/>
      <c r="F1328" s="25" t="str">
        <f>IF(INDEX(I.Production.P4Y2C6,1)="","",INDEX(I.Production.P4Y2C6,1))</f>
        <v/>
      </c>
      <c r="G1328" s="25"/>
      <c r="H1328" s="1" t="str">
        <f t="shared" si="40"/>
        <v>Complete</v>
      </c>
      <c r="I1328" s="48" t="s">
        <v>2135</v>
      </c>
    </row>
    <row r="1329" spans="2:9" ht="15" customHeight="1" x14ac:dyDescent="0.25">
      <c r="B1329" s="26" t="s">
        <v>409</v>
      </c>
      <c r="C1329" s="1">
        <v>2</v>
      </c>
      <c r="D1329" s="27" t="s">
        <v>3182</v>
      </c>
      <c r="E1329" s="25"/>
      <c r="F1329" s="25" t="str">
        <f>IF(INDEX(I.Production.P4Y2C6,2)="","",INDEX(I.Production.P4Y2C6,2))</f>
        <v/>
      </c>
      <c r="G1329" s="25"/>
      <c r="H1329" s="1" t="str">
        <f t="shared" si="40"/>
        <v>Complete</v>
      </c>
      <c r="I1329" s="48" t="s">
        <v>2136</v>
      </c>
    </row>
    <row r="1330" spans="2:9" ht="15" customHeight="1" x14ac:dyDescent="0.25">
      <c r="B1330" s="34" t="s">
        <v>409</v>
      </c>
      <c r="C1330" s="35">
        <v>3</v>
      </c>
      <c r="D1330" s="46" t="s">
        <v>3182</v>
      </c>
      <c r="E1330" s="45"/>
      <c r="F1330" s="45" t="str">
        <f>IF(INDEX(I.Production.P4Y2C6,3)="","",INDEX(I.Production.P4Y2C6,3))</f>
        <v/>
      </c>
      <c r="G1330" s="45"/>
      <c r="H1330" s="35" t="str">
        <f t="shared" si="40"/>
        <v>Complete</v>
      </c>
      <c r="I1330" s="49" t="s">
        <v>2137</v>
      </c>
    </row>
    <row r="1331" spans="2:9" ht="15" customHeight="1" x14ac:dyDescent="0.25">
      <c r="B1331" s="26" t="s">
        <v>410</v>
      </c>
      <c r="C1331" s="1">
        <v>1</v>
      </c>
      <c r="D1331" s="27" t="s">
        <v>3183</v>
      </c>
      <c r="E1331" s="25"/>
      <c r="F1331" s="25" t="str">
        <f>IF(INDEX(I.Production.P4Y3C6,1)="","",INDEX(I.Production.P4Y3C6,1))</f>
        <v/>
      </c>
      <c r="G1331" s="25"/>
      <c r="H1331" s="1" t="str">
        <f>IF(AND(I.Facility.ProductCount&gt;=4,I.Developer.P4C6=TRUE,I.Product.P4Status&lt;&gt;"Yes",F1331=""),"Incomplete","Complete")</f>
        <v>Complete</v>
      </c>
      <c r="I1331" s="48" t="s">
        <v>2138</v>
      </c>
    </row>
    <row r="1332" spans="2:9" ht="15" customHeight="1" x14ac:dyDescent="0.25">
      <c r="B1332" s="26" t="s">
        <v>410</v>
      </c>
      <c r="C1332" s="1">
        <v>2</v>
      </c>
      <c r="D1332" s="27" t="s">
        <v>3183</v>
      </c>
      <c r="E1332" s="25"/>
      <c r="F1332" s="25" t="str">
        <f>IF(INDEX(I.Production.P4Y3C6,2)="","",INDEX(I.Production.P4Y3C6,2))</f>
        <v/>
      </c>
      <c r="G1332" s="25"/>
      <c r="H1332" s="1" t="str">
        <f>IF(AND(I.Facility.ProductCount&gt;=4,I.Developer.P4C6=TRUE,I.Product.P4Status&lt;&gt;"Yes",F1332=""),"Incomplete","Complete")</f>
        <v>Complete</v>
      </c>
      <c r="I1332" s="48" t="s">
        <v>2139</v>
      </c>
    </row>
    <row r="1333" spans="2:9" ht="15" customHeight="1" x14ac:dyDescent="0.25">
      <c r="B1333" s="34" t="s">
        <v>410</v>
      </c>
      <c r="C1333" s="35">
        <v>3</v>
      </c>
      <c r="D1333" s="46" t="s">
        <v>3183</v>
      </c>
      <c r="E1333" s="45"/>
      <c r="F1333" s="45" t="str">
        <f>IF(INDEX(I.Production.P4Y3C6,3)="","",INDEX(I.Production.P4Y3C6,3))</f>
        <v/>
      </c>
      <c r="G1333" s="45"/>
      <c r="H1333" s="35" t="str">
        <f>IF(AND(I.Facility.ProductCount&gt;=4,I.Developer.P4C6=TRUE,I.Product.P4Status&lt;&gt;"Yes",F1333=""),"Incomplete","Complete")</f>
        <v>Complete</v>
      </c>
      <c r="I1333" s="49" t="s">
        <v>2140</v>
      </c>
    </row>
    <row r="1334" spans="2:9" ht="15" customHeight="1" x14ac:dyDescent="0.25">
      <c r="B1334" s="26" t="s">
        <v>411</v>
      </c>
      <c r="C1334" s="1">
        <v>1</v>
      </c>
      <c r="D1334" s="27" t="s">
        <v>3184</v>
      </c>
      <c r="E1334" s="25"/>
      <c r="F1334" s="25" t="str">
        <f>IF(INDEX(I.Production.P4Y1C7,1)="","",INDEX(I.Production.P4Y1C7,1))</f>
        <v/>
      </c>
      <c r="G1334" s="25"/>
      <c r="H1334" s="1" t="str">
        <f t="shared" ref="H1334:H1339" si="41">IF(AND(I.Facility.ProductCount&gt;=4,I.Developer.P4C7=TRUE,F1334=""),"Incomplete","Complete")</f>
        <v>Complete</v>
      </c>
      <c r="I1334" s="48" t="s">
        <v>2141</v>
      </c>
    </row>
    <row r="1335" spans="2:9" ht="15" customHeight="1" x14ac:dyDescent="0.25">
      <c r="B1335" s="26" t="s">
        <v>411</v>
      </c>
      <c r="C1335" s="1">
        <v>2</v>
      </c>
      <c r="D1335" s="27" t="s">
        <v>3184</v>
      </c>
      <c r="E1335" s="25"/>
      <c r="F1335" s="25" t="str">
        <f>IF(INDEX(I.Production.P4Y1C7,2)="","",INDEX(I.Production.P4Y1C7,2))</f>
        <v/>
      </c>
      <c r="G1335" s="25"/>
      <c r="H1335" s="1" t="str">
        <f t="shared" si="41"/>
        <v>Complete</v>
      </c>
      <c r="I1335" s="48" t="s">
        <v>2142</v>
      </c>
    </row>
    <row r="1336" spans="2:9" ht="15" customHeight="1" x14ac:dyDescent="0.25">
      <c r="B1336" s="34" t="s">
        <v>411</v>
      </c>
      <c r="C1336" s="35">
        <v>3</v>
      </c>
      <c r="D1336" s="46" t="s">
        <v>3184</v>
      </c>
      <c r="E1336" s="45"/>
      <c r="F1336" s="45" t="str">
        <f>IF(INDEX(I.Production.P4Y1C7,3)="","",INDEX(I.Production.P4Y1C7,3))</f>
        <v/>
      </c>
      <c r="G1336" s="45"/>
      <c r="H1336" s="35" t="str">
        <f t="shared" si="41"/>
        <v>Complete</v>
      </c>
      <c r="I1336" s="49" t="s">
        <v>2143</v>
      </c>
    </row>
    <row r="1337" spans="2:9" ht="15" customHeight="1" x14ac:dyDescent="0.25">
      <c r="B1337" s="26" t="s">
        <v>412</v>
      </c>
      <c r="C1337" s="1">
        <v>1</v>
      </c>
      <c r="D1337" s="27" t="s">
        <v>3185</v>
      </c>
      <c r="E1337" s="25"/>
      <c r="F1337" s="25" t="str">
        <f>IF(INDEX(I.Production.P4Y2C7,1)="","",INDEX(I.Production.P4Y2C7,1))</f>
        <v/>
      </c>
      <c r="G1337" s="25"/>
      <c r="H1337" s="1" t="str">
        <f t="shared" si="41"/>
        <v>Complete</v>
      </c>
      <c r="I1337" s="48" t="s">
        <v>2144</v>
      </c>
    </row>
    <row r="1338" spans="2:9" ht="15" customHeight="1" x14ac:dyDescent="0.25">
      <c r="B1338" s="26" t="s">
        <v>412</v>
      </c>
      <c r="C1338" s="1">
        <v>2</v>
      </c>
      <c r="D1338" s="27" t="s">
        <v>3185</v>
      </c>
      <c r="E1338" s="25"/>
      <c r="F1338" s="25" t="str">
        <f>IF(INDEX(I.Production.P4Y2C7,2)="","",INDEX(I.Production.P4Y2C7,2))</f>
        <v/>
      </c>
      <c r="G1338" s="25"/>
      <c r="H1338" s="1" t="str">
        <f t="shared" si="41"/>
        <v>Complete</v>
      </c>
      <c r="I1338" s="48" t="s">
        <v>2145</v>
      </c>
    </row>
    <row r="1339" spans="2:9" ht="15" customHeight="1" x14ac:dyDescent="0.25">
      <c r="B1339" s="34" t="s">
        <v>412</v>
      </c>
      <c r="C1339" s="35">
        <v>3</v>
      </c>
      <c r="D1339" s="46" t="s">
        <v>3185</v>
      </c>
      <c r="E1339" s="45"/>
      <c r="F1339" s="45" t="str">
        <f>IF(INDEX(I.Production.P4Y2C7,3)="","",INDEX(I.Production.P4Y2C7,3))</f>
        <v/>
      </c>
      <c r="G1339" s="45"/>
      <c r="H1339" s="35" t="str">
        <f t="shared" si="41"/>
        <v>Complete</v>
      </c>
      <c r="I1339" s="49" t="s">
        <v>2146</v>
      </c>
    </row>
    <row r="1340" spans="2:9" ht="15" customHeight="1" x14ac:dyDescent="0.25">
      <c r="B1340" s="26" t="s">
        <v>413</v>
      </c>
      <c r="C1340" s="1">
        <v>1</v>
      </c>
      <c r="D1340" s="27" t="s">
        <v>3186</v>
      </c>
      <c r="E1340" s="25"/>
      <c r="F1340" s="25" t="str">
        <f>IF(INDEX(I.Production.P4Y3C7,1)="","",INDEX(I.Production.P4Y3C7,1))</f>
        <v/>
      </c>
      <c r="G1340" s="25"/>
      <c r="H1340" s="1" t="str">
        <f>IF(AND(I.Facility.ProductCount&gt;=4,I.Developer.P4C7=TRUE,I.Product.P4Status&lt;&gt;"Yes",F1340=""),"Incomplete","Complete")</f>
        <v>Complete</v>
      </c>
      <c r="I1340" s="48" t="s">
        <v>2147</v>
      </c>
    </row>
    <row r="1341" spans="2:9" ht="15" customHeight="1" x14ac:dyDescent="0.25">
      <c r="B1341" s="26" t="s">
        <v>413</v>
      </c>
      <c r="C1341" s="1">
        <v>2</v>
      </c>
      <c r="D1341" s="27" t="s">
        <v>3186</v>
      </c>
      <c r="E1341" s="25"/>
      <c r="F1341" s="25" t="str">
        <f>IF(INDEX(I.Production.P4Y3C7,2)="","",INDEX(I.Production.P4Y3C7,2))</f>
        <v/>
      </c>
      <c r="G1341" s="25"/>
      <c r="H1341" s="1" t="str">
        <f>IF(AND(I.Facility.ProductCount&gt;=4,I.Developer.P4C7=TRUE,I.Product.P4Status&lt;&gt;"Yes",F1341=""),"Incomplete","Complete")</f>
        <v>Complete</v>
      </c>
      <c r="I1341" s="48" t="s">
        <v>2148</v>
      </c>
    </row>
    <row r="1342" spans="2:9" ht="15" customHeight="1" x14ac:dyDescent="0.25">
      <c r="B1342" s="34" t="s">
        <v>413</v>
      </c>
      <c r="C1342" s="35">
        <v>3</v>
      </c>
      <c r="D1342" s="46" t="s">
        <v>3186</v>
      </c>
      <c r="E1342" s="45"/>
      <c r="F1342" s="45" t="str">
        <f>IF(INDEX(I.Production.P4Y3C7,3)="","",INDEX(I.Production.P4Y3C7,3))</f>
        <v/>
      </c>
      <c r="G1342" s="45"/>
      <c r="H1342" s="35" t="str">
        <f>IF(AND(I.Facility.ProductCount&gt;=4,I.Developer.P4C7=TRUE,I.Product.P4Status&lt;&gt;"Yes",F1342=""),"Incomplete","Complete")</f>
        <v>Complete</v>
      </c>
      <c r="I1342" s="49" t="s">
        <v>2149</v>
      </c>
    </row>
    <row r="1343" spans="2:9" ht="15" customHeight="1" x14ac:dyDescent="0.25">
      <c r="B1343" s="26" t="s">
        <v>414</v>
      </c>
      <c r="C1343" s="1">
        <v>1</v>
      </c>
      <c r="D1343" s="27" t="s">
        <v>3187</v>
      </c>
      <c r="E1343" s="25"/>
      <c r="F1343" s="25" t="str">
        <f>IF(INDEX(I.Production.P4Y1C8,1)="","",INDEX(I.Production.P4Y1C8,1))</f>
        <v/>
      </c>
      <c r="G1343" s="25"/>
      <c r="H1343" s="1" t="str">
        <f t="shared" ref="H1343:H1348" si="42">IF(AND(I.Facility.ProductCount&gt;=4,I.Developer.P4C8=TRUE,F1343=""),"Incomplete","Complete")</f>
        <v>Complete</v>
      </c>
      <c r="I1343" s="48" t="s">
        <v>2150</v>
      </c>
    </row>
    <row r="1344" spans="2:9" ht="15" customHeight="1" x14ac:dyDescent="0.25">
      <c r="B1344" s="26" t="s">
        <v>414</v>
      </c>
      <c r="C1344" s="1">
        <v>2</v>
      </c>
      <c r="D1344" s="27" t="s">
        <v>3187</v>
      </c>
      <c r="E1344" s="25"/>
      <c r="F1344" s="25" t="str">
        <f>IF(INDEX(I.Production.P4Y1C8,2)="","",INDEX(I.Production.P4Y1C8,2))</f>
        <v/>
      </c>
      <c r="G1344" s="25"/>
      <c r="H1344" s="1" t="str">
        <f t="shared" si="42"/>
        <v>Complete</v>
      </c>
      <c r="I1344" s="48" t="s">
        <v>2151</v>
      </c>
    </row>
    <row r="1345" spans="2:9" ht="15" customHeight="1" x14ac:dyDescent="0.25">
      <c r="B1345" s="34" t="s">
        <v>414</v>
      </c>
      <c r="C1345" s="35">
        <v>3</v>
      </c>
      <c r="D1345" s="46" t="s">
        <v>3187</v>
      </c>
      <c r="E1345" s="45"/>
      <c r="F1345" s="45" t="str">
        <f>IF(INDEX(I.Production.P4Y1C8,3)="","",INDEX(I.Production.P4Y1C8,3))</f>
        <v/>
      </c>
      <c r="G1345" s="45"/>
      <c r="H1345" s="35" t="str">
        <f t="shared" si="42"/>
        <v>Complete</v>
      </c>
      <c r="I1345" s="49" t="s">
        <v>2152</v>
      </c>
    </row>
    <row r="1346" spans="2:9" ht="15" customHeight="1" x14ac:dyDescent="0.25">
      <c r="B1346" s="26" t="s">
        <v>415</v>
      </c>
      <c r="C1346" s="1">
        <v>1</v>
      </c>
      <c r="D1346" s="27" t="s">
        <v>3188</v>
      </c>
      <c r="E1346" s="25"/>
      <c r="F1346" s="25" t="str">
        <f>IF(INDEX(I.Production.P4Y2C8,1)="","",INDEX(I.Production.P4Y2C8,1))</f>
        <v/>
      </c>
      <c r="G1346" s="25"/>
      <c r="H1346" s="1" t="str">
        <f t="shared" si="42"/>
        <v>Complete</v>
      </c>
      <c r="I1346" s="48" t="s">
        <v>2153</v>
      </c>
    </row>
    <row r="1347" spans="2:9" ht="15" customHeight="1" x14ac:dyDescent="0.25">
      <c r="B1347" s="26" t="s">
        <v>415</v>
      </c>
      <c r="C1347" s="1">
        <v>2</v>
      </c>
      <c r="D1347" s="27" t="s">
        <v>3188</v>
      </c>
      <c r="E1347" s="25"/>
      <c r="F1347" s="25" t="str">
        <f>IF(INDEX(I.Production.P4Y2C8,2)="","",INDEX(I.Production.P4Y2C8,2))</f>
        <v/>
      </c>
      <c r="G1347" s="25"/>
      <c r="H1347" s="1" t="str">
        <f t="shared" si="42"/>
        <v>Complete</v>
      </c>
      <c r="I1347" s="48" t="s">
        <v>2154</v>
      </c>
    </row>
    <row r="1348" spans="2:9" ht="15" customHeight="1" x14ac:dyDescent="0.25">
      <c r="B1348" s="34" t="s">
        <v>415</v>
      </c>
      <c r="C1348" s="35">
        <v>3</v>
      </c>
      <c r="D1348" s="46" t="s">
        <v>3188</v>
      </c>
      <c r="E1348" s="45"/>
      <c r="F1348" s="45" t="str">
        <f>IF(INDEX(I.Production.P4Y2C8,3)="","",INDEX(I.Production.P4Y2C8,3))</f>
        <v/>
      </c>
      <c r="G1348" s="45"/>
      <c r="H1348" s="35" t="str">
        <f t="shared" si="42"/>
        <v>Complete</v>
      </c>
      <c r="I1348" s="49" t="s">
        <v>2155</v>
      </c>
    </row>
    <row r="1349" spans="2:9" ht="15" customHeight="1" x14ac:dyDescent="0.25">
      <c r="B1349" s="26" t="s">
        <v>416</v>
      </c>
      <c r="C1349" s="1">
        <v>1</v>
      </c>
      <c r="D1349" s="27" t="s">
        <v>3189</v>
      </c>
      <c r="E1349" s="25"/>
      <c r="F1349" s="25" t="str">
        <f>IF(INDEX(I.Production.P4Y3C8,1)="","",INDEX(I.Production.P4Y3C8,1))</f>
        <v/>
      </c>
      <c r="G1349" s="25"/>
      <c r="H1349" s="1" t="str">
        <f>IF(AND(I.Facility.ProductCount&gt;=4,I.Developer.P4C8=TRUE,I.Product.P4Status&lt;&gt;"Yes",F1349=""),"Incomplete","Complete")</f>
        <v>Complete</v>
      </c>
      <c r="I1349" s="48" t="s">
        <v>2156</v>
      </c>
    </row>
    <row r="1350" spans="2:9" ht="15" customHeight="1" x14ac:dyDescent="0.25">
      <c r="B1350" s="26" t="s">
        <v>416</v>
      </c>
      <c r="C1350" s="1">
        <v>2</v>
      </c>
      <c r="D1350" s="27" t="s">
        <v>3189</v>
      </c>
      <c r="E1350" s="25"/>
      <c r="F1350" s="25" t="str">
        <f>IF(INDEX(I.Production.P4Y3C8,2)="","",INDEX(I.Production.P4Y3C8,2))</f>
        <v/>
      </c>
      <c r="G1350" s="25"/>
      <c r="H1350" s="1" t="str">
        <f>IF(AND(I.Facility.ProductCount&gt;=4,I.Developer.P4C8=TRUE,I.Product.P4Status&lt;&gt;"Yes",F1350=""),"Incomplete","Complete")</f>
        <v>Complete</v>
      </c>
      <c r="I1350" s="48" t="s">
        <v>2157</v>
      </c>
    </row>
    <row r="1351" spans="2:9" ht="15" customHeight="1" x14ac:dyDescent="0.25">
      <c r="B1351" s="34" t="s">
        <v>416</v>
      </c>
      <c r="C1351" s="35">
        <v>3</v>
      </c>
      <c r="D1351" s="46" t="s">
        <v>3189</v>
      </c>
      <c r="E1351" s="45"/>
      <c r="F1351" s="45" t="str">
        <f>IF(INDEX(I.Production.P4Y3C8,3)="","",INDEX(I.Production.P4Y3C8,3))</f>
        <v/>
      </c>
      <c r="G1351" s="45"/>
      <c r="H1351" s="35" t="str">
        <f>IF(AND(I.Facility.ProductCount&gt;=4,I.Developer.P4C8=TRUE,I.Product.P4Status&lt;&gt;"Yes",F1351=""),"Incomplete","Complete")</f>
        <v>Complete</v>
      </c>
      <c r="I1351" s="49" t="s">
        <v>2158</v>
      </c>
    </row>
    <row r="1352" spans="2:9" ht="15" customHeight="1" x14ac:dyDescent="0.25">
      <c r="B1352" s="26" t="s">
        <v>417</v>
      </c>
      <c r="C1352" s="1">
        <v>1</v>
      </c>
      <c r="D1352" s="27" t="s">
        <v>3190</v>
      </c>
      <c r="E1352" s="25"/>
      <c r="F1352" s="25" t="str">
        <f>IF(INDEX(I.Production.P4Y1C9,1)="","",INDEX(I.Production.P4Y1C9,1))</f>
        <v/>
      </c>
      <c r="G1352" s="25"/>
      <c r="H1352" s="1" t="str">
        <f t="shared" ref="H1352:H1357" si="43">IF(AND(I.Facility.ProductCount&gt;=4,I.Developer.P4C9=TRUE,F1352=""),"Incomplete","Complete")</f>
        <v>Complete</v>
      </c>
      <c r="I1352" s="48" t="s">
        <v>2159</v>
      </c>
    </row>
    <row r="1353" spans="2:9" ht="15" customHeight="1" x14ac:dyDescent="0.25">
      <c r="B1353" s="26" t="s">
        <v>417</v>
      </c>
      <c r="C1353" s="1">
        <v>2</v>
      </c>
      <c r="D1353" s="27" t="s">
        <v>3190</v>
      </c>
      <c r="E1353" s="25"/>
      <c r="F1353" s="25" t="str">
        <f>IF(INDEX(I.Production.P4Y1C9,2)="","",INDEX(I.Production.P4Y1C9,2))</f>
        <v/>
      </c>
      <c r="G1353" s="25"/>
      <c r="H1353" s="1" t="str">
        <f t="shared" si="43"/>
        <v>Complete</v>
      </c>
      <c r="I1353" s="48" t="s">
        <v>2160</v>
      </c>
    </row>
    <row r="1354" spans="2:9" ht="15" customHeight="1" x14ac:dyDescent="0.25">
      <c r="B1354" s="34" t="s">
        <v>417</v>
      </c>
      <c r="C1354" s="35">
        <v>3</v>
      </c>
      <c r="D1354" s="46" t="s">
        <v>3190</v>
      </c>
      <c r="E1354" s="45"/>
      <c r="F1354" s="45" t="str">
        <f>IF(INDEX(I.Production.P4Y1C9,3)="","",INDEX(I.Production.P4Y1C9,3))</f>
        <v/>
      </c>
      <c r="G1354" s="45"/>
      <c r="H1354" s="35" t="str">
        <f t="shared" si="43"/>
        <v>Complete</v>
      </c>
      <c r="I1354" s="49" t="s">
        <v>2161</v>
      </c>
    </row>
    <row r="1355" spans="2:9" ht="15" customHeight="1" x14ac:dyDescent="0.25">
      <c r="B1355" s="26" t="s">
        <v>418</v>
      </c>
      <c r="C1355" s="1">
        <v>1</v>
      </c>
      <c r="D1355" s="27" t="s">
        <v>3191</v>
      </c>
      <c r="E1355" s="25"/>
      <c r="F1355" s="25" t="str">
        <f>IF(INDEX(I.Production.P4Y2C9,1)="","",INDEX(I.Production.P4Y2C9,1))</f>
        <v/>
      </c>
      <c r="G1355" s="25"/>
      <c r="H1355" s="1" t="str">
        <f t="shared" si="43"/>
        <v>Complete</v>
      </c>
      <c r="I1355" s="48" t="s">
        <v>2162</v>
      </c>
    </row>
    <row r="1356" spans="2:9" ht="15" customHeight="1" x14ac:dyDescent="0.25">
      <c r="B1356" s="26" t="s">
        <v>418</v>
      </c>
      <c r="C1356" s="1">
        <v>2</v>
      </c>
      <c r="D1356" s="27" t="s">
        <v>3191</v>
      </c>
      <c r="E1356" s="25"/>
      <c r="F1356" s="25" t="str">
        <f>IF(INDEX(I.Production.P4Y2C9,2)="","",INDEX(I.Production.P4Y2C9,2))</f>
        <v/>
      </c>
      <c r="G1356" s="25"/>
      <c r="H1356" s="1" t="str">
        <f t="shared" si="43"/>
        <v>Complete</v>
      </c>
      <c r="I1356" s="48" t="s">
        <v>2163</v>
      </c>
    </row>
    <row r="1357" spans="2:9" ht="15" customHeight="1" x14ac:dyDescent="0.25">
      <c r="B1357" s="34" t="s">
        <v>418</v>
      </c>
      <c r="C1357" s="35">
        <v>3</v>
      </c>
      <c r="D1357" s="46" t="s">
        <v>3191</v>
      </c>
      <c r="E1357" s="45"/>
      <c r="F1357" s="45" t="str">
        <f>IF(INDEX(I.Production.P4Y2C9,3)="","",INDEX(I.Production.P4Y2C9,3))</f>
        <v/>
      </c>
      <c r="G1357" s="45"/>
      <c r="H1357" s="35" t="str">
        <f t="shared" si="43"/>
        <v>Complete</v>
      </c>
      <c r="I1357" s="49" t="s">
        <v>2164</v>
      </c>
    </row>
    <row r="1358" spans="2:9" ht="15" customHeight="1" x14ac:dyDescent="0.25">
      <c r="B1358" s="26" t="s">
        <v>419</v>
      </c>
      <c r="C1358" s="1">
        <v>1</v>
      </c>
      <c r="D1358" s="27" t="s">
        <v>3192</v>
      </c>
      <c r="E1358" s="25"/>
      <c r="F1358" s="25" t="str">
        <f>IF(INDEX(I.Production.P4Y3C9,1)="","",INDEX(I.Production.P4Y3C9,1))</f>
        <v/>
      </c>
      <c r="G1358" s="25"/>
      <c r="H1358" s="1" t="str">
        <f>IF(AND(I.Facility.ProductCount&gt;=4,I.Developer.P4C9=TRUE,I.Product.P4Status&lt;&gt;"Yes",F1358=""),"Incomplete","Complete")</f>
        <v>Complete</v>
      </c>
      <c r="I1358" s="48" t="s">
        <v>2165</v>
      </c>
    </row>
    <row r="1359" spans="2:9" ht="15" customHeight="1" x14ac:dyDescent="0.25">
      <c r="B1359" s="26" t="s">
        <v>419</v>
      </c>
      <c r="C1359" s="1">
        <v>2</v>
      </c>
      <c r="D1359" s="27" t="s">
        <v>3192</v>
      </c>
      <c r="E1359" s="25"/>
      <c r="F1359" s="25" t="str">
        <f>IF(INDEX(I.Production.P4Y3C9,2)="","",INDEX(I.Production.P4Y3C9,2))</f>
        <v/>
      </c>
      <c r="G1359" s="25"/>
      <c r="H1359" s="1" t="str">
        <f>IF(AND(I.Facility.ProductCount&gt;=4,I.Developer.P4C9=TRUE,I.Product.P4Status&lt;&gt;"Yes",F1359=""),"Incomplete","Complete")</f>
        <v>Complete</v>
      </c>
      <c r="I1359" s="48" t="s">
        <v>2166</v>
      </c>
    </row>
    <row r="1360" spans="2:9" ht="15" customHeight="1" x14ac:dyDescent="0.25">
      <c r="B1360" s="34" t="s">
        <v>419</v>
      </c>
      <c r="C1360" s="35">
        <v>3</v>
      </c>
      <c r="D1360" s="46" t="s">
        <v>3192</v>
      </c>
      <c r="E1360" s="45"/>
      <c r="F1360" s="45" t="str">
        <f>IF(INDEX(I.Production.P4Y3C9,3)="","",INDEX(I.Production.P4Y3C9,3))</f>
        <v/>
      </c>
      <c r="G1360" s="45"/>
      <c r="H1360" s="35" t="str">
        <f>IF(AND(I.Facility.ProductCount&gt;=4,I.Developer.P4C9=TRUE,I.Product.P4Status&lt;&gt;"Yes",F1360=""),"Incomplete","Complete")</f>
        <v>Complete</v>
      </c>
      <c r="I1360" s="49" t="s">
        <v>2167</v>
      </c>
    </row>
    <row r="1361" spans="2:9" ht="15" customHeight="1" x14ac:dyDescent="0.25">
      <c r="B1361" s="26" t="s">
        <v>420</v>
      </c>
      <c r="C1361" s="1">
        <v>1</v>
      </c>
      <c r="D1361" s="27" t="s">
        <v>3193</v>
      </c>
      <c r="E1361" s="25"/>
      <c r="F1361" s="25" t="str">
        <f>IF(INDEX(I.Production.P5Y1Quantity,1)="","",INDEX(I.Production.P5Y1Quantity,1))</f>
        <v/>
      </c>
      <c r="G1361" s="25"/>
      <c r="H1361" s="1" t="str">
        <f>IF(AND(I.Facility.ProductCount&gt;=5,I.Production.P5Y1Quantity=""),"Incomplete","Complete")</f>
        <v>Complete</v>
      </c>
      <c r="I1361" s="48" t="s">
        <v>3019</v>
      </c>
    </row>
    <row r="1362" spans="2:9" ht="15" customHeight="1" x14ac:dyDescent="0.25">
      <c r="B1362" s="26" t="s">
        <v>421</v>
      </c>
      <c r="C1362" s="1">
        <v>1</v>
      </c>
      <c r="D1362" s="27" t="s">
        <v>3194</v>
      </c>
      <c r="E1362" s="25"/>
      <c r="F1362" s="25" t="str">
        <f>IF(INDEX(I.Production.P5Y2Quantity,1)="","",INDEX(I.Production.P5Y2Quantity,1))</f>
        <v/>
      </c>
      <c r="G1362" s="25"/>
      <c r="H1362" s="1" t="str">
        <f>IF(AND(I.Facility.ProductCount&gt;=5,I.Production.P5Y2Quantity=""),"Incomplete","Complete")</f>
        <v>Complete</v>
      </c>
      <c r="I1362" s="48" t="s">
        <v>3020</v>
      </c>
    </row>
    <row r="1363" spans="2:9" ht="15" customHeight="1" x14ac:dyDescent="0.25">
      <c r="B1363" s="34" t="s">
        <v>422</v>
      </c>
      <c r="C1363" s="35">
        <v>1</v>
      </c>
      <c r="D1363" s="46" t="s">
        <v>3195</v>
      </c>
      <c r="E1363" s="45"/>
      <c r="F1363" s="45" t="str">
        <f>IF(INDEX(I.Production.P5Y3Quantity,1)="","",INDEX(I.Production.P5Y3Quantity,1))</f>
        <v/>
      </c>
      <c r="G1363" s="45"/>
      <c r="H1363" s="35" t="str">
        <f>IF(AND(I.Facility.ProductCount&gt;=5,I.Product.P5Status&lt;&gt;"Yes",I.Production.P5Y3Quantity=""),"Incomplete","Complete")</f>
        <v>Complete</v>
      </c>
      <c r="I1363" s="49" t="s">
        <v>3021</v>
      </c>
    </row>
    <row r="1364" spans="2:9" ht="15" customHeight="1" x14ac:dyDescent="0.25">
      <c r="B1364" s="34" t="s">
        <v>423</v>
      </c>
      <c r="C1364" s="35">
        <v>1</v>
      </c>
      <c r="D1364" s="46" t="s">
        <v>3062</v>
      </c>
      <c r="E1364" s="46"/>
      <c r="F1364" s="35" t="str">
        <f>IF(INDEX(I.Production.P5Units,1)="","",INDEX(I.Production.P5Units,1))</f>
        <v/>
      </c>
      <c r="G1364" s="46"/>
      <c r="H1364" s="35" t="str">
        <f>IF(AND(I.Facility.ProductCount&gt;=5,I.Production.P5Units=""),"Incomplete","Complete")</f>
        <v>Complete</v>
      </c>
      <c r="I1364" s="49" t="s">
        <v>2168</v>
      </c>
    </row>
    <row r="1365" spans="2:9" ht="15" customHeight="1" x14ac:dyDescent="0.25">
      <c r="B1365" s="26" t="s">
        <v>424</v>
      </c>
      <c r="C1365" s="1">
        <v>1</v>
      </c>
      <c r="D1365" s="27" t="s">
        <v>3196</v>
      </c>
      <c r="E1365" s="25"/>
      <c r="F1365" s="25" t="str">
        <f>IF(INDEX(I.Production.P5Y1C1,1)="","",INDEX(I.Production.P5Y1C1,1))</f>
        <v/>
      </c>
      <c r="G1365" s="25"/>
      <c r="H1365" s="1" t="str">
        <f t="shared" ref="H1365:H1370" si="44">IF(AND(I.Facility.ProductCount&gt;=5,I.Developer.P5C1=TRUE,F1365=""),"Incomplete","Complete")</f>
        <v>Complete</v>
      </c>
      <c r="I1365" s="48" t="s">
        <v>2169</v>
      </c>
    </row>
    <row r="1366" spans="2:9" ht="15" customHeight="1" x14ac:dyDescent="0.25">
      <c r="B1366" s="26" t="s">
        <v>424</v>
      </c>
      <c r="C1366" s="1">
        <v>2</v>
      </c>
      <c r="D1366" s="27" t="s">
        <v>3196</v>
      </c>
      <c r="E1366" s="25"/>
      <c r="F1366" s="25" t="str">
        <f>IF(INDEX(I.Production.P5Y1C1,2)="","",INDEX(I.Production.P5Y1C1,2))</f>
        <v/>
      </c>
      <c r="G1366" s="25"/>
      <c r="H1366" s="1" t="str">
        <f t="shared" si="44"/>
        <v>Complete</v>
      </c>
      <c r="I1366" s="48" t="s">
        <v>2170</v>
      </c>
    </row>
    <row r="1367" spans="2:9" ht="15" customHeight="1" x14ac:dyDescent="0.25">
      <c r="B1367" s="34" t="s">
        <v>424</v>
      </c>
      <c r="C1367" s="35">
        <v>3</v>
      </c>
      <c r="D1367" s="46" t="s">
        <v>3196</v>
      </c>
      <c r="E1367" s="45"/>
      <c r="F1367" s="45" t="str">
        <f>IF(INDEX(I.Production.P5Y1C1,3)="","",INDEX(I.Production.P5Y1C1,3))</f>
        <v/>
      </c>
      <c r="G1367" s="45"/>
      <c r="H1367" s="35" t="str">
        <f t="shared" si="44"/>
        <v>Complete</v>
      </c>
      <c r="I1367" s="49" t="s">
        <v>2171</v>
      </c>
    </row>
    <row r="1368" spans="2:9" ht="15" customHeight="1" x14ac:dyDescent="0.25">
      <c r="B1368" s="26" t="s">
        <v>425</v>
      </c>
      <c r="C1368" s="1">
        <v>1</v>
      </c>
      <c r="D1368" s="27" t="s">
        <v>3197</v>
      </c>
      <c r="E1368" s="25"/>
      <c r="F1368" s="25" t="str">
        <f>IF(INDEX(I.Production.P5Y2C1,1)="","",INDEX(I.Production.P5Y2C1,1))</f>
        <v/>
      </c>
      <c r="G1368" s="25"/>
      <c r="H1368" s="1" t="str">
        <f t="shared" si="44"/>
        <v>Complete</v>
      </c>
      <c r="I1368" s="48" t="s">
        <v>2172</v>
      </c>
    </row>
    <row r="1369" spans="2:9" ht="15" customHeight="1" x14ac:dyDescent="0.25">
      <c r="B1369" s="26" t="s">
        <v>425</v>
      </c>
      <c r="C1369" s="1">
        <v>2</v>
      </c>
      <c r="D1369" s="27" t="s">
        <v>3197</v>
      </c>
      <c r="E1369" s="25"/>
      <c r="F1369" s="25" t="str">
        <f>IF(INDEX(I.Production.P5Y2C1,2)="","",INDEX(I.Production.P5Y2C1,2))</f>
        <v/>
      </c>
      <c r="G1369" s="25"/>
      <c r="H1369" s="1" t="str">
        <f t="shared" si="44"/>
        <v>Complete</v>
      </c>
      <c r="I1369" s="48" t="s">
        <v>2173</v>
      </c>
    </row>
    <row r="1370" spans="2:9" ht="15" customHeight="1" x14ac:dyDescent="0.25">
      <c r="B1370" s="34" t="s">
        <v>425</v>
      </c>
      <c r="C1370" s="35">
        <v>3</v>
      </c>
      <c r="D1370" s="46" t="s">
        <v>3197</v>
      </c>
      <c r="E1370" s="45"/>
      <c r="F1370" s="45" t="str">
        <f>IF(INDEX(I.Production.P5Y2C1,3)="","",INDEX(I.Production.P5Y2C1,3))</f>
        <v/>
      </c>
      <c r="G1370" s="45"/>
      <c r="H1370" s="35" t="str">
        <f t="shared" si="44"/>
        <v>Complete</v>
      </c>
      <c r="I1370" s="49" t="s">
        <v>2174</v>
      </c>
    </row>
    <row r="1371" spans="2:9" ht="15" customHeight="1" x14ac:dyDescent="0.25">
      <c r="B1371" s="26" t="s">
        <v>426</v>
      </c>
      <c r="C1371" s="1">
        <v>1</v>
      </c>
      <c r="D1371" s="27" t="s">
        <v>3198</v>
      </c>
      <c r="E1371" s="25"/>
      <c r="F1371" s="25" t="str">
        <f>IF(INDEX(I.Production.P5Y3C1,1)="","",INDEX(I.Production.P5Y3C1,1))</f>
        <v/>
      </c>
      <c r="G1371" s="25"/>
      <c r="H1371" s="1" t="str">
        <f>IF(AND(I.Facility.ProductCount&gt;=5,I.Developer.P5C1=TRUE,I.Product.P5Status&lt;&gt;"Yes",F1371=""),"Incomplete","Complete")</f>
        <v>Complete</v>
      </c>
      <c r="I1371" s="48" t="s">
        <v>2175</v>
      </c>
    </row>
    <row r="1372" spans="2:9" ht="15" customHeight="1" x14ac:dyDescent="0.25">
      <c r="B1372" s="26" t="s">
        <v>426</v>
      </c>
      <c r="C1372" s="1">
        <v>2</v>
      </c>
      <c r="D1372" s="27" t="s">
        <v>3198</v>
      </c>
      <c r="E1372" s="25"/>
      <c r="F1372" s="25" t="str">
        <f>IF(INDEX(I.Production.P5Y3C1,2)="","",INDEX(I.Production.P5Y3C1,2))</f>
        <v/>
      </c>
      <c r="G1372" s="25"/>
      <c r="H1372" s="1" t="str">
        <f>IF(AND(I.Facility.ProductCount&gt;=5,I.Developer.P5C1=TRUE,I.Product.P5Status&lt;&gt;"Yes",F1372=""),"Incomplete","Complete")</f>
        <v>Complete</v>
      </c>
      <c r="I1372" s="48" t="s">
        <v>2176</v>
      </c>
    </row>
    <row r="1373" spans="2:9" ht="15" customHeight="1" x14ac:dyDescent="0.25">
      <c r="B1373" s="34" t="s">
        <v>426</v>
      </c>
      <c r="C1373" s="35">
        <v>3</v>
      </c>
      <c r="D1373" s="46" t="s">
        <v>3198</v>
      </c>
      <c r="E1373" s="45"/>
      <c r="F1373" s="45" t="str">
        <f>IF(INDEX(I.Production.P5Y3C1,3)="","",INDEX(I.Production.P5Y3C1,3))</f>
        <v/>
      </c>
      <c r="G1373" s="45"/>
      <c r="H1373" s="35" t="str">
        <f>IF(AND(I.Facility.ProductCount&gt;=5,I.Developer.P5C1=TRUE,I.Product.P5Status&lt;&gt;"Yes",F1373=""),"Incomplete","Complete")</f>
        <v>Complete</v>
      </c>
      <c r="I1373" s="49" t="s">
        <v>2177</v>
      </c>
    </row>
    <row r="1374" spans="2:9" ht="15" customHeight="1" x14ac:dyDescent="0.25">
      <c r="B1374" s="26" t="s">
        <v>427</v>
      </c>
      <c r="C1374" s="1">
        <v>1</v>
      </c>
      <c r="D1374" s="27" t="s">
        <v>3199</v>
      </c>
      <c r="E1374" s="25"/>
      <c r="F1374" s="25" t="str">
        <f>IF(INDEX(I.Production.P5Y1C2,1)="","",INDEX(I.Production.P5Y1C2,1))</f>
        <v/>
      </c>
      <c r="G1374" s="25"/>
      <c r="H1374" s="1" t="str">
        <f t="shared" ref="H1374:H1421" si="45">IF(AND(I.Facility.ProductCount&gt;=5,I.Developer.P5C2=TRUE,F1374=""),"Incomplete","Complete")</f>
        <v>Complete</v>
      </c>
      <c r="I1374" s="48" t="s">
        <v>2178</v>
      </c>
    </row>
    <row r="1375" spans="2:9" ht="15" customHeight="1" x14ac:dyDescent="0.25">
      <c r="B1375" s="26" t="s">
        <v>427</v>
      </c>
      <c r="C1375" s="1">
        <v>2</v>
      </c>
      <c r="D1375" s="27" t="s">
        <v>3199</v>
      </c>
      <c r="E1375" s="25"/>
      <c r="F1375" s="25" t="str">
        <f>IF(INDEX(I.Production.P5Y1C2,2)="","",INDEX(I.Production.P5Y1C2,2))</f>
        <v/>
      </c>
      <c r="G1375" s="25"/>
      <c r="H1375" s="1" t="str">
        <f t="shared" si="45"/>
        <v>Complete</v>
      </c>
      <c r="I1375" s="48" t="s">
        <v>2179</v>
      </c>
    </row>
    <row r="1376" spans="2:9" ht="15" customHeight="1" x14ac:dyDescent="0.25">
      <c r="B1376" s="26" t="s">
        <v>427</v>
      </c>
      <c r="C1376" s="1">
        <v>3</v>
      </c>
      <c r="D1376" s="27" t="s">
        <v>3199</v>
      </c>
      <c r="E1376" s="25"/>
      <c r="F1376" s="25" t="str">
        <f>IF(INDEX(I.Production.P5Y1C2,3)="","",INDEX(I.Production.P5Y1C2,3))</f>
        <v/>
      </c>
      <c r="G1376" s="25"/>
      <c r="H1376" s="1" t="str">
        <f t="shared" si="45"/>
        <v>Complete</v>
      </c>
      <c r="I1376" s="48" t="s">
        <v>2180</v>
      </c>
    </row>
    <row r="1377" spans="2:9" ht="15" customHeight="1" x14ac:dyDescent="0.25">
      <c r="B1377" s="26" t="s">
        <v>427</v>
      </c>
      <c r="C1377" s="1">
        <v>4</v>
      </c>
      <c r="D1377" s="27" t="s">
        <v>3199</v>
      </c>
      <c r="E1377" s="25"/>
      <c r="F1377" s="25" t="str">
        <f>IF(INDEX(I.Production.P5Y1C2,4)="","",INDEX(I.Production.P5Y1C2,4))</f>
        <v/>
      </c>
      <c r="G1377" s="25"/>
      <c r="H1377" s="1" t="str">
        <f t="shared" si="45"/>
        <v>Complete</v>
      </c>
      <c r="I1377" s="48" t="s">
        <v>2181</v>
      </c>
    </row>
    <row r="1378" spans="2:9" ht="15" customHeight="1" x14ac:dyDescent="0.25">
      <c r="B1378" s="26" t="s">
        <v>427</v>
      </c>
      <c r="C1378" s="1">
        <v>5</v>
      </c>
      <c r="D1378" s="27" t="s">
        <v>3199</v>
      </c>
      <c r="E1378" s="25"/>
      <c r="F1378" s="25" t="str">
        <f>IF(INDEX(I.Production.P5Y1C2,5)="","",INDEX(I.Production.P5Y1C2,5))</f>
        <v/>
      </c>
      <c r="G1378" s="25"/>
      <c r="H1378" s="1" t="str">
        <f t="shared" si="45"/>
        <v>Complete</v>
      </c>
      <c r="I1378" s="48" t="s">
        <v>2182</v>
      </c>
    </row>
    <row r="1379" spans="2:9" ht="15" customHeight="1" x14ac:dyDescent="0.25">
      <c r="B1379" s="26" t="s">
        <v>427</v>
      </c>
      <c r="C1379" s="1">
        <v>6</v>
      </c>
      <c r="D1379" s="27" t="s">
        <v>3199</v>
      </c>
      <c r="E1379" s="25"/>
      <c r="F1379" s="25" t="str">
        <f>IF(INDEX(I.Production.P5Y1C2,6)="","",INDEX(I.Production.P5Y1C2,6))</f>
        <v/>
      </c>
      <c r="G1379" s="25"/>
      <c r="H1379" s="1" t="str">
        <f t="shared" si="45"/>
        <v>Complete</v>
      </c>
      <c r="I1379" s="48" t="s">
        <v>2183</v>
      </c>
    </row>
    <row r="1380" spans="2:9" ht="15" customHeight="1" x14ac:dyDescent="0.25">
      <c r="B1380" s="26" t="s">
        <v>427</v>
      </c>
      <c r="C1380" s="1">
        <v>7</v>
      </c>
      <c r="D1380" s="27" t="s">
        <v>3199</v>
      </c>
      <c r="E1380" s="25"/>
      <c r="F1380" s="25" t="str">
        <f>IF(INDEX(I.Production.P5Y1C2,7)="","",INDEX(I.Production.P5Y1C2,7))</f>
        <v/>
      </c>
      <c r="G1380" s="25"/>
      <c r="H1380" s="1" t="str">
        <f t="shared" si="45"/>
        <v>Complete</v>
      </c>
      <c r="I1380" s="48" t="s">
        <v>2184</v>
      </c>
    </row>
    <row r="1381" spans="2:9" ht="15" customHeight="1" x14ac:dyDescent="0.25">
      <c r="B1381" s="26" t="s">
        <v>427</v>
      </c>
      <c r="C1381" s="1">
        <v>8</v>
      </c>
      <c r="D1381" s="27" t="s">
        <v>3199</v>
      </c>
      <c r="E1381" s="25"/>
      <c r="F1381" s="25" t="str">
        <f>IF(INDEX(I.Production.P5Y1C2,8)="","",INDEX(I.Production.P5Y1C2,8))</f>
        <v/>
      </c>
      <c r="G1381" s="25"/>
      <c r="H1381" s="1" t="str">
        <f t="shared" si="45"/>
        <v>Complete</v>
      </c>
      <c r="I1381" s="48" t="s">
        <v>2185</v>
      </c>
    </row>
    <row r="1382" spans="2:9" ht="15" customHeight="1" x14ac:dyDescent="0.25">
      <c r="B1382" s="26" t="s">
        <v>427</v>
      </c>
      <c r="C1382" s="1">
        <v>9</v>
      </c>
      <c r="D1382" s="27" t="s">
        <v>3199</v>
      </c>
      <c r="E1382" s="25"/>
      <c r="F1382" s="25" t="str">
        <f>IF(INDEX(I.Production.P5Y1C2,9)="","",INDEX(I.Production.P5Y1C2,9))</f>
        <v/>
      </c>
      <c r="G1382" s="25"/>
      <c r="H1382" s="1" t="str">
        <f t="shared" si="45"/>
        <v>Complete</v>
      </c>
      <c r="I1382" s="48" t="s">
        <v>2186</v>
      </c>
    </row>
    <row r="1383" spans="2:9" ht="15" customHeight="1" x14ac:dyDescent="0.25">
      <c r="B1383" s="26" t="s">
        <v>427</v>
      </c>
      <c r="C1383" s="1">
        <v>10</v>
      </c>
      <c r="D1383" s="27" t="s">
        <v>3199</v>
      </c>
      <c r="E1383" s="25"/>
      <c r="F1383" s="25" t="str">
        <f>IF(INDEX(I.Production.P5Y1C2,10)="","",INDEX(I.Production.P5Y1C2,10))</f>
        <v/>
      </c>
      <c r="G1383" s="25"/>
      <c r="H1383" s="1" t="str">
        <f t="shared" si="45"/>
        <v>Complete</v>
      </c>
      <c r="I1383" s="48" t="s">
        <v>2187</v>
      </c>
    </row>
    <row r="1384" spans="2:9" ht="15" customHeight="1" x14ac:dyDescent="0.25">
      <c r="B1384" s="26" t="s">
        <v>427</v>
      </c>
      <c r="C1384" s="1">
        <v>11</v>
      </c>
      <c r="D1384" s="27" t="s">
        <v>3199</v>
      </c>
      <c r="E1384" s="25"/>
      <c r="F1384" s="25" t="str">
        <f>IF(INDEX(I.Production.P5Y1C2,11)="","",INDEX(I.Production.P5Y1C2,11))</f>
        <v/>
      </c>
      <c r="G1384" s="25"/>
      <c r="H1384" s="1" t="str">
        <f t="shared" si="45"/>
        <v>Complete</v>
      </c>
      <c r="I1384" s="48" t="s">
        <v>2188</v>
      </c>
    </row>
    <row r="1385" spans="2:9" ht="15" customHeight="1" x14ac:dyDescent="0.25">
      <c r="B1385" s="26" t="s">
        <v>427</v>
      </c>
      <c r="C1385" s="1">
        <v>12</v>
      </c>
      <c r="D1385" s="27" t="s">
        <v>3199</v>
      </c>
      <c r="E1385" s="25"/>
      <c r="F1385" s="25" t="str">
        <f>IF(INDEX(I.Production.P5Y1C2,12)="","",INDEX(I.Production.P5Y1C2,12))</f>
        <v/>
      </c>
      <c r="G1385" s="25"/>
      <c r="H1385" s="1" t="str">
        <f t="shared" si="45"/>
        <v>Complete</v>
      </c>
      <c r="I1385" s="48" t="s">
        <v>2189</v>
      </c>
    </row>
    <row r="1386" spans="2:9" ht="15" customHeight="1" x14ac:dyDescent="0.25">
      <c r="B1386" s="26" t="s">
        <v>427</v>
      </c>
      <c r="C1386" s="1">
        <v>13</v>
      </c>
      <c r="D1386" s="27" t="s">
        <v>3199</v>
      </c>
      <c r="E1386" s="25"/>
      <c r="F1386" s="25" t="str">
        <f>IF(INDEX(I.Production.P5Y1C2,13)="","",INDEX(I.Production.P5Y1C2,13))</f>
        <v/>
      </c>
      <c r="G1386" s="25"/>
      <c r="H1386" s="1" t="str">
        <f t="shared" si="45"/>
        <v>Complete</v>
      </c>
      <c r="I1386" s="48" t="s">
        <v>2190</v>
      </c>
    </row>
    <row r="1387" spans="2:9" ht="15" customHeight="1" x14ac:dyDescent="0.25">
      <c r="B1387" s="26" t="s">
        <v>427</v>
      </c>
      <c r="C1387" s="1">
        <v>14</v>
      </c>
      <c r="D1387" s="27" t="s">
        <v>3199</v>
      </c>
      <c r="E1387" s="25"/>
      <c r="F1387" s="25" t="str">
        <f>IF(INDEX(I.Production.P5Y1C2,14)="","",INDEX(I.Production.P5Y1C2,14))</f>
        <v/>
      </c>
      <c r="G1387" s="25"/>
      <c r="H1387" s="1" t="str">
        <f t="shared" si="45"/>
        <v>Complete</v>
      </c>
      <c r="I1387" s="48" t="s">
        <v>2191</v>
      </c>
    </row>
    <row r="1388" spans="2:9" ht="15" customHeight="1" x14ac:dyDescent="0.25">
      <c r="B1388" s="26" t="s">
        <v>427</v>
      </c>
      <c r="C1388" s="1">
        <v>15</v>
      </c>
      <c r="D1388" s="27" t="s">
        <v>3199</v>
      </c>
      <c r="E1388" s="25"/>
      <c r="F1388" s="25" t="str">
        <f>IF(INDEX(I.Production.P5Y1C2,15)="","",INDEX(I.Production.P5Y1C2,15))</f>
        <v/>
      </c>
      <c r="G1388" s="25"/>
      <c r="H1388" s="1" t="str">
        <f t="shared" si="45"/>
        <v>Complete</v>
      </c>
      <c r="I1388" s="48" t="s">
        <v>2192</v>
      </c>
    </row>
    <row r="1389" spans="2:9" ht="15" customHeight="1" x14ac:dyDescent="0.25">
      <c r="B1389" s="26" t="s">
        <v>427</v>
      </c>
      <c r="C1389" s="1">
        <v>16</v>
      </c>
      <c r="D1389" s="27" t="s">
        <v>3199</v>
      </c>
      <c r="E1389" s="25"/>
      <c r="F1389" s="25" t="str">
        <f>IF(INDEX(I.Production.P5Y1C2,16)="","",INDEX(I.Production.P5Y1C2,16))</f>
        <v/>
      </c>
      <c r="G1389" s="25"/>
      <c r="H1389" s="1" t="str">
        <f t="shared" si="45"/>
        <v>Complete</v>
      </c>
      <c r="I1389" s="48" t="s">
        <v>2193</v>
      </c>
    </row>
    <row r="1390" spans="2:9" ht="15" customHeight="1" x14ac:dyDescent="0.25">
      <c r="B1390" s="26" t="s">
        <v>427</v>
      </c>
      <c r="C1390" s="1">
        <v>17</v>
      </c>
      <c r="D1390" s="27" t="s">
        <v>3199</v>
      </c>
      <c r="E1390" s="25"/>
      <c r="F1390" s="25" t="str">
        <f>IF(INDEX(I.Production.P5Y1C2,17)="","",INDEX(I.Production.P5Y1C2,17))</f>
        <v/>
      </c>
      <c r="G1390" s="25"/>
      <c r="H1390" s="1" t="str">
        <f t="shared" si="45"/>
        <v>Complete</v>
      </c>
      <c r="I1390" s="48" t="s">
        <v>2194</v>
      </c>
    </row>
    <row r="1391" spans="2:9" ht="15" customHeight="1" x14ac:dyDescent="0.25">
      <c r="B1391" s="26" t="s">
        <v>427</v>
      </c>
      <c r="C1391" s="1">
        <v>18</v>
      </c>
      <c r="D1391" s="27" t="s">
        <v>3199</v>
      </c>
      <c r="E1391" s="25"/>
      <c r="F1391" s="25" t="str">
        <f>IF(INDEX(I.Production.P5Y1C2,18)="","",INDEX(I.Production.P5Y1C2,18))</f>
        <v/>
      </c>
      <c r="G1391" s="25"/>
      <c r="H1391" s="1" t="str">
        <f t="shared" si="45"/>
        <v>Complete</v>
      </c>
      <c r="I1391" s="48" t="s">
        <v>2195</v>
      </c>
    </row>
    <row r="1392" spans="2:9" ht="15" customHeight="1" x14ac:dyDescent="0.25">
      <c r="B1392" s="26" t="s">
        <v>427</v>
      </c>
      <c r="C1392" s="1">
        <v>19</v>
      </c>
      <c r="D1392" s="27" t="s">
        <v>3199</v>
      </c>
      <c r="E1392" s="25"/>
      <c r="F1392" s="25" t="str">
        <f>IF(INDEX(I.Production.P5Y1C2,19)="","",INDEX(I.Production.P5Y1C2,19))</f>
        <v/>
      </c>
      <c r="G1392" s="25"/>
      <c r="H1392" s="1" t="str">
        <f t="shared" si="45"/>
        <v>Complete</v>
      </c>
      <c r="I1392" s="48" t="s">
        <v>2196</v>
      </c>
    </row>
    <row r="1393" spans="2:9" ht="15" customHeight="1" x14ac:dyDescent="0.25">
      <c r="B1393" s="26" t="s">
        <v>427</v>
      </c>
      <c r="C1393" s="1">
        <v>20</v>
      </c>
      <c r="D1393" s="27" t="s">
        <v>3199</v>
      </c>
      <c r="E1393" s="25"/>
      <c r="F1393" s="25" t="str">
        <f>IF(INDEX(I.Production.P5Y1C2,20)="","",INDEX(I.Production.P5Y1C2,20))</f>
        <v/>
      </c>
      <c r="G1393" s="25"/>
      <c r="H1393" s="1" t="str">
        <f t="shared" si="45"/>
        <v>Complete</v>
      </c>
      <c r="I1393" s="48" t="s">
        <v>2197</v>
      </c>
    </row>
    <row r="1394" spans="2:9" ht="15" customHeight="1" x14ac:dyDescent="0.25">
      <c r="B1394" s="26" t="s">
        <v>427</v>
      </c>
      <c r="C1394" s="1">
        <v>21</v>
      </c>
      <c r="D1394" s="27" t="s">
        <v>3199</v>
      </c>
      <c r="E1394" s="25"/>
      <c r="F1394" s="25" t="str">
        <f>IF(INDEX(I.Production.P5Y1C2,21)="","",INDEX(I.Production.P5Y1C2,21))</f>
        <v/>
      </c>
      <c r="G1394" s="25"/>
      <c r="H1394" s="1" t="str">
        <f t="shared" si="45"/>
        <v>Complete</v>
      </c>
      <c r="I1394" s="48" t="s">
        <v>2198</v>
      </c>
    </row>
    <row r="1395" spans="2:9" ht="15" customHeight="1" x14ac:dyDescent="0.25">
      <c r="B1395" s="26" t="s">
        <v>427</v>
      </c>
      <c r="C1395" s="1">
        <v>22</v>
      </c>
      <c r="D1395" s="27" t="s">
        <v>3199</v>
      </c>
      <c r="E1395" s="25"/>
      <c r="F1395" s="25" t="str">
        <f>IF(INDEX(I.Production.P5Y1C2,22)="","",INDEX(I.Production.P5Y1C2,22))</f>
        <v/>
      </c>
      <c r="G1395" s="25"/>
      <c r="H1395" s="1" t="str">
        <f t="shared" si="45"/>
        <v>Complete</v>
      </c>
      <c r="I1395" s="48" t="s">
        <v>2199</v>
      </c>
    </row>
    <row r="1396" spans="2:9" ht="15" customHeight="1" x14ac:dyDescent="0.25">
      <c r="B1396" s="26" t="s">
        <v>427</v>
      </c>
      <c r="C1396" s="1">
        <v>23</v>
      </c>
      <c r="D1396" s="27" t="s">
        <v>3199</v>
      </c>
      <c r="E1396" s="25"/>
      <c r="F1396" s="25" t="str">
        <f>IF(INDEX(I.Production.P5Y1C2,23)="","",INDEX(I.Production.P5Y1C2,23))</f>
        <v/>
      </c>
      <c r="G1396" s="25"/>
      <c r="H1396" s="1" t="str">
        <f t="shared" si="45"/>
        <v>Complete</v>
      </c>
      <c r="I1396" s="48" t="s">
        <v>2200</v>
      </c>
    </row>
    <row r="1397" spans="2:9" ht="15" customHeight="1" x14ac:dyDescent="0.25">
      <c r="B1397" s="34" t="s">
        <v>427</v>
      </c>
      <c r="C1397" s="35">
        <v>24</v>
      </c>
      <c r="D1397" s="46" t="s">
        <v>3199</v>
      </c>
      <c r="E1397" s="45"/>
      <c r="F1397" s="45" t="str">
        <f>IF(INDEX(I.Production.P5Y1C2,24)="","",INDEX(I.Production.P5Y1C2,24))</f>
        <v/>
      </c>
      <c r="G1397" s="45"/>
      <c r="H1397" s="35" t="str">
        <f t="shared" si="45"/>
        <v>Complete</v>
      </c>
      <c r="I1397" s="49" t="s">
        <v>2201</v>
      </c>
    </row>
    <row r="1398" spans="2:9" ht="15" customHeight="1" x14ac:dyDescent="0.25">
      <c r="B1398" s="26" t="s">
        <v>428</v>
      </c>
      <c r="C1398" s="1">
        <v>1</v>
      </c>
      <c r="D1398" s="27" t="s">
        <v>3200</v>
      </c>
      <c r="E1398" s="25"/>
      <c r="F1398" s="25" t="str">
        <f>IF(INDEX(I.Production.P5Y2C2,1)="","",INDEX(I.Production.P5Y2C2,1))</f>
        <v/>
      </c>
      <c r="G1398" s="25"/>
      <c r="H1398" s="1" t="str">
        <f t="shared" si="45"/>
        <v>Complete</v>
      </c>
      <c r="I1398" s="48" t="s">
        <v>2202</v>
      </c>
    </row>
    <row r="1399" spans="2:9" ht="15" customHeight="1" x14ac:dyDescent="0.25">
      <c r="B1399" s="26" t="s">
        <v>428</v>
      </c>
      <c r="C1399" s="1">
        <v>2</v>
      </c>
      <c r="D1399" s="27" t="s">
        <v>3200</v>
      </c>
      <c r="E1399" s="25"/>
      <c r="F1399" s="25" t="str">
        <f>IF(INDEX(I.Production.P5Y2C2,2)="","",INDEX(I.Production.P5Y2C2,2))</f>
        <v/>
      </c>
      <c r="G1399" s="25"/>
      <c r="H1399" s="1" t="str">
        <f t="shared" si="45"/>
        <v>Complete</v>
      </c>
      <c r="I1399" s="48" t="s">
        <v>2203</v>
      </c>
    </row>
    <row r="1400" spans="2:9" ht="15" customHeight="1" x14ac:dyDescent="0.25">
      <c r="B1400" s="26" t="s">
        <v>428</v>
      </c>
      <c r="C1400" s="1">
        <v>3</v>
      </c>
      <c r="D1400" s="27" t="s">
        <v>3200</v>
      </c>
      <c r="E1400" s="25"/>
      <c r="F1400" s="25" t="str">
        <f>IF(INDEX(I.Production.P5Y2C2,3)="","",INDEX(I.Production.P5Y2C2,3))</f>
        <v/>
      </c>
      <c r="G1400" s="25"/>
      <c r="H1400" s="1" t="str">
        <f t="shared" si="45"/>
        <v>Complete</v>
      </c>
      <c r="I1400" s="48" t="s">
        <v>2204</v>
      </c>
    </row>
    <row r="1401" spans="2:9" ht="15" customHeight="1" x14ac:dyDescent="0.25">
      <c r="B1401" s="26" t="s">
        <v>428</v>
      </c>
      <c r="C1401" s="1">
        <v>4</v>
      </c>
      <c r="D1401" s="27" t="s">
        <v>3200</v>
      </c>
      <c r="E1401" s="25"/>
      <c r="F1401" s="25" t="str">
        <f>IF(INDEX(I.Production.P5Y2C2,4)="","",INDEX(I.Production.P5Y2C2,4))</f>
        <v/>
      </c>
      <c r="G1401" s="25"/>
      <c r="H1401" s="1" t="str">
        <f t="shared" si="45"/>
        <v>Complete</v>
      </c>
      <c r="I1401" s="48" t="s">
        <v>2205</v>
      </c>
    </row>
    <row r="1402" spans="2:9" ht="15" customHeight="1" x14ac:dyDescent="0.25">
      <c r="B1402" s="26" t="s">
        <v>428</v>
      </c>
      <c r="C1402" s="1">
        <v>5</v>
      </c>
      <c r="D1402" s="27" t="s">
        <v>3200</v>
      </c>
      <c r="E1402" s="25"/>
      <c r="F1402" s="25" t="str">
        <f>IF(INDEX(I.Production.P5Y2C2,5)="","",INDEX(I.Production.P5Y2C2,5))</f>
        <v/>
      </c>
      <c r="G1402" s="25"/>
      <c r="H1402" s="1" t="str">
        <f t="shared" si="45"/>
        <v>Complete</v>
      </c>
      <c r="I1402" s="48" t="s">
        <v>2206</v>
      </c>
    </row>
    <row r="1403" spans="2:9" ht="15" customHeight="1" x14ac:dyDescent="0.25">
      <c r="B1403" s="26" t="s">
        <v>428</v>
      </c>
      <c r="C1403" s="1">
        <v>6</v>
      </c>
      <c r="D1403" s="27" t="s">
        <v>3200</v>
      </c>
      <c r="E1403" s="25"/>
      <c r="F1403" s="25" t="str">
        <f>IF(INDEX(I.Production.P5Y2C2,6)="","",INDEX(I.Production.P5Y2C2,6))</f>
        <v/>
      </c>
      <c r="G1403" s="25"/>
      <c r="H1403" s="1" t="str">
        <f t="shared" si="45"/>
        <v>Complete</v>
      </c>
      <c r="I1403" s="48" t="s">
        <v>2207</v>
      </c>
    </row>
    <row r="1404" spans="2:9" ht="15" customHeight="1" x14ac:dyDescent="0.25">
      <c r="B1404" s="26" t="s">
        <v>428</v>
      </c>
      <c r="C1404" s="1">
        <v>7</v>
      </c>
      <c r="D1404" s="27" t="s">
        <v>3200</v>
      </c>
      <c r="E1404" s="25"/>
      <c r="F1404" s="25" t="str">
        <f>IF(INDEX(I.Production.P5Y2C2,7)="","",INDEX(I.Production.P5Y2C2,7))</f>
        <v/>
      </c>
      <c r="G1404" s="25"/>
      <c r="H1404" s="1" t="str">
        <f t="shared" si="45"/>
        <v>Complete</v>
      </c>
      <c r="I1404" s="48" t="s">
        <v>2208</v>
      </c>
    </row>
    <row r="1405" spans="2:9" ht="15" customHeight="1" x14ac:dyDescent="0.25">
      <c r="B1405" s="26" t="s">
        <v>428</v>
      </c>
      <c r="C1405" s="1">
        <v>8</v>
      </c>
      <c r="D1405" s="27" t="s">
        <v>3200</v>
      </c>
      <c r="E1405" s="25"/>
      <c r="F1405" s="25" t="str">
        <f>IF(INDEX(I.Production.P5Y2C2,8)="","",INDEX(I.Production.P5Y2C2,8))</f>
        <v/>
      </c>
      <c r="G1405" s="25"/>
      <c r="H1405" s="1" t="str">
        <f t="shared" si="45"/>
        <v>Complete</v>
      </c>
      <c r="I1405" s="48" t="s">
        <v>2209</v>
      </c>
    </row>
    <row r="1406" spans="2:9" ht="15" customHeight="1" x14ac:dyDescent="0.25">
      <c r="B1406" s="26" t="s">
        <v>428</v>
      </c>
      <c r="C1406" s="1">
        <v>9</v>
      </c>
      <c r="D1406" s="27" t="s">
        <v>3200</v>
      </c>
      <c r="E1406" s="25"/>
      <c r="F1406" s="25" t="str">
        <f>IF(INDEX(I.Production.P5Y2C2,9)="","",INDEX(I.Production.P5Y2C2,9))</f>
        <v/>
      </c>
      <c r="G1406" s="25"/>
      <c r="H1406" s="1" t="str">
        <f t="shared" si="45"/>
        <v>Complete</v>
      </c>
      <c r="I1406" s="48" t="s">
        <v>2210</v>
      </c>
    </row>
    <row r="1407" spans="2:9" ht="15" customHeight="1" x14ac:dyDescent="0.25">
      <c r="B1407" s="26" t="s">
        <v>428</v>
      </c>
      <c r="C1407" s="1">
        <v>10</v>
      </c>
      <c r="D1407" s="27" t="s">
        <v>3200</v>
      </c>
      <c r="E1407" s="25"/>
      <c r="F1407" s="25" t="str">
        <f>IF(INDEX(I.Production.P5Y2C2,10)="","",INDEX(I.Production.P5Y2C2,10))</f>
        <v/>
      </c>
      <c r="G1407" s="25"/>
      <c r="H1407" s="1" t="str">
        <f t="shared" si="45"/>
        <v>Complete</v>
      </c>
      <c r="I1407" s="48" t="s">
        <v>2211</v>
      </c>
    </row>
    <row r="1408" spans="2:9" ht="15" customHeight="1" x14ac:dyDescent="0.25">
      <c r="B1408" s="26" t="s">
        <v>428</v>
      </c>
      <c r="C1408" s="1">
        <v>11</v>
      </c>
      <c r="D1408" s="27" t="s">
        <v>3200</v>
      </c>
      <c r="E1408" s="25"/>
      <c r="F1408" s="25" t="str">
        <f>IF(INDEX(I.Production.P5Y2C2,11)="","",INDEX(I.Production.P5Y2C2,11))</f>
        <v/>
      </c>
      <c r="G1408" s="25"/>
      <c r="H1408" s="1" t="str">
        <f t="shared" si="45"/>
        <v>Complete</v>
      </c>
      <c r="I1408" s="48" t="s">
        <v>2212</v>
      </c>
    </row>
    <row r="1409" spans="2:9" ht="15" customHeight="1" x14ac:dyDescent="0.25">
      <c r="B1409" s="26" t="s">
        <v>428</v>
      </c>
      <c r="C1409" s="1">
        <v>12</v>
      </c>
      <c r="D1409" s="27" t="s">
        <v>3200</v>
      </c>
      <c r="E1409" s="25"/>
      <c r="F1409" s="25" t="str">
        <f>IF(INDEX(I.Production.P5Y2C2,12)="","",INDEX(I.Production.P5Y2C2,12))</f>
        <v/>
      </c>
      <c r="G1409" s="25"/>
      <c r="H1409" s="1" t="str">
        <f t="shared" si="45"/>
        <v>Complete</v>
      </c>
      <c r="I1409" s="48" t="s">
        <v>2213</v>
      </c>
    </row>
    <row r="1410" spans="2:9" ht="15" customHeight="1" x14ac:dyDescent="0.25">
      <c r="B1410" s="26" t="s">
        <v>428</v>
      </c>
      <c r="C1410" s="1">
        <v>13</v>
      </c>
      <c r="D1410" s="27" t="s">
        <v>3200</v>
      </c>
      <c r="E1410" s="25"/>
      <c r="F1410" s="25" t="str">
        <f>IF(INDEX(I.Production.P5Y2C2,13)="","",INDEX(I.Production.P5Y2C2,13))</f>
        <v/>
      </c>
      <c r="G1410" s="25"/>
      <c r="H1410" s="1" t="str">
        <f t="shared" si="45"/>
        <v>Complete</v>
      </c>
      <c r="I1410" s="48" t="s">
        <v>2214</v>
      </c>
    </row>
    <row r="1411" spans="2:9" ht="15" customHeight="1" x14ac:dyDescent="0.25">
      <c r="B1411" s="26" t="s">
        <v>428</v>
      </c>
      <c r="C1411" s="1">
        <v>14</v>
      </c>
      <c r="D1411" s="27" t="s">
        <v>3200</v>
      </c>
      <c r="E1411" s="25"/>
      <c r="F1411" s="25" t="str">
        <f>IF(INDEX(I.Production.P5Y2C2,14)="","",INDEX(I.Production.P5Y2C2,14))</f>
        <v/>
      </c>
      <c r="G1411" s="25"/>
      <c r="H1411" s="1" t="str">
        <f t="shared" si="45"/>
        <v>Complete</v>
      </c>
      <c r="I1411" s="48" t="s">
        <v>2215</v>
      </c>
    </row>
    <row r="1412" spans="2:9" ht="15" customHeight="1" x14ac:dyDescent="0.25">
      <c r="B1412" s="26" t="s">
        <v>428</v>
      </c>
      <c r="C1412" s="1">
        <v>15</v>
      </c>
      <c r="D1412" s="27" t="s">
        <v>3200</v>
      </c>
      <c r="E1412" s="25"/>
      <c r="F1412" s="25" t="str">
        <f>IF(INDEX(I.Production.P5Y2C2,15)="","",INDEX(I.Production.P5Y2C2,15))</f>
        <v/>
      </c>
      <c r="G1412" s="25"/>
      <c r="H1412" s="1" t="str">
        <f t="shared" si="45"/>
        <v>Complete</v>
      </c>
      <c r="I1412" s="48" t="s">
        <v>2216</v>
      </c>
    </row>
    <row r="1413" spans="2:9" ht="15" customHeight="1" x14ac:dyDescent="0.25">
      <c r="B1413" s="26" t="s">
        <v>428</v>
      </c>
      <c r="C1413" s="1">
        <v>16</v>
      </c>
      <c r="D1413" s="27" t="s">
        <v>3200</v>
      </c>
      <c r="E1413" s="25"/>
      <c r="F1413" s="25" t="str">
        <f>IF(INDEX(I.Production.P5Y2C2,16)="","",INDEX(I.Production.P5Y2C2,16))</f>
        <v/>
      </c>
      <c r="G1413" s="25"/>
      <c r="H1413" s="1" t="str">
        <f t="shared" si="45"/>
        <v>Complete</v>
      </c>
      <c r="I1413" s="48" t="s">
        <v>2217</v>
      </c>
    </row>
    <row r="1414" spans="2:9" ht="15" customHeight="1" x14ac:dyDescent="0.25">
      <c r="B1414" s="26" t="s">
        <v>428</v>
      </c>
      <c r="C1414" s="1">
        <v>17</v>
      </c>
      <c r="D1414" s="27" t="s">
        <v>3200</v>
      </c>
      <c r="E1414" s="25"/>
      <c r="F1414" s="25" t="str">
        <f>IF(INDEX(I.Production.P5Y2C2,17)="","",INDEX(I.Production.P5Y2C2,17))</f>
        <v/>
      </c>
      <c r="G1414" s="25"/>
      <c r="H1414" s="1" t="str">
        <f t="shared" si="45"/>
        <v>Complete</v>
      </c>
      <c r="I1414" s="48" t="s">
        <v>2218</v>
      </c>
    </row>
    <row r="1415" spans="2:9" ht="15" customHeight="1" x14ac:dyDescent="0.25">
      <c r="B1415" s="26" t="s">
        <v>428</v>
      </c>
      <c r="C1415" s="1">
        <v>18</v>
      </c>
      <c r="D1415" s="27" t="s">
        <v>3200</v>
      </c>
      <c r="E1415" s="25"/>
      <c r="F1415" s="25" t="str">
        <f>IF(INDEX(I.Production.P5Y2C2,18)="","",INDEX(I.Production.P5Y2C2,18))</f>
        <v/>
      </c>
      <c r="G1415" s="25"/>
      <c r="H1415" s="1" t="str">
        <f t="shared" si="45"/>
        <v>Complete</v>
      </c>
      <c r="I1415" s="48" t="s">
        <v>2219</v>
      </c>
    </row>
    <row r="1416" spans="2:9" ht="15" customHeight="1" x14ac:dyDescent="0.25">
      <c r="B1416" s="26" t="s">
        <v>428</v>
      </c>
      <c r="C1416" s="1">
        <v>19</v>
      </c>
      <c r="D1416" s="27" t="s">
        <v>3200</v>
      </c>
      <c r="E1416" s="25"/>
      <c r="F1416" s="25" t="str">
        <f>IF(INDEX(I.Production.P5Y2C2,19)="","",INDEX(I.Production.P5Y2C2,19))</f>
        <v/>
      </c>
      <c r="G1416" s="25"/>
      <c r="H1416" s="1" t="str">
        <f t="shared" si="45"/>
        <v>Complete</v>
      </c>
      <c r="I1416" s="48" t="s">
        <v>2220</v>
      </c>
    </row>
    <row r="1417" spans="2:9" ht="15" customHeight="1" x14ac:dyDescent="0.25">
      <c r="B1417" s="26" t="s">
        <v>428</v>
      </c>
      <c r="C1417" s="1">
        <v>20</v>
      </c>
      <c r="D1417" s="27" t="s">
        <v>3200</v>
      </c>
      <c r="E1417" s="25"/>
      <c r="F1417" s="25" t="str">
        <f>IF(INDEX(I.Production.P5Y2C2,20)="","",INDEX(I.Production.P5Y2C2,20))</f>
        <v/>
      </c>
      <c r="G1417" s="25"/>
      <c r="H1417" s="1" t="str">
        <f t="shared" si="45"/>
        <v>Complete</v>
      </c>
      <c r="I1417" s="48" t="s">
        <v>2221</v>
      </c>
    </row>
    <row r="1418" spans="2:9" ht="15" customHeight="1" x14ac:dyDescent="0.25">
      <c r="B1418" s="26" t="s">
        <v>428</v>
      </c>
      <c r="C1418" s="1">
        <v>21</v>
      </c>
      <c r="D1418" s="27" t="s">
        <v>3200</v>
      </c>
      <c r="E1418" s="25"/>
      <c r="F1418" s="25" t="str">
        <f>IF(INDEX(I.Production.P5Y2C2,21)="","",INDEX(I.Production.P5Y2C2,21))</f>
        <v/>
      </c>
      <c r="G1418" s="25"/>
      <c r="H1418" s="1" t="str">
        <f t="shared" si="45"/>
        <v>Complete</v>
      </c>
      <c r="I1418" s="48" t="s">
        <v>2222</v>
      </c>
    </row>
    <row r="1419" spans="2:9" ht="15" customHeight="1" x14ac:dyDescent="0.25">
      <c r="B1419" s="26" t="s">
        <v>428</v>
      </c>
      <c r="C1419" s="1">
        <v>22</v>
      </c>
      <c r="D1419" s="27" t="s">
        <v>3200</v>
      </c>
      <c r="E1419" s="25"/>
      <c r="F1419" s="25" t="str">
        <f>IF(INDEX(I.Production.P5Y2C2,22)="","",INDEX(I.Production.P5Y2C2,22))</f>
        <v/>
      </c>
      <c r="G1419" s="25"/>
      <c r="H1419" s="1" t="str">
        <f t="shared" si="45"/>
        <v>Complete</v>
      </c>
      <c r="I1419" s="48" t="s">
        <v>2223</v>
      </c>
    </row>
    <row r="1420" spans="2:9" ht="15" customHeight="1" x14ac:dyDescent="0.25">
      <c r="B1420" s="26" t="s">
        <v>428</v>
      </c>
      <c r="C1420" s="1">
        <v>23</v>
      </c>
      <c r="D1420" s="27" t="s">
        <v>3200</v>
      </c>
      <c r="E1420" s="25"/>
      <c r="F1420" s="25" t="str">
        <f>IF(INDEX(I.Production.P5Y2C2,23)="","",INDEX(I.Production.P5Y2C2,23))</f>
        <v/>
      </c>
      <c r="G1420" s="25"/>
      <c r="H1420" s="1" t="str">
        <f t="shared" si="45"/>
        <v>Complete</v>
      </c>
      <c r="I1420" s="48" t="s">
        <v>2224</v>
      </c>
    </row>
    <row r="1421" spans="2:9" ht="15" customHeight="1" x14ac:dyDescent="0.25">
      <c r="B1421" s="34" t="s">
        <v>428</v>
      </c>
      <c r="C1421" s="35">
        <v>24</v>
      </c>
      <c r="D1421" s="46" t="s">
        <v>3200</v>
      </c>
      <c r="E1421" s="45"/>
      <c r="F1421" s="45" t="str">
        <f>IF(INDEX(I.Production.P5Y2C2,24)="","",INDEX(I.Production.P5Y2C2,24))</f>
        <v/>
      </c>
      <c r="G1421" s="45"/>
      <c r="H1421" s="35" t="str">
        <f t="shared" si="45"/>
        <v>Complete</v>
      </c>
      <c r="I1421" s="49" t="s">
        <v>2225</v>
      </c>
    </row>
    <row r="1422" spans="2:9" ht="15" customHeight="1" x14ac:dyDescent="0.25">
      <c r="B1422" s="26" t="s">
        <v>429</v>
      </c>
      <c r="C1422" s="1">
        <v>1</v>
      </c>
      <c r="D1422" s="27" t="s">
        <v>3201</v>
      </c>
      <c r="E1422" s="25"/>
      <c r="F1422" s="25" t="str">
        <f>IF(INDEX(I.Production.P5Y3C2,1)="","",INDEX(I.Production.P5Y3C2,1))</f>
        <v/>
      </c>
      <c r="G1422" s="25"/>
      <c r="H1422" s="1" t="str">
        <f t="shared" ref="H1422:H1445" si="46">IF(AND(I.Facility.ProductCount&gt;=5,I.Developer.P5C2=TRUE,I.Product.P5Status&lt;&gt;"Yes",F1422=""),"Incomplete","Complete")</f>
        <v>Complete</v>
      </c>
      <c r="I1422" s="48" t="s">
        <v>2226</v>
      </c>
    </row>
    <row r="1423" spans="2:9" ht="15" customHeight="1" x14ac:dyDescent="0.25">
      <c r="B1423" s="26" t="s">
        <v>429</v>
      </c>
      <c r="C1423" s="1">
        <v>2</v>
      </c>
      <c r="D1423" s="27" t="s">
        <v>3201</v>
      </c>
      <c r="E1423" s="25"/>
      <c r="F1423" s="25" t="str">
        <f>IF(INDEX(I.Production.P5Y3C2,2)="","",INDEX(I.Production.P5Y3C2,2))</f>
        <v/>
      </c>
      <c r="G1423" s="25"/>
      <c r="H1423" s="1" t="str">
        <f t="shared" si="46"/>
        <v>Complete</v>
      </c>
      <c r="I1423" s="48" t="s">
        <v>2227</v>
      </c>
    </row>
    <row r="1424" spans="2:9" ht="15" customHeight="1" x14ac:dyDescent="0.25">
      <c r="B1424" s="26" t="s">
        <v>429</v>
      </c>
      <c r="C1424" s="1">
        <v>3</v>
      </c>
      <c r="D1424" s="27" t="s">
        <v>3201</v>
      </c>
      <c r="E1424" s="25"/>
      <c r="F1424" s="25" t="str">
        <f>IF(INDEX(I.Production.P5Y3C2,3)="","",INDEX(I.Production.P5Y3C2,3))</f>
        <v/>
      </c>
      <c r="G1424" s="25"/>
      <c r="H1424" s="1" t="str">
        <f t="shared" si="46"/>
        <v>Complete</v>
      </c>
      <c r="I1424" s="48" t="s">
        <v>2228</v>
      </c>
    </row>
    <row r="1425" spans="2:9" ht="15" customHeight="1" x14ac:dyDescent="0.25">
      <c r="B1425" s="26" t="s">
        <v>429</v>
      </c>
      <c r="C1425" s="1">
        <v>4</v>
      </c>
      <c r="D1425" s="27" t="s">
        <v>3201</v>
      </c>
      <c r="E1425" s="25"/>
      <c r="F1425" s="25" t="str">
        <f>IF(INDEX(I.Production.P5Y3C2,4)="","",INDEX(I.Production.P5Y3C2,4))</f>
        <v/>
      </c>
      <c r="G1425" s="25"/>
      <c r="H1425" s="1" t="str">
        <f t="shared" si="46"/>
        <v>Complete</v>
      </c>
      <c r="I1425" s="48" t="s">
        <v>2229</v>
      </c>
    </row>
    <row r="1426" spans="2:9" ht="15" customHeight="1" x14ac:dyDescent="0.25">
      <c r="B1426" s="26" t="s">
        <v>429</v>
      </c>
      <c r="C1426" s="1">
        <v>5</v>
      </c>
      <c r="D1426" s="27" t="s">
        <v>3201</v>
      </c>
      <c r="E1426" s="25"/>
      <c r="F1426" s="25" t="str">
        <f>IF(INDEX(I.Production.P5Y3C2,5)="","",INDEX(I.Production.P5Y3C2,5))</f>
        <v/>
      </c>
      <c r="G1426" s="25"/>
      <c r="H1426" s="1" t="str">
        <f t="shared" si="46"/>
        <v>Complete</v>
      </c>
      <c r="I1426" s="48" t="s">
        <v>2230</v>
      </c>
    </row>
    <row r="1427" spans="2:9" ht="15" customHeight="1" x14ac:dyDescent="0.25">
      <c r="B1427" s="26" t="s">
        <v>429</v>
      </c>
      <c r="C1427" s="1">
        <v>6</v>
      </c>
      <c r="D1427" s="27" t="s">
        <v>3201</v>
      </c>
      <c r="E1427" s="25"/>
      <c r="F1427" s="25" t="str">
        <f>IF(INDEX(I.Production.P5Y3C2,6)="","",INDEX(I.Production.P5Y3C2,6))</f>
        <v/>
      </c>
      <c r="G1427" s="25"/>
      <c r="H1427" s="1" t="str">
        <f t="shared" si="46"/>
        <v>Complete</v>
      </c>
      <c r="I1427" s="48" t="s">
        <v>2231</v>
      </c>
    </row>
    <row r="1428" spans="2:9" ht="15" customHeight="1" x14ac:dyDescent="0.25">
      <c r="B1428" s="26" t="s">
        <v>429</v>
      </c>
      <c r="C1428" s="1">
        <v>7</v>
      </c>
      <c r="D1428" s="27" t="s">
        <v>3201</v>
      </c>
      <c r="E1428" s="25"/>
      <c r="F1428" s="25" t="str">
        <f>IF(INDEX(I.Production.P5Y3C2,7)="","",INDEX(I.Production.P5Y3C2,7))</f>
        <v/>
      </c>
      <c r="G1428" s="25"/>
      <c r="H1428" s="1" t="str">
        <f t="shared" si="46"/>
        <v>Complete</v>
      </c>
      <c r="I1428" s="48" t="s">
        <v>2232</v>
      </c>
    </row>
    <row r="1429" spans="2:9" ht="15" customHeight="1" x14ac:dyDescent="0.25">
      <c r="B1429" s="26" t="s">
        <v>429</v>
      </c>
      <c r="C1429" s="1">
        <v>8</v>
      </c>
      <c r="D1429" s="27" t="s">
        <v>3201</v>
      </c>
      <c r="E1429" s="25"/>
      <c r="F1429" s="25" t="str">
        <f>IF(INDEX(I.Production.P5Y3C2,8)="","",INDEX(I.Production.P5Y3C2,8))</f>
        <v/>
      </c>
      <c r="G1429" s="25"/>
      <c r="H1429" s="1" t="str">
        <f t="shared" si="46"/>
        <v>Complete</v>
      </c>
      <c r="I1429" s="48" t="s">
        <v>2233</v>
      </c>
    </row>
    <row r="1430" spans="2:9" ht="15" customHeight="1" x14ac:dyDescent="0.25">
      <c r="B1430" s="26" t="s">
        <v>429</v>
      </c>
      <c r="C1430" s="1">
        <v>9</v>
      </c>
      <c r="D1430" s="27" t="s">
        <v>3201</v>
      </c>
      <c r="E1430" s="25"/>
      <c r="F1430" s="25" t="str">
        <f>IF(INDEX(I.Production.P5Y3C2,9)="","",INDEX(I.Production.P5Y3C2,9))</f>
        <v/>
      </c>
      <c r="G1430" s="25"/>
      <c r="H1430" s="1" t="str">
        <f t="shared" si="46"/>
        <v>Complete</v>
      </c>
      <c r="I1430" s="48" t="s">
        <v>2234</v>
      </c>
    </row>
    <row r="1431" spans="2:9" ht="15" customHeight="1" x14ac:dyDescent="0.25">
      <c r="B1431" s="26" t="s">
        <v>429</v>
      </c>
      <c r="C1431" s="1">
        <v>10</v>
      </c>
      <c r="D1431" s="27" t="s">
        <v>3201</v>
      </c>
      <c r="E1431" s="25"/>
      <c r="F1431" s="25" t="str">
        <f>IF(INDEX(I.Production.P5Y3C2,10)="","",INDEX(I.Production.P5Y3C2,10))</f>
        <v/>
      </c>
      <c r="G1431" s="25"/>
      <c r="H1431" s="1" t="str">
        <f t="shared" si="46"/>
        <v>Complete</v>
      </c>
      <c r="I1431" s="48" t="s">
        <v>2235</v>
      </c>
    </row>
    <row r="1432" spans="2:9" ht="15" customHeight="1" x14ac:dyDescent="0.25">
      <c r="B1432" s="26" t="s">
        <v>429</v>
      </c>
      <c r="C1432" s="1">
        <v>11</v>
      </c>
      <c r="D1432" s="27" t="s">
        <v>3201</v>
      </c>
      <c r="E1432" s="25"/>
      <c r="F1432" s="25" t="str">
        <f>IF(INDEX(I.Production.P5Y3C2,11)="","",INDEX(I.Production.P5Y3C2,11))</f>
        <v/>
      </c>
      <c r="G1432" s="25"/>
      <c r="H1432" s="1" t="str">
        <f t="shared" si="46"/>
        <v>Complete</v>
      </c>
      <c r="I1432" s="48" t="s">
        <v>2236</v>
      </c>
    </row>
    <row r="1433" spans="2:9" ht="15" customHeight="1" x14ac:dyDescent="0.25">
      <c r="B1433" s="26" t="s">
        <v>429</v>
      </c>
      <c r="C1433" s="1">
        <v>12</v>
      </c>
      <c r="D1433" s="27" t="s">
        <v>3201</v>
      </c>
      <c r="E1433" s="25"/>
      <c r="F1433" s="25" t="str">
        <f>IF(INDEX(I.Production.P5Y3C2,12)="","",INDEX(I.Production.P5Y3C2,12))</f>
        <v/>
      </c>
      <c r="G1433" s="25"/>
      <c r="H1433" s="1" t="str">
        <f t="shared" si="46"/>
        <v>Complete</v>
      </c>
      <c r="I1433" s="48" t="s">
        <v>2237</v>
      </c>
    </row>
    <row r="1434" spans="2:9" ht="15" customHeight="1" x14ac:dyDescent="0.25">
      <c r="B1434" s="26" t="s">
        <v>429</v>
      </c>
      <c r="C1434" s="1">
        <v>13</v>
      </c>
      <c r="D1434" s="27" t="s">
        <v>3201</v>
      </c>
      <c r="E1434" s="25"/>
      <c r="F1434" s="25" t="str">
        <f>IF(INDEX(I.Production.P5Y3C2,13)="","",INDEX(I.Production.P5Y3C2,13))</f>
        <v/>
      </c>
      <c r="G1434" s="25"/>
      <c r="H1434" s="1" t="str">
        <f t="shared" si="46"/>
        <v>Complete</v>
      </c>
      <c r="I1434" s="48" t="s">
        <v>2238</v>
      </c>
    </row>
    <row r="1435" spans="2:9" ht="15" customHeight="1" x14ac:dyDescent="0.25">
      <c r="B1435" s="26" t="s">
        <v>429</v>
      </c>
      <c r="C1435" s="1">
        <v>14</v>
      </c>
      <c r="D1435" s="27" t="s">
        <v>3201</v>
      </c>
      <c r="E1435" s="25"/>
      <c r="F1435" s="25" t="str">
        <f>IF(INDEX(I.Production.P5Y3C2,14)="","",INDEX(I.Production.P5Y3C2,14))</f>
        <v/>
      </c>
      <c r="G1435" s="25"/>
      <c r="H1435" s="1" t="str">
        <f t="shared" si="46"/>
        <v>Complete</v>
      </c>
      <c r="I1435" s="48" t="s">
        <v>2239</v>
      </c>
    </row>
    <row r="1436" spans="2:9" ht="15" customHeight="1" x14ac:dyDescent="0.25">
      <c r="B1436" s="26" t="s">
        <v>429</v>
      </c>
      <c r="C1436" s="1">
        <v>15</v>
      </c>
      <c r="D1436" s="27" t="s">
        <v>3201</v>
      </c>
      <c r="E1436" s="25"/>
      <c r="F1436" s="25" t="str">
        <f>IF(INDEX(I.Production.P5Y3C2,15)="","",INDEX(I.Production.P5Y3C2,15))</f>
        <v/>
      </c>
      <c r="G1436" s="25"/>
      <c r="H1436" s="1" t="str">
        <f t="shared" si="46"/>
        <v>Complete</v>
      </c>
      <c r="I1436" s="48" t="s">
        <v>2240</v>
      </c>
    </row>
    <row r="1437" spans="2:9" ht="15" customHeight="1" x14ac:dyDescent="0.25">
      <c r="B1437" s="26" t="s">
        <v>429</v>
      </c>
      <c r="C1437" s="1">
        <v>16</v>
      </c>
      <c r="D1437" s="27" t="s">
        <v>3201</v>
      </c>
      <c r="E1437" s="25"/>
      <c r="F1437" s="25" t="str">
        <f>IF(INDEX(I.Production.P5Y3C2,16)="","",INDEX(I.Production.P5Y3C2,16))</f>
        <v/>
      </c>
      <c r="G1437" s="25"/>
      <c r="H1437" s="1" t="str">
        <f t="shared" si="46"/>
        <v>Complete</v>
      </c>
      <c r="I1437" s="48" t="s">
        <v>2241</v>
      </c>
    </row>
    <row r="1438" spans="2:9" ht="15" customHeight="1" x14ac:dyDescent="0.25">
      <c r="B1438" s="26" t="s">
        <v>429</v>
      </c>
      <c r="C1438" s="1">
        <v>17</v>
      </c>
      <c r="D1438" s="27" t="s">
        <v>3201</v>
      </c>
      <c r="E1438" s="25"/>
      <c r="F1438" s="25" t="str">
        <f>IF(INDEX(I.Production.P5Y3C2,17)="","",INDEX(I.Production.P5Y3C2,17))</f>
        <v/>
      </c>
      <c r="G1438" s="25"/>
      <c r="H1438" s="1" t="str">
        <f t="shared" si="46"/>
        <v>Complete</v>
      </c>
      <c r="I1438" s="48" t="s">
        <v>2242</v>
      </c>
    </row>
    <row r="1439" spans="2:9" ht="15" customHeight="1" x14ac:dyDescent="0.25">
      <c r="B1439" s="26" t="s">
        <v>429</v>
      </c>
      <c r="C1439" s="1">
        <v>18</v>
      </c>
      <c r="D1439" s="27" t="s">
        <v>3201</v>
      </c>
      <c r="E1439" s="25"/>
      <c r="F1439" s="25" t="str">
        <f>IF(INDEX(I.Production.P5Y3C2,18)="","",INDEX(I.Production.P5Y3C2,18))</f>
        <v/>
      </c>
      <c r="G1439" s="25"/>
      <c r="H1439" s="1" t="str">
        <f t="shared" si="46"/>
        <v>Complete</v>
      </c>
      <c r="I1439" s="48" t="s">
        <v>2243</v>
      </c>
    </row>
    <row r="1440" spans="2:9" ht="15" customHeight="1" x14ac:dyDescent="0.25">
      <c r="B1440" s="26" t="s">
        <v>429</v>
      </c>
      <c r="C1440" s="1">
        <v>19</v>
      </c>
      <c r="D1440" s="27" t="s">
        <v>3201</v>
      </c>
      <c r="E1440" s="25"/>
      <c r="F1440" s="25" t="str">
        <f>IF(INDEX(I.Production.P5Y3C2,19)="","",INDEX(I.Production.P5Y3C2,19))</f>
        <v/>
      </c>
      <c r="G1440" s="25"/>
      <c r="H1440" s="1" t="str">
        <f t="shared" si="46"/>
        <v>Complete</v>
      </c>
      <c r="I1440" s="48" t="s">
        <v>2244</v>
      </c>
    </row>
    <row r="1441" spans="2:9" ht="15" customHeight="1" x14ac:dyDescent="0.25">
      <c r="B1441" s="26" t="s">
        <v>429</v>
      </c>
      <c r="C1441" s="1">
        <v>20</v>
      </c>
      <c r="D1441" s="27" t="s">
        <v>3201</v>
      </c>
      <c r="E1441" s="25"/>
      <c r="F1441" s="25" t="str">
        <f>IF(INDEX(I.Production.P5Y3C2,20)="","",INDEX(I.Production.P5Y3C2,20))</f>
        <v/>
      </c>
      <c r="G1441" s="25"/>
      <c r="H1441" s="1" t="str">
        <f t="shared" si="46"/>
        <v>Complete</v>
      </c>
      <c r="I1441" s="48" t="s">
        <v>2245</v>
      </c>
    </row>
    <row r="1442" spans="2:9" ht="15" customHeight="1" x14ac:dyDescent="0.25">
      <c r="B1442" s="26" t="s">
        <v>429</v>
      </c>
      <c r="C1442" s="1">
        <v>21</v>
      </c>
      <c r="D1442" s="27" t="s">
        <v>3201</v>
      </c>
      <c r="E1442" s="25"/>
      <c r="F1442" s="25" t="str">
        <f>IF(INDEX(I.Production.P5Y3C2,21)="","",INDEX(I.Production.P5Y3C2,21))</f>
        <v/>
      </c>
      <c r="G1442" s="25"/>
      <c r="H1442" s="1" t="str">
        <f t="shared" si="46"/>
        <v>Complete</v>
      </c>
      <c r="I1442" s="48" t="s">
        <v>2246</v>
      </c>
    </row>
    <row r="1443" spans="2:9" ht="15" customHeight="1" x14ac:dyDescent="0.25">
      <c r="B1443" s="26" t="s">
        <v>429</v>
      </c>
      <c r="C1443" s="1">
        <v>22</v>
      </c>
      <c r="D1443" s="27" t="s">
        <v>3201</v>
      </c>
      <c r="E1443" s="25"/>
      <c r="F1443" s="25" t="str">
        <f>IF(INDEX(I.Production.P5Y3C2,22)="","",INDEX(I.Production.P5Y3C2,22))</f>
        <v/>
      </c>
      <c r="G1443" s="25"/>
      <c r="H1443" s="1" t="str">
        <f t="shared" si="46"/>
        <v>Complete</v>
      </c>
      <c r="I1443" s="48" t="s">
        <v>2247</v>
      </c>
    </row>
    <row r="1444" spans="2:9" ht="15" customHeight="1" x14ac:dyDescent="0.25">
      <c r="B1444" s="26" t="s">
        <v>429</v>
      </c>
      <c r="C1444" s="1">
        <v>23</v>
      </c>
      <c r="D1444" s="27" t="s">
        <v>3201</v>
      </c>
      <c r="E1444" s="25"/>
      <c r="F1444" s="25" t="str">
        <f>IF(INDEX(I.Production.P5Y3C2,23)="","",INDEX(I.Production.P5Y3C2,23))</f>
        <v/>
      </c>
      <c r="G1444" s="25"/>
      <c r="H1444" s="1" t="str">
        <f t="shared" si="46"/>
        <v>Complete</v>
      </c>
      <c r="I1444" s="48" t="s">
        <v>2248</v>
      </c>
    </row>
    <row r="1445" spans="2:9" ht="15" customHeight="1" x14ac:dyDescent="0.25">
      <c r="B1445" s="34" t="s">
        <v>429</v>
      </c>
      <c r="C1445" s="35">
        <v>24</v>
      </c>
      <c r="D1445" s="46" t="s">
        <v>3201</v>
      </c>
      <c r="E1445" s="45"/>
      <c r="F1445" s="45" t="str">
        <f>IF(INDEX(I.Production.P5Y3C2,24)="","",INDEX(I.Production.P5Y3C2,24))</f>
        <v/>
      </c>
      <c r="G1445" s="45"/>
      <c r="H1445" s="35" t="str">
        <f t="shared" si="46"/>
        <v>Complete</v>
      </c>
      <c r="I1445" s="49" t="s">
        <v>2249</v>
      </c>
    </row>
    <row r="1446" spans="2:9" ht="15" customHeight="1" x14ac:dyDescent="0.25">
      <c r="B1446" s="26" t="s">
        <v>430</v>
      </c>
      <c r="C1446" s="1">
        <v>1</v>
      </c>
      <c r="D1446" s="27" t="s">
        <v>3202</v>
      </c>
      <c r="E1446" s="25"/>
      <c r="F1446" s="25" t="str">
        <f>IF(INDEX(I.Production.P5Y1C3,1)="","",INDEX(I.Production.P5Y1C3,1))</f>
        <v/>
      </c>
      <c r="G1446" s="25"/>
      <c r="H1446" s="1" t="str">
        <f t="shared" ref="H1446:H1487" si="47">IF(AND(I.Facility.ProductCount&gt;=5,I.Developer.P5C3=TRUE,F1446=""),"Incomplete","Complete")</f>
        <v>Complete</v>
      </c>
      <c r="I1446" s="48" t="s">
        <v>2250</v>
      </c>
    </row>
    <row r="1447" spans="2:9" ht="15" customHeight="1" x14ac:dyDescent="0.25">
      <c r="B1447" s="26" t="s">
        <v>430</v>
      </c>
      <c r="C1447" s="1">
        <v>2</v>
      </c>
      <c r="D1447" s="27" t="s">
        <v>3202</v>
      </c>
      <c r="E1447" s="25"/>
      <c r="F1447" s="25" t="str">
        <f>IF(INDEX(I.Production.P5Y1C3,2)="","",INDEX(I.Production.P5Y1C3,2))</f>
        <v/>
      </c>
      <c r="G1447" s="25"/>
      <c r="H1447" s="1" t="str">
        <f t="shared" si="47"/>
        <v>Complete</v>
      </c>
      <c r="I1447" s="48" t="s">
        <v>2251</v>
      </c>
    </row>
    <row r="1448" spans="2:9" ht="15" customHeight="1" x14ac:dyDescent="0.25">
      <c r="B1448" s="26" t="s">
        <v>430</v>
      </c>
      <c r="C1448" s="1">
        <v>3</v>
      </c>
      <c r="D1448" s="27" t="s">
        <v>3202</v>
      </c>
      <c r="E1448" s="25"/>
      <c r="F1448" s="25" t="str">
        <f>IF(INDEX(I.Production.P5Y1C3,3)="","",INDEX(I.Production.P5Y1C3,3))</f>
        <v/>
      </c>
      <c r="G1448" s="25"/>
      <c r="H1448" s="1" t="str">
        <f t="shared" si="47"/>
        <v>Complete</v>
      </c>
      <c r="I1448" s="48" t="s">
        <v>2252</v>
      </c>
    </row>
    <row r="1449" spans="2:9" ht="15" customHeight="1" x14ac:dyDescent="0.25">
      <c r="B1449" s="26" t="s">
        <v>430</v>
      </c>
      <c r="C1449" s="1">
        <v>4</v>
      </c>
      <c r="D1449" s="27" t="s">
        <v>3202</v>
      </c>
      <c r="E1449" s="25"/>
      <c r="F1449" s="25" t="str">
        <f>IF(INDEX(I.Production.P5Y1C3,4)="","",INDEX(I.Production.P5Y1C3,4))</f>
        <v/>
      </c>
      <c r="G1449" s="25"/>
      <c r="H1449" s="1" t="str">
        <f t="shared" si="47"/>
        <v>Complete</v>
      </c>
      <c r="I1449" s="48" t="s">
        <v>2253</v>
      </c>
    </row>
    <row r="1450" spans="2:9" ht="15" customHeight="1" x14ac:dyDescent="0.25">
      <c r="B1450" s="26" t="s">
        <v>430</v>
      </c>
      <c r="C1450" s="1">
        <v>5</v>
      </c>
      <c r="D1450" s="27" t="s">
        <v>3202</v>
      </c>
      <c r="E1450" s="25"/>
      <c r="F1450" s="25" t="str">
        <f>IF(INDEX(I.Production.P5Y1C3,5)="","",INDEX(I.Production.P5Y1C3,5))</f>
        <v/>
      </c>
      <c r="G1450" s="25"/>
      <c r="H1450" s="1" t="str">
        <f t="shared" si="47"/>
        <v>Complete</v>
      </c>
      <c r="I1450" s="48" t="s">
        <v>2254</v>
      </c>
    </row>
    <row r="1451" spans="2:9" ht="15" customHeight="1" x14ac:dyDescent="0.25">
      <c r="B1451" s="26" t="s">
        <v>430</v>
      </c>
      <c r="C1451" s="1">
        <v>6</v>
      </c>
      <c r="D1451" s="27" t="s">
        <v>3202</v>
      </c>
      <c r="E1451" s="25"/>
      <c r="F1451" s="25" t="str">
        <f>IF(INDEX(I.Production.P5Y1C3,6)="","",INDEX(I.Production.P5Y1C3,6))</f>
        <v/>
      </c>
      <c r="G1451" s="25"/>
      <c r="H1451" s="1" t="str">
        <f t="shared" si="47"/>
        <v>Complete</v>
      </c>
      <c r="I1451" s="48" t="s">
        <v>2255</v>
      </c>
    </row>
    <row r="1452" spans="2:9" ht="15" customHeight="1" x14ac:dyDescent="0.25">
      <c r="B1452" s="26" t="s">
        <v>430</v>
      </c>
      <c r="C1452" s="1">
        <v>7</v>
      </c>
      <c r="D1452" s="27" t="s">
        <v>3202</v>
      </c>
      <c r="E1452" s="25"/>
      <c r="F1452" s="25" t="str">
        <f>IF(INDEX(I.Production.P5Y1C3,7)="","",INDEX(I.Production.P5Y1C3,7))</f>
        <v/>
      </c>
      <c r="G1452" s="25"/>
      <c r="H1452" s="1" t="str">
        <f t="shared" si="47"/>
        <v>Complete</v>
      </c>
      <c r="I1452" s="48" t="s">
        <v>2256</v>
      </c>
    </row>
    <row r="1453" spans="2:9" ht="15" customHeight="1" x14ac:dyDescent="0.25">
      <c r="B1453" s="26" t="s">
        <v>430</v>
      </c>
      <c r="C1453" s="1">
        <v>8</v>
      </c>
      <c r="D1453" s="27" t="s">
        <v>3202</v>
      </c>
      <c r="E1453" s="25"/>
      <c r="F1453" s="25" t="str">
        <f>IF(INDEX(I.Production.P5Y1C3,8)="","",INDEX(I.Production.P5Y1C3,8))</f>
        <v/>
      </c>
      <c r="G1453" s="25"/>
      <c r="H1453" s="1" t="str">
        <f t="shared" si="47"/>
        <v>Complete</v>
      </c>
      <c r="I1453" s="48" t="s">
        <v>2257</v>
      </c>
    </row>
    <row r="1454" spans="2:9" ht="15" customHeight="1" x14ac:dyDescent="0.25">
      <c r="B1454" s="26" t="s">
        <v>430</v>
      </c>
      <c r="C1454" s="1">
        <v>9</v>
      </c>
      <c r="D1454" s="27" t="s">
        <v>3202</v>
      </c>
      <c r="E1454" s="25"/>
      <c r="F1454" s="25" t="str">
        <f>IF(INDEX(I.Production.P5Y1C3,9)="","",INDEX(I.Production.P5Y1C3,9))</f>
        <v/>
      </c>
      <c r="G1454" s="25"/>
      <c r="H1454" s="1" t="str">
        <f t="shared" si="47"/>
        <v>Complete</v>
      </c>
      <c r="I1454" s="48" t="s">
        <v>2258</v>
      </c>
    </row>
    <row r="1455" spans="2:9" ht="15" customHeight="1" x14ac:dyDescent="0.25">
      <c r="B1455" s="26" t="s">
        <v>430</v>
      </c>
      <c r="C1455" s="1">
        <v>10</v>
      </c>
      <c r="D1455" s="27" t="s">
        <v>3202</v>
      </c>
      <c r="E1455" s="25"/>
      <c r="F1455" s="25" t="str">
        <f>IF(INDEX(I.Production.P5Y1C3,10)="","",INDEX(I.Production.P5Y1C3,10))</f>
        <v/>
      </c>
      <c r="G1455" s="25"/>
      <c r="H1455" s="1" t="str">
        <f t="shared" si="47"/>
        <v>Complete</v>
      </c>
      <c r="I1455" s="48" t="s">
        <v>2259</v>
      </c>
    </row>
    <row r="1456" spans="2:9" ht="15" customHeight="1" x14ac:dyDescent="0.25">
      <c r="B1456" s="26" t="s">
        <v>430</v>
      </c>
      <c r="C1456" s="1">
        <v>11</v>
      </c>
      <c r="D1456" s="27" t="s">
        <v>3202</v>
      </c>
      <c r="E1456" s="25"/>
      <c r="F1456" s="25" t="str">
        <f>IF(INDEX(I.Production.P5Y1C3,11)="","",INDEX(I.Production.P5Y1C3,11))</f>
        <v/>
      </c>
      <c r="G1456" s="25"/>
      <c r="H1456" s="1" t="str">
        <f t="shared" si="47"/>
        <v>Complete</v>
      </c>
      <c r="I1456" s="48" t="s">
        <v>2260</v>
      </c>
    </row>
    <row r="1457" spans="2:9" ht="15" customHeight="1" x14ac:dyDescent="0.25">
      <c r="B1457" s="26" t="s">
        <v>430</v>
      </c>
      <c r="C1457" s="1">
        <v>12</v>
      </c>
      <c r="D1457" s="27" t="s">
        <v>3202</v>
      </c>
      <c r="E1457" s="25"/>
      <c r="F1457" s="25" t="str">
        <f>IF(INDEX(I.Production.P5Y1C3,12)="","",INDEX(I.Production.P5Y1C3,12))</f>
        <v/>
      </c>
      <c r="G1457" s="25"/>
      <c r="H1457" s="1" t="str">
        <f t="shared" si="47"/>
        <v>Complete</v>
      </c>
      <c r="I1457" s="48" t="s">
        <v>2261</v>
      </c>
    </row>
    <row r="1458" spans="2:9" ht="15" customHeight="1" x14ac:dyDescent="0.25">
      <c r="B1458" s="26" t="s">
        <v>430</v>
      </c>
      <c r="C1458" s="1">
        <v>13</v>
      </c>
      <c r="D1458" s="27" t="s">
        <v>3202</v>
      </c>
      <c r="E1458" s="25"/>
      <c r="F1458" s="25" t="str">
        <f>IF(INDEX(I.Production.P5Y1C3,13)="","",INDEX(I.Production.P5Y1C3,13))</f>
        <v/>
      </c>
      <c r="G1458" s="25"/>
      <c r="H1458" s="1" t="str">
        <f t="shared" si="47"/>
        <v>Complete</v>
      </c>
      <c r="I1458" s="48" t="s">
        <v>2262</v>
      </c>
    </row>
    <row r="1459" spans="2:9" ht="15" customHeight="1" x14ac:dyDescent="0.25">
      <c r="B1459" s="26" t="s">
        <v>430</v>
      </c>
      <c r="C1459" s="1">
        <v>14</v>
      </c>
      <c r="D1459" s="27" t="s">
        <v>3202</v>
      </c>
      <c r="E1459" s="25"/>
      <c r="F1459" s="25" t="str">
        <f>IF(INDEX(I.Production.P5Y1C3,14)="","",INDEX(I.Production.P5Y1C3,14))</f>
        <v/>
      </c>
      <c r="G1459" s="25"/>
      <c r="H1459" s="1" t="str">
        <f t="shared" si="47"/>
        <v>Complete</v>
      </c>
      <c r="I1459" s="48" t="s">
        <v>2263</v>
      </c>
    </row>
    <row r="1460" spans="2:9" ht="15" customHeight="1" x14ac:dyDescent="0.25">
      <c r="B1460" s="26" t="s">
        <v>430</v>
      </c>
      <c r="C1460" s="1">
        <v>15</v>
      </c>
      <c r="D1460" s="27" t="s">
        <v>3202</v>
      </c>
      <c r="E1460" s="25"/>
      <c r="F1460" s="25" t="str">
        <f>IF(INDEX(I.Production.P5Y1C3,15)="","",INDEX(I.Production.P5Y1C3,15))</f>
        <v/>
      </c>
      <c r="G1460" s="25"/>
      <c r="H1460" s="1" t="str">
        <f t="shared" si="47"/>
        <v>Complete</v>
      </c>
      <c r="I1460" s="48" t="s">
        <v>2264</v>
      </c>
    </row>
    <row r="1461" spans="2:9" ht="15" customHeight="1" x14ac:dyDescent="0.25">
      <c r="B1461" s="26" t="s">
        <v>430</v>
      </c>
      <c r="C1461" s="1">
        <v>16</v>
      </c>
      <c r="D1461" s="27" t="s">
        <v>3202</v>
      </c>
      <c r="E1461" s="25"/>
      <c r="F1461" s="25" t="str">
        <f>IF(INDEX(I.Production.P5Y1C3,16)="","",INDEX(I.Production.P5Y1C3,16))</f>
        <v/>
      </c>
      <c r="G1461" s="25"/>
      <c r="H1461" s="1" t="str">
        <f t="shared" si="47"/>
        <v>Complete</v>
      </c>
      <c r="I1461" s="48" t="s">
        <v>2265</v>
      </c>
    </row>
    <row r="1462" spans="2:9" ht="15" customHeight="1" x14ac:dyDescent="0.25">
      <c r="B1462" s="26" t="s">
        <v>430</v>
      </c>
      <c r="C1462" s="1">
        <v>17</v>
      </c>
      <c r="D1462" s="27" t="s">
        <v>3202</v>
      </c>
      <c r="E1462" s="25"/>
      <c r="F1462" s="25" t="str">
        <f>IF(INDEX(I.Production.P5Y1C3,17)="","",INDEX(I.Production.P5Y1C3,17))</f>
        <v/>
      </c>
      <c r="G1462" s="25"/>
      <c r="H1462" s="1" t="str">
        <f t="shared" si="47"/>
        <v>Complete</v>
      </c>
      <c r="I1462" s="48" t="s">
        <v>2266</v>
      </c>
    </row>
    <row r="1463" spans="2:9" ht="15" customHeight="1" x14ac:dyDescent="0.25">
      <c r="B1463" s="26" t="s">
        <v>430</v>
      </c>
      <c r="C1463" s="1">
        <v>18</v>
      </c>
      <c r="D1463" s="27" t="s">
        <v>3202</v>
      </c>
      <c r="E1463" s="25"/>
      <c r="F1463" s="25" t="str">
        <f>IF(INDEX(I.Production.P5Y1C3,18)="","",INDEX(I.Production.P5Y1C3,18))</f>
        <v/>
      </c>
      <c r="G1463" s="25"/>
      <c r="H1463" s="1" t="str">
        <f t="shared" si="47"/>
        <v>Complete</v>
      </c>
      <c r="I1463" s="48" t="s">
        <v>2267</v>
      </c>
    </row>
    <row r="1464" spans="2:9" ht="15" customHeight="1" x14ac:dyDescent="0.25">
      <c r="B1464" s="26" t="s">
        <v>430</v>
      </c>
      <c r="C1464" s="1">
        <v>19</v>
      </c>
      <c r="D1464" s="27" t="s">
        <v>3202</v>
      </c>
      <c r="E1464" s="25"/>
      <c r="F1464" s="25" t="str">
        <f>IF(INDEX(I.Production.P5Y1C3,19)="","",INDEX(I.Production.P5Y1C3,19))</f>
        <v/>
      </c>
      <c r="G1464" s="25"/>
      <c r="H1464" s="1" t="str">
        <f t="shared" si="47"/>
        <v>Complete</v>
      </c>
      <c r="I1464" s="48" t="s">
        <v>2268</v>
      </c>
    </row>
    <row r="1465" spans="2:9" ht="15" customHeight="1" x14ac:dyDescent="0.25">
      <c r="B1465" s="26" t="s">
        <v>430</v>
      </c>
      <c r="C1465" s="1">
        <v>20</v>
      </c>
      <c r="D1465" s="27" t="s">
        <v>3202</v>
      </c>
      <c r="E1465" s="25"/>
      <c r="F1465" s="25" t="str">
        <f>IF(INDEX(I.Production.P5Y1C3,20)="","",INDEX(I.Production.P5Y1C3,20))</f>
        <v/>
      </c>
      <c r="G1465" s="25"/>
      <c r="H1465" s="1" t="str">
        <f t="shared" si="47"/>
        <v>Complete</v>
      </c>
      <c r="I1465" s="48" t="s">
        <v>2269</v>
      </c>
    </row>
    <row r="1466" spans="2:9" ht="15" customHeight="1" x14ac:dyDescent="0.25">
      <c r="B1466" s="34" t="s">
        <v>430</v>
      </c>
      <c r="C1466" s="35">
        <v>21</v>
      </c>
      <c r="D1466" s="46" t="s">
        <v>3202</v>
      </c>
      <c r="E1466" s="45"/>
      <c r="F1466" s="45" t="str">
        <f>IF(INDEX(I.Production.P5Y1C3,21)="","",INDEX(I.Production.P5Y1C3,21))</f>
        <v/>
      </c>
      <c r="G1466" s="45"/>
      <c r="H1466" s="35" t="str">
        <f t="shared" si="47"/>
        <v>Complete</v>
      </c>
      <c r="I1466" s="49" t="s">
        <v>2270</v>
      </c>
    </row>
    <row r="1467" spans="2:9" ht="15" customHeight="1" x14ac:dyDescent="0.25">
      <c r="B1467" s="26" t="s">
        <v>431</v>
      </c>
      <c r="C1467" s="1">
        <v>1</v>
      </c>
      <c r="D1467" s="27" t="s">
        <v>3203</v>
      </c>
      <c r="E1467" s="25"/>
      <c r="F1467" s="25" t="str">
        <f>IF(INDEX(I.Production.P5Y2C3,1)="","",INDEX(I.Production.P5Y2C3,1))</f>
        <v/>
      </c>
      <c r="G1467" s="25"/>
      <c r="H1467" s="1" t="str">
        <f t="shared" si="47"/>
        <v>Complete</v>
      </c>
      <c r="I1467" s="48" t="s">
        <v>2271</v>
      </c>
    </row>
    <row r="1468" spans="2:9" ht="15" customHeight="1" x14ac:dyDescent="0.25">
      <c r="B1468" s="26" t="s">
        <v>431</v>
      </c>
      <c r="C1468" s="1">
        <v>2</v>
      </c>
      <c r="D1468" s="27" t="s">
        <v>3203</v>
      </c>
      <c r="E1468" s="25"/>
      <c r="F1468" s="25" t="str">
        <f>IF(INDEX(I.Production.P5Y2C3,2)="","",INDEX(I.Production.P5Y2C3,2))</f>
        <v/>
      </c>
      <c r="G1468" s="25"/>
      <c r="H1468" s="1" t="str">
        <f t="shared" si="47"/>
        <v>Complete</v>
      </c>
      <c r="I1468" s="48" t="s">
        <v>2272</v>
      </c>
    </row>
    <row r="1469" spans="2:9" ht="15" customHeight="1" x14ac:dyDescent="0.25">
      <c r="B1469" s="26" t="s">
        <v>431</v>
      </c>
      <c r="C1469" s="1">
        <v>3</v>
      </c>
      <c r="D1469" s="27" t="s">
        <v>3203</v>
      </c>
      <c r="E1469" s="25"/>
      <c r="F1469" s="25" t="str">
        <f>IF(INDEX(I.Production.P5Y2C3,3)="","",INDEX(I.Production.P5Y2C3,3))</f>
        <v/>
      </c>
      <c r="G1469" s="25"/>
      <c r="H1469" s="1" t="str">
        <f t="shared" si="47"/>
        <v>Complete</v>
      </c>
      <c r="I1469" s="48" t="s">
        <v>2273</v>
      </c>
    </row>
    <row r="1470" spans="2:9" ht="15" customHeight="1" x14ac:dyDescent="0.25">
      <c r="B1470" s="26" t="s">
        <v>431</v>
      </c>
      <c r="C1470" s="1">
        <v>4</v>
      </c>
      <c r="D1470" s="27" t="s">
        <v>3203</v>
      </c>
      <c r="E1470" s="25"/>
      <c r="F1470" s="25" t="str">
        <f>IF(INDEX(I.Production.P5Y2C3,4)="","",INDEX(I.Production.P5Y2C3,4))</f>
        <v/>
      </c>
      <c r="G1470" s="25"/>
      <c r="H1470" s="1" t="str">
        <f t="shared" si="47"/>
        <v>Complete</v>
      </c>
      <c r="I1470" s="48" t="s">
        <v>2274</v>
      </c>
    </row>
    <row r="1471" spans="2:9" ht="15" customHeight="1" x14ac:dyDescent="0.25">
      <c r="B1471" s="26" t="s">
        <v>431</v>
      </c>
      <c r="C1471" s="1">
        <v>5</v>
      </c>
      <c r="D1471" s="27" t="s">
        <v>3203</v>
      </c>
      <c r="E1471" s="25"/>
      <c r="F1471" s="25" t="str">
        <f>IF(INDEX(I.Production.P5Y2C3,5)="","",INDEX(I.Production.P5Y2C3,5))</f>
        <v/>
      </c>
      <c r="G1471" s="25"/>
      <c r="H1471" s="1" t="str">
        <f t="shared" si="47"/>
        <v>Complete</v>
      </c>
      <c r="I1471" s="48" t="s">
        <v>2275</v>
      </c>
    </row>
    <row r="1472" spans="2:9" ht="15" customHeight="1" x14ac:dyDescent="0.25">
      <c r="B1472" s="26" t="s">
        <v>431</v>
      </c>
      <c r="C1472" s="1">
        <v>6</v>
      </c>
      <c r="D1472" s="27" t="s">
        <v>3203</v>
      </c>
      <c r="E1472" s="25"/>
      <c r="F1472" s="25" t="str">
        <f>IF(INDEX(I.Production.P5Y2C3,6)="","",INDEX(I.Production.P5Y2C3,6))</f>
        <v/>
      </c>
      <c r="G1472" s="25"/>
      <c r="H1472" s="1" t="str">
        <f t="shared" si="47"/>
        <v>Complete</v>
      </c>
      <c r="I1472" s="48" t="s">
        <v>2276</v>
      </c>
    </row>
    <row r="1473" spans="2:9" ht="15" customHeight="1" x14ac:dyDescent="0.25">
      <c r="B1473" s="26" t="s">
        <v>431</v>
      </c>
      <c r="C1473" s="1">
        <v>7</v>
      </c>
      <c r="D1473" s="27" t="s">
        <v>3203</v>
      </c>
      <c r="E1473" s="25"/>
      <c r="F1473" s="25" t="str">
        <f>IF(INDEX(I.Production.P5Y2C3,7)="","",INDEX(I.Production.P5Y2C3,7))</f>
        <v/>
      </c>
      <c r="G1473" s="25"/>
      <c r="H1473" s="1" t="str">
        <f t="shared" si="47"/>
        <v>Complete</v>
      </c>
      <c r="I1473" s="48" t="s">
        <v>2277</v>
      </c>
    </row>
    <row r="1474" spans="2:9" ht="15" customHeight="1" x14ac:dyDescent="0.25">
      <c r="B1474" s="26" t="s">
        <v>431</v>
      </c>
      <c r="C1474" s="1">
        <v>8</v>
      </c>
      <c r="D1474" s="27" t="s">
        <v>3203</v>
      </c>
      <c r="E1474" s="25"/>
      <c r="F1474" s="25" t="str">
        <f>IF(INDEX(I.Production.P5Y2C3,8)="","",INDEX(I.Production.P5Y2C3,8))</f>
        <v/>
      </c>
      <c r="G1474" s="25"/>
      <c r="H1474" s="1" t="str">
        <f t="shared" si="47"/>
        <v>Complete</v>
      </c>
      <c r="I1474" s="48" t="s">
        <v>2278</v>
      </c>
    </row>
    <row r="1475" spans="2:9" ht="15" customHeight="1" x14ac:dyDescent="0.25">
      <c r="B1475" s="26" t="s">
        <v>431</v>
      </c>
      <c r="C1475" s="1">
        <v>9</v>
      </c>
      <c r="D1475" s="27" t="s">
        <v>3203</v>
      </c>
      <c r="E1475" s="25"/>
      <c r="F1475" s="25" t="str">
        <f>IF(INDEX(I.Production.P5Y2C3,9)="","",INDEX(I.Production.P5Y2C3,9))</f>
        <v/>
      </c>
      <c r="G1475" s="25"/>
      <c r="H1475" s="1" t="str">
        <f t="shared" si="47"/>
        <v>Complete</v>
      </c>
      <c r="I1475" s="48" t="s">
        <v>2279</v>
      </c>
    </row>
    <row r="1476" spans="2:9" ht="15" customHeight="1" x14ac:dyDescent="0.25">
      <c r="B1476" s="26" t="s">
        <v>431</v>
      </c>
      <c r="C1476" s="1">
        <v>10</v>
      </c>
      <c r="D1476" s="27" t="s">
        <v>3203</v>
      </c>
      <c r="E1476" s="25"/>
      <c r="F1476" s="25" t="str">
        <f>IF(INDEX(I.Production.P5Y2C3,10)="","",INDEX(I.Production.P5Y2C3,10))</f>
        <v/>
      </c>
      <c r="G1476" s="25"/>
      <c r="H1476" s="1" t="str">
        <f t="shared" si="47"/>
        <v>Complete</v>
      </c>
      <c r="I1476" s="48" t="s">
        <v>2280</v>
      </c>
    </row>
    <row r="1477" spans="2:9" ht="15" customHeight="1" x14ac:dyDescent="0.25">
      <c r="B1477" s="26" t="s">
        <v>431</v>
      </c>
      <c r="C1477" s="1">
        <v>11</v>
      </c>
      <c r="D1477" s="27" t="s">
        <v>3203</v>
      </c>
      <c r="E1477" s="25"/>
      <c r="F1477" s="25" t="str">
        <f>IF(INDEX(I.Production.P5Y2C3,11)="","",INDEX(I.Production.P5Y2C3,11))</f>
        <v/>
      </c>
      <c r="G1477" s="25"/>
      <c r="H1477" s="1" t="str">
        <f t="shared" si="47"/>
        <v>Complete</v>
      </c>
      <c r="I1477" s="48" t="s">
        <v>2281</v>
      </c>
    </row>
    <row r="1478" spans="2:9" ht="15" customHeight="1" x14ac:dyDescent="0.25">
      <c r="B1478" s="26" t="s">
        <v>431</v>
      </c>
      <c r="C1478" s="1">
        <v>12</v>
      </c>
      <c r="D1478" s="27" t="s">
        <v>3203</v>
      </c>
      <c r="E1478" s="25"/>
      <c r="F1478" s="25" t="str">
        <f>IF(INDEX(I.Production.P5Y2C3,12)="","",INDEX(I.Production.P5Y2C3,12))</f>
        <v/>
      </c>
      <c r="G1478" s="25"/>
      <c r="H1478" s="1" t="str">
        <f t="shared" si="47"/>
        <v>Complete</v>
      </c>
      <c r="I1478" s="48" t="s">
        <v>2282</v>
      </c>
    </row>
    <row r="1479" spans="2:9" ht="15" customHeight="1" x14ac:dyDescent="0.25">
      <c r="B1479" s="26" t="s">
        <v>431</v>
      </c>
      <c r="C1479" s="1">
        <v>13</v>
      </c>
      <c r="D1479" s="27" t="s">
        <v>3203</v>
      </c>
      <c r="E1479" s="25"/>
      <c r="F1479" s="25" t="str">
        <f>IF(INDEX(I.Production.P5Y2C3,13)="","",INDEX(I.Production.P5Y2C3,13))</f>
        <v/>
      </c>
      <c r="G1479" s="25"/>
      <c r="H1479" s="1" t="str">
        <f t="shared" si="47"/>
        <v>Complete</v>
      </c>
      <c r="I1479" s="48" t="s">
        <v>2283</v>
      </c>
    </row>
    <row r="1480" spans="2:9" ht="15" customHeight="1" x14ac:dyDescent="0.25">
      <c r="B1480" s="26" t="s">
        <v>431</v>
      </c>
      <c r="C1480" s="1">
        <v>14</v>
      </c>
      <c r="D1480" s="27" t="s">
        <v>3203</v>
      </c>
      <c r="E1480" s="25"/>
      <c r="F1480" s="25" t="str">
        <f>IF(INDEX(I.Production.P5Y2C3,14)="","",INDEX(I.Production.P5Y2C3,14))</f>
        <v/>
      </c>
      <c r="G1480" s="25"/>
      <c r="H1480" s="1" t="str">
        <f t="shared" si="47"/>
        <v>Complete</v>
      </c>
      <c r="I1480" s="48" t="s">
        <v>2284</v>
      </c>
    </row>
    <row r="1481" spans="2:9" ht="15" customHeight="1" x14ac:dyDescent="0.25">
      <c r="B1481" s="26" t="s">
        <v>431</v>
      </c>
      <c r="C1481" s="1">
        <v>15</v>
      </c>
      <c r="D1481" s="27" t="s">
        <v>3203</v>
      </c>
      <c r="E1481" s="25"/>
      <c r="F1481" s="25" t="str">
        <f>IF(INDEX(I.Production.P5Y2C3,15)="","",INDEX(I.Production.P5Y2C3,15))</f>
        <v/>
      </c>
      <c r="G1481" s="25"/>
      <c r="H1481" s="1" t="str">
        <f t="shared" si="47"/>
        <v>Complete</v>
      </c>
      <c r="I1481" s="48" t="s">
        <v>2285</v>
      </c>
    </row>
    <row r="1482" spans="2:9" ht="15" customHeight="1" x14ac:dyDescent="0.25">
      <c r="B1482" s="26" t="s">
        <v>431</v>
      </c>
      <c r="C1482" s="1">
        <v>16</v>
      </c>
      <c r="D1482" s="27" t="s">
        <v>3203</v>
      </c>
      <c r="E1482" s="25"/>
      <c r="F1482" s="25" t="str">
        <f>IF(INDEX(I.Production.P5Y2C3,16)="","",INDEX(I.Production.P5Y2C3,16))</f>
        <v/>
      </c>
      <c r="G1482" s="25"/>
      <c r="H1482" s="1" t="str">
        <f t="shared" si="47"/>
        <v>Complete</v>
      </c>
      <c r="I1482" s="48" t="s">
        <v>2286</v>
      </c>
    </row>
    <row r="1483" spans="2:9" ht="15" customHeight="1" x14ac:dyDescent="0.25">
      <c r="B1483" s="26" t="s">
        <v>431</v>
      </c>
      <c r="C1483" s="1">
        <v>17</v>
      </c>
      <c r="D1483" s="27" t="s">
        <v>3203</v>
      </c>
      <c r="E1483" s="25"/>
      <c r="F1483" s="25" t="str">
        <f>IF(INDEX(I.Production.P5Y2C3,17)="","",INDEX(I.Production.P5Y2C3,17))</f>
        <v/>
      </c>
      <c r="G1483" s="25"/>
      <c r="H1483" s="1" t="str">
        <f t="shared" si="47"/>
        <v>Complete</v>
      </c>
      <c r="I1483" s="48" t="s">
        <v>2287</v>
      </c>
    </row>
    <row r="1484" spans="2:9" ht="15" customHeight="1" x14ac:dyDescent="0.25">
      <c r="B1484" s="26" t="s">
        <v>431</v>
      </c>
      <c r="C1484" s="1">
        <v>18</v>
      </c>
      <c r="D1484" s="27" t="s">
        <v>3203</v>
      </c>
      <c r="E1484" s="25"/>
      <c r="F1484" s="25" t="str">
        <f>IF(INDEX(I.Production.P5Y2C3,18)="","",INDEX(I.Production.P5Y2C3,18))</f>
        <v/>
      </c>
      <c r="G1484" s="25"/>
      <c r="H1484" s="1" t="str">
        <f t="shared" si="47"/>
        <v>Complete</v>
      </c>
      <c r="I1484" s="48" t="s">
        <v>2288</v>
      </c>
    </row>
    <row r="1485" spans="2:9" ht="15" customHeight="1" x14ac:dyDescent="0.25">
      <c r="B1485" s="26" t="s">
        <v>431</v>
      </c>
      <c r="C1485" s="1">
        <v>19</v>
      </c>
      <c r="D1485" s="27" t="s">
        <v>3203</v>
      </c>
      <c r="E1485" s="25"/>
      <c r="F1485" s="25" t="str">
        <f>IF(INDEX(I.Production.P5Y2C3,19)="","",INDEX(I.Production.P5Y2C3,19))</f>
        <v/>
      </c>
      <c r="G1485" s="25"/>
      <c r="H1485" s="1" t="str">
        <f t="shared" si="47"/>
        <v>Complete</v>
      </c>
      <c r="I1485" s="48" t="s">
        <v>2289</v>
      </c>
    </row>
    <row r="1486" spans="2:9" ht="15" customHeight="1" x14ac:dyDescent="0.25">
      <c r="B1486" s="26" t="s">
        <v>431</v>
      </c>
      <c r="C1486" s="1">
        <v>20</v>
      </c>
      <c r="D1486" s="27" t="s">
        <v>3203</v>
      </c>
      <c r="E1486" s="25"/>
      <c r="F1486" s="25" t="str">
        <f>IF(INDEX(I.Production.P5Y2C3,20)="","",INDEX(I.Production.P5Y2C3,20))</f>
        <v/>
      </c>
      <c r="G1486" s="25"/>
      <c r="H1486" s="1" t="str">
        <f t="shared" si="47"/>
        <v>Complete</v>
      </c>
      <c r="I1486" s="48" t="s">
        <v>2290</v>
      </c>
    </row>
    <row r="1487" spans="2:9" ht="15" customHeight="1" x14ac:dyDescent="0.25">
      <c r="B1487" s="34" t="s">
        <v>431</v>
      </c>
      <c r="C1487" s="35">
        <v>21</v>
      </c>
      <c r="D1487" s="46" t="s">
        <v>3203</v>
      </c>
      <c r="E1487" s="45"/>
      <c r="F1487" s="45" t="str">
        <f>IF(INDEX(I.Production.P5Y2C3,21)="","",INDEX(I.Production.P5Y2C3,21))</f>
        <v/>
      </c>
      <c r="G1487" s="45"/>
      <c r="H1487" s="35" t="str">
        <f t="shared" si="47"/>
        <v>Complete</v>
      </c>
      <c r="I1487" s="49" t="s">
        <v>2291</v>
      </c>
    </row>
    <row r="1488" spans="2:9" ht="15" customHeight="1" x14ac:dyDescent="0.25">
      <c r="B1488" s="26" t="s">
        <v>432</v>
      </c>
      <c r="C1488" s="1">
        <v>1</v>
      </c>
      <c r="D1488" s="27" t="s">
        <v>3204</v>
      </c>
      <c r="E1488" s="25"/>
      <c r="F1488" s="25" t="str">
        <f>IF(INDEX(I.Production.P5Y3C3,1)="","",INDEX(I.Production.P5Y3C3,1))</f>
        <v/>
      </c>
      <c r="G1488" s="25"/>
      <c r="H1488" s="1" t="str">
        <f t="shared" ref="H1488:H1508" si="48">IF(AND(I.Facility.ProductCount&gt;=5,I.Developer.P5C3=TRUE,I.Product.P5Status&lt;&gt;"Yes",F1488=""),"Incomplete","Complete")</f>
        <v>Complete</v>
      </c>
      <c r="I1488" s="48" t="s">
        <v>2292</v>
      </c>
    </row>
    <row r="1489" spans="2:9" ht="15" customHeight="1" x14ac:dyDescent="0.25">
      <c r="B1489" s="26" t="s">
        <v>432</v>
      </c>
      <c r="C1489" s="1">
        <v>2</v>
      </c>
      <c r="D1489" s="27" t="s">
        <v>3204</v>
      </c>
      <c r="E1489" s="25"/>
      <c r="F1489" s="25" t="str">
        <f>IF(INDEX(I.Production.P5Y3C3,2)="","",INDEX(I.Production.P5Y3C3,2))</f>
        <v/>
      </c>
      <c r="G1489" s="25"/>
      <c r="H1489" s="1" t="str">
        <f t="shared" si="48"/>
        <v>Complete</v>
      </c>
      <c r="I1489" s="48" t="s">
        <v>2293</v>
      </c>
    </row>
    <row r="1490" spans="2:9" ht="15" customHeight="1" x14ac:dyDescent="0.25">
      <c r="B1490" s="26" t="s">
        <v>432</v>
      </c>
      <c r="C1490" s="1">
        <v>3</v>
      </c>
      <c r="D1490" s="27" t="s">
        <v>3204</v>
      </c>
      <c r="E1490" s="25"/>
      <c r="F1490" s="25" t="str">
        <f>IF(INDEX(I.Production.P5Y3C3,3)="","",INDEX(I.Production.P5Y3C3,3))</f>
        <v/>
      </c>
      <c r="G1490" s="25"/>
      <c r="H1490" s="1" t="str">
        <f t="shared" si="48"/>
        <v>Complete</v>
      </c>
      <c r="I1490" s="48" t="s">
        <v>2294</v>
      </c>
    </row>
    <row r="1491" spans="2:9" ht="15" customHeight="1" x14ac:dyDescent="0.25">
      <c r="B1491" s="26" t="s">
        <v>432</v>
      </c>
      <c r="C1491" s="1">
        <v>4</v>
      </c>
      <c r="D1491" s="27" t="s">
        <v>3204</v>
      </c>
      <c r="E1491" s="25"/>
      <c r="F1491" s="25" t="str">
        <f>IF(INDEX(I.Production.P5Y3C3,4)="","",INDEX(I.Production.P5Y3C3,4))</f>
        <v/>
      </c>
      <c r="G1491" s="25"/>
      <c r="H1491" s="1" t="str">
        <f t="shared" si="48"/>
        <v>Complete</v>
      </c>
      <c r="I1491" s="48" t="s">
        <v>2295</v>
      </c>
    </row>
    <row r="1492" spans="2:9" ht="15" customHeight="1" x14ac:dyDescent="0.25">
      <c r="B1492" s="26" t="s">
        <v>432</v>
      </c>
      <c r="C1492" s="1">
        <v>5</v>
      </c>
      <c r="D1492" s="27" t="s">
        <v>3204</v>
      </c>
      <c r="E1492" s="25"/>
      <c r="F1492" s="25" t="str">
        <f>IF(INDEX(I.Production.P5Y3C3,5)="","",INDEX(I.Production.P5Y3C3,5))</f>
        <v/>
      </c>
      <c r="G1492" s="25"/>
      <c r="H1492" s="1" t="str">
        <f t="shared" si="48"/>
        <v>Complete</v>
      </c>
      <c r="I1492" s="48" t="s">
        <v>2296</v>
      </c>
    </row>
    <row r="1493" spans="2:9" ht="15" customHeight="1" x14ac:dyDescent="0.25">
      <c r="B1493" s="26" t="s">
        <v>432</v>
      </c>
      <c r="C1493" s="1">
        <v>6</v>
      </c>
      <c r="D1493" s="27" t="s">
        <v>3204</v>
      </c>
      <c r="E1493" s="25"/>
      <c r="F1493" s="25" t="str">
        <f>IF(INDEX(I.Production.P5Y3C3,6)="","",INDEX(I.Production.P5Y3C3,6))</f>
        <v/>
      </c>
      <c r="G1493" s="25"/>
      <c r="H1493" s="1" t="str">
        <f t="shared" si="48"/>
        <v>Complete</v>
      </c>
      <c r="I1493" s="48" t="s">
        <v>2297</v>
      </c>
    </row>
    <row r="1494" spans="2:9" ht="15" customHeight="1" x14ac:dyDescent="0.25">
      <c r="B1494" s="26" t="s">
        <v>432</v>
      </c>
      <c r="C1494" s="1">
        <v>7</v>
      </c>
      <c r="D1494" s="27" t="s">
        <v>3204</v>
      </c>
      <c r="E1494" s="25"/>
      <c r="F1494" s="25" t="str">
        <f>IF(INDEX(I.Production.P5Y3C3,7)="","",INDEX(I.Production.P5Y3C3,7))</f>
        <v/>
      </c>
      <c r="G1494" s="25"/>
      <c r="H1494" s="1" t="str">
        <f t="shared" si="48"/>
        <v>Complete</v>
      </c>
      <c r="I1494" s="48" t="s">
        <v>2298</v>
      </c>
    </row>
    <row r="1495" spans="2:9" ht="15" customHeight="1" x14ac:dyDescent="0.25">
      <c r="B1495" s="26" t="s">
        <v>432</v>
      </c>
      <c r="C1495" s="1">
        <v>8</v>
      </c>
      <c r="D1495" s="27" t="s">
        <v>3204</v>
      </c>
      <c r="E1495" s="25"/>
      <c r="F1495" s="25" t="str">
        <f>IF(INDEX(I.Production.P5Y3C3,8)="","",INDEX(I.Production.P5Y3C3,8))</f>
        <v/>
      </c>
      <c r="G1495" s="25"/>
      <c r="H1495" s="1" t="str">
        <f t="shared" si="48"/>
        <v>Complete</v>
      </c>
      <c r="I1495" s="48" t="s">
        <v>2299</v>
      </c>
    </row>
    <row r="1496" spans="2:9" ht="15" customHeight="1" x14ac:dyDescent="0.25">
      <c r="B1496" s="26" t="s">
        <v>432</v>
      </c>
      <c r="C1496" s="1">
        <v>9</v>
      </c>
      <c r="D1496" s="27" t="s">
        <v>3204</v>
      </c>
      <c r="E1496" s="25"/>
      <c r="F1496" s="25" t="str">
        <f>IF(INDEX(I.Production.P5Y3C3,9)="","",INDEX(I.Production.P5Y3C3,9))</f>
        <v/>
      </c>
      <c r="G1496" s="25"/>
      <c r="H1496" s="1" t="str">
        <f t="shared" si="48"/>
        <v>Complete</v>
      </c>
      <c r="I1496" s="48" t="s">
        <v>2300</v>
      </c>
    </row>
    <row r="1497" spans="2:9" ht="15" customHeight="1" x14ac:dyDescent="0.25">
      <c r="B1497" s="26" t="s">
        <v>432</v>
      </c>
      <c r="C1497" s="1">
        <v>10</v>
      </c>
      <c r="D1497" s="27" t="s">
        <v>3204</v>
      </c>
      <c r="E1497" s="25"/>
      <c r="F1497" s="25" t="str">
        <f>IF(INDEX(I.Production.P5Y3C3,10)="","",INDEX(I.Production.P5Y3C3,10))</f>
        <v/>
      </c>
      <c r="G1497" s="25"/>
      <c r="H1497" s="1" t="str">
        <f t="shared" si="48"/>
        <v>Complete</v>
      </c>
      <c r="I1497" s="48" t="s">
        <v>2301</v>
      </c>
    </row>
    <row r="1498" spans="2:9" ht="15" customHeight="1" x14ac:dyDescent="0.25">
      <c r="B1498" s="26" t="s">
        <v>432</v>
      </c>
      <c r="C1498" s="1">
        <v>11</v>
      </c>
      <c r="D1498" s="27" t="s">
        <v>3204</v>
      </c>
      <c r="E1498" s="25"/>
      <c r="F1498" s="25" t="str">
        <f>IF(INDEX(I.Production.P5Y3C3,11)="","",INDEX(I.Production.P5Y3C3,11))</f>
        <v/>
      </c>
      <c r="G1498" s="25"/>
      <c r="H1498" s="1" t="str">
        <f t="shared" si="48"/>
        <v>Complete</v>
      </c>
      <c r="I1498" s="48" t="s">
        <v>2302</v>
      </c>
    </row>
    <row r="1499" spans="2:9" ht="15" customHeight="1" x14ac:dyDescent="0.25">
      <c r="B1499" s="26" t="s">
        <v>432</v>
      </c>
      <c r="C1499" s="1">
        <v>12</v>
      </c>
      <c r="D1499" s="27" t="s">
        <v>3204</v>
      </c>
      <c r="E1499" s="25"/>
      <c r="F1499" s="25" t="str">
        <f>IF(INDEX(I.Production.P5Y3C3,12)="","",INDEX(I.Production.P5Y3C3,12))</f>
        <v/>
      </c>
      <c r="G1499" s="25"/>
      <c r="H1499" s="1" t="str">
        <f t="shared" si="48"/>
        <v>Complete</v>
      </c>
      <c r="I1499" s="48" t="s">
        <v>2303</v>
      </c>
    </row>
    <row r="1500" spans="2:9" ht="15" customHeight="1" x14ac:dyDescent="0.25">
      <c r="B1500" s="26" t="s">
        <v>432</v>
      </c>
      <c r="C1500" s="1">
        <v>13</v>
      </c>
      <c r="D1500" s="27" t="s">
        <v>3204</v>
      </c>
      <c r="E1500" s="25"/>
      <c r="F1500" s="25" t="str">
        <f>IF(INDEX(I.Production.P5Y3C3,13)="","",INDEX(I.Production.P5Y3C3,13))</f>
        <v/>
      </c>
      <c r="G1500" s="25"/>
      <c r="H1500" s="1" t="str">
        <f t="shared" si="48"/>
        <v>Complete</v>
      </c>
      <c r="I1500" s="48" t="s">
        <v>2304</v>
      </c>
    </row>
    <row r="1501" spans="2:9" ht="15" customHeight="1" x14ac:dyDescent="0.25">
      <c r="B1501" s="26" t="s">
        <v>432</v>
      </c>
      <c r="C1501" s="1">
        <v>14</v>
      </c>
      <c r="D1501" s="27" t="s">
        <v>3204</v>
      </c>
      <c r="E1501" s="25"/>
      <c r="F1501" s="25" t="str">
        <f>IF(INDEX(I.Production.P5Y3C3,14)="","",INDEX(I.Production.P5Y3C3,14))</f>
        <v/>
      </c>
      <c r="G1501" s="25"/>
      <c r="H1501" s="1" t="str">
        <f t="shared" si="48"/>
        <v>Complete</v>
      </c>
      <c r="I1501" s="48" t="s">
        <v>2305</v>
      </c>
    </row>
    <row r="1502" spans="2:9" ht="15" customHeight="1" x14ac:dyDescent="0.25">
      <c r="B1502" s="26" t="s">
        <v>432</v>
      </c>
      <c r="C1502" s="1">
        <v>15</v>
      </c>
      <c r="D1502" s="27" t="s">
        <v>3204</v>
      </c>
      <c r="E1502" s="25"/>
      <c r="F1502" s="25" t="str">
        <f>IF(INDEX(I.Production.P5Y3C3,15)="","",INDEX(I.Production.P5Y3C3,15))</f>
        <v/>
      </c>
      <c r="G1502" s="25"/>
      <c r="H1502" s="1" t="str">
        <f t="shared" si="48"/>
        <v>Complete</v>
      </c>
      <c r="I1502" s="48" t="s">
        <v>2306</v>
      </c>
    </row>
    <row r="1503" spans="2:9" ht="15" customHeight="1" x14ac:dyDescent="0.25">
      <c r="B1503" s="26" t="s">
        <v>432</v>
      </c>
      <c r="C1503" s="1">
        <v>16</v>
      </c>
      <c r="D1503" s="27" t="s">
        <v>3204</v>
      </c>
      <c r="E1503" s="25"/>
      <c r="F1503" s="25" t="str">
        <f>IF(INDEX(I.Production.P5Y3C3,16)="","",INDEX(I.Production.P5Y3C3,16))</f>
        <v/>
      </c>
      <c r="G1503" s="25"/>
      <c r="H1503" s="1" t="str">
        <f t="shared" si="48"/>
        <v>Complete</v>
      </c>
      <c r="I1503" s="48" t="s">
        <v>2307</v>
      </c>
    </row>
    <row r="1504" spans="2:9" ht="15" customHeight="1" x14ac:dyDescent="0.25">
      <c r="B1504" s="26" t="s">
        <v>432</v>
      </c>
      <c r="C1504" s="1">
        <v>17</v>
      </c>
      <c r="D1504" s="27" t="s">
        <v>3204</v>
      </c>
      <c r="E1504" s="25"/>
      <c r="F1504" s="25" t="str">
        <f>IF(INDEX(I.Production.P5Y3C3,17)="","",INDEX(I.Production.P5Y3C3,17))</f>
        <v/>
      </c>
      <c r="G1504" s="25"/>
      <c r="H1504" s="1" t="str">
        <f t="shared" si="48"/>
        <v>Complete</v>
      </c>
      <c r="I1504" s="48" t="s">
        <v>2308</v>
      </c>
    </row>
    <row r="1505" spans="2:9" ht="15" customHeight="1" x14ac:dyDescent="0.25">
      <c r="B1505" s="26" t="s">
        <v>432</v>
      </c>
      <c r="C1505" s="1">
        <v>18</v>
      </c>
      <c r="D1505" s="27" t="s">
        <v>3204</v>
      </c>
      <c r="E1505" s="25"/>
      <c r="F1505" s="25" t="str">
        <f>IF(INDEX(I.Production.P5Y3C3,18)="","",INDEX(I.Production.P5Y3C3,18))</f>
        <v/>
      </c>
      <c r="G1505" s="25"/>
      <c r="H1505" s="1" t="str">
        <f t="shared" si="48"/>
        <v>Complete</v>
      </c>
      <c r="I1505" s="48" t="s">
        <v>2309</v>
      </c>
    </row>
    <row r="1506" spans="2:9" ht="15" customHeight="1" x14ac:dyDescent="0.25">
      <c r="B1506" s="26" t="s">
        <v>432</v>
      </c>
      <c r="C1506" s="1">
        <v>19</v>
      </c>
      <c r="D1506" s="27" t="s">
        <v>3204</v>
      </c>
      <c r="E1506" s="25"/>
      <c r="F1506" s="25" t="str">
        <f>IF(INDEX(I.Production.P5Y3C3,19)="","",INDEX(I.Production.P5Y3C3,19))</f>
        <v/>
      </c>
      <c r="G1506" s="25"/>
      <c r="H1506" s="1" t="str">
        <f t="shared" si="48"/>
        <v>Complete</v>
      </c>
      <c r="I1506" s="48" t="s">
        <v>2310</v>
      </c>
    </row>
    <row r="1507" spans="2:9" ht="15" customHeight="1" x14ac:dyDescent="0.25">
      <c r="B1507" s="26" t="s">
        <v>432</v>
      </c>
      <c r="C1507" s="1">
        <v>20</v>
      </c>
      <c r="D1507" s="27" t="s">
        <v>3204</v>
      </c>
      <c r="E1507" s="25"/>
      <c r="F1507" s="25" t="str">
        <f>IF(INDEX(I.Production.P5Y3C3,20)="","",INDEX(I.Production.P5Y3C3,20))</f>
        <v/>
      </c>
      <c r="G1507" s="25"/>
      <c r="H1507" s="1" t="str">
        <f t="shared" si="48"/>
        <v>Complete</v>
      </c>
      <c r="I1507" s="48" t="s">
        <v>2311</v>
      </c>
    </row>
    <row r="1508" spans="2:9" ht="15" customHeight="1" x14ac:dyDescent="0.25">
      <c r="B1508" s="34" t="s">
        <v>432</v>
      </c>
      <c r="C1508" s="35">
        <v>21</v>
      </c>
      <c r="D1508" s="46" t="s">
        <v>3204</v>
      </c>
      <c r="E1508" s="45"/>
      <c r="F1508" s="45" t="str">
        <f>IF(INDEX(I.Production.P5Y3C3,21)="","",INDEX(I.Production.P5Y3C3,21))</f>
        <v/>
      </c>
      <c r="G1508" s="45"/>
      <c r="H1508" s="35" t="str">
        <f t="shared" si="48"/>
        <v>Complete</v>
      </c>
      <c r="I1508" s="49" t="s">
        <v>2312</v>
      </c>
    </row>
    <row r="1509" spans="2:9" ht="15" customHeight="1" x14ac:dyDescent="0.25">
      <c r="B1509" s="26" t="s">
        <v>433</v>
      </c>
      <c r="C1509" s="1">
        <v>1</v>
      </c>
      <c r="D1509" s="27" t="s">
        <v>3205</v>
      </c>
      <c r="E1509" s="25"/>
      <c r="F1509" s="25" t="str">
        <f>IF(INDEX(I.Production.P5Y1C4,1)="","",INDEX(I.Production.P5Y1C4,1))</f>
        <v/>
      </c>
      <c r="G1509" s="25"/>
      <c r="H1509" s="1" t="str">
        <f t="shared" ref="H1509:H1514" si="49">IF(AND(I.Facility.ProductCount&gt;=5,I.Developer.P5C4=TRUE,F1509=""),"Incomplete","Complete")</f>
        <v>Complete</v>
      </c>
      <c r="I1509" s="48" t="s">
        <v>2313</v>
      </c>
    </row>
    <row r="1510" spans="2:9" ht="15" customHeight="1" x14ac:dyDescent="0.25">
      <c r="B1510" s="26" t="s">
        <v>433</v>
      </c>
      <c r="C1510" s="1">
        <v>2</v>
      </c>
      <c r="D1510" s="27" t="s">
        <v>3205</v>
      </c>
      <c r="E1510" s="25"/>
      <c r="F1510" s="25" t="str">
        <f>IF(INDEX(I.Production.P5Y1C4,2)="","",INDEX(I.Production.P5Y1C4,2))</f>
        <v/>
      </c>
      <c r="G1510" s="25"/>
      <c r="H1510" s="1" t="str">
        <f t="shared" si="49"/>
        <v>Complete</v>
      </c>
      <c r="I1510" s="48" t="s">
        <v>2314</v>
      </c>
    </row>
    <row r="1511" spans="2:9" ht="15" customHeight="1" x14ac:dyDescent="0.25">
      <c r="B1511" s="34" t="s">
        <v>433</v>
      </c>
      <c r="C1511" s="35">
        <v>3</v>
      </c>
      <c r="D1511" s="46" t="s">
        <v>3205</v>
      </c>
      <c r="E1511" s="45"/>
      <c r="F1511" s="45" t="str">
        <f>IF(INDEX(I.Production.P5Y1C4,3)="","",INDEX(I.Production.P5Y1C4,3))</f>
        <v/>
      </c>
      <c r="G1511" s="45"/>
      <c r="H1511" s="35" t="str">
        <f t="shared" si="49"/>
        <v>Complete</v>
      </c>
      <c r="I1511" s="49" t="s">
        <v>2315</v>
      </c>
    </row>
    <row r="1512" spans="2:9" ht="15" customHeight="1" x14ac:dyDescent="0.25">
      <c r="B1512" s="26" t="s">
        <v>434</v>
      </c>
      <c r="C1512" s="1">
        <v>1</v>
      </c>
      <c r="D1512" s="27" t="s">
        <v>3206</v>
      </c>
      <c r="E1512" s="25"/>
      <c r="F1512" s="25" t="str">
        <f>IF(INDEX(I.Production.P5Y2C4,1)="","",INDEX(I.Production.P5Y2C4,1))</f>
        <v/>
      </c>
      <c r="G1512" s="25"/>
      <c r="H1512" s="1" t="str">
        <f t="shared" si="49"/>
        <v>Complete</v>
      </c>
      <c r="I1512" s="48" t="s">
        <v>2316</v>
      </c>
    </row>
    <row r="1513" spans="2:9" ht="15" customHeight="1" x14ac:dyDescent="0.25">
      <c r="B1513" s="26" t="s">
        <v>434</v>
      </c>
      <c r="C1513" s="1">
        <v>2</v>
      </c>
      <c r="D1513" s="27" t="s">
        <v>3206</v>
      </c>
      <c r="E1513" s="25"/>
      <c r="F1513" s="25" t="str">
        <f>IF(INDEX(I.Production.P5Y2C4,2)="","",INDEX(I.Production.P5Y2C4,2))</f>
        <v/>
      </c>
      <c r="G1513" s="25"/>
      <c r="H1513" s="1" t="str">
        <f t="shared" si="49"/>
        <v>Complete</v>
      </c>
      <c r="I1513" s="48" t="s">
        <v>2317</v>
      </c>
    </row>
    <row r="1514" spans="2:9" ht="15" customHeight="1" x14ac:dyDescent="0.25">
      <c r="B1514" s="34" t="s">
        <v>434</v>
      </c>
      <c r="C1514" s="35">
        <v>3</v>
      </c>
      <c r="D1514" s="46" t="s">
        <v>3206</v>
      </c>
      <c r="E1514" s="45"/>
      <c r="F1514" s="45" t="str">
        <f>IF(INDEX(I.Production.P5Y2C4,3)="","",INDEX(I.Production.P5Y2C4,3))</f>
        <v/>
      </c>
      <c r="G1514" s="45"/>
      <c r="H1514" s="35" t="str">
        <f t="shared" si="49"/>
        <v>Complete</v>
      </c>
      <c r="I1514" s="49" t="s">
        <v>2318</v>
      </c>
    </row>
    <row r="1515" spans="2:9" ht="15" customHeight="1" x14ac:dyDescent="0.25">
      <c r="B1515" s="26" t="s">
        <v>435</v>
      </c>
      <c r="C1515" s="1">
        <v>1</v>
      </c>
      <c r="D1515" s="27" t="s">
        <v>3207</v>
      </c>
      <c r="E1515" s="25"/>
      <c r="F1515" s="25" t="str">
        <f>IF(INDEX(I.Production.P5Y3C4,1)="","",INDEX(I.Production.P5Y3C4,1))</f>
        <v/>
      </c>
      <c r="G1515" s="25"/>
      <c r="H1515" s="1" t="str">
        <f>IF(AND(I.Facility.ProductCount&gt;=5,I.Developer.P5C4=TRUE,I.Product.P5Status&lt;&gt;"Yes",F1515=""),"Incomplete","Complete")</f>
        <v>Complete</v>
      </c>
      <c r="I1515" s="48" t="s">
        <v>2319</v>
      </c>
    </row>
    <row r="1516" spans="2:9" ht="15" customHeight="1" x14ac:dyDescent="0.25">
      <c r="B1516" s="26" t="s">
        <v>435</v>
      </c>
      <c r="C1516" s="1">
        <v>2</v>
      </c>
      <c r="D1516" s="27" t="s">
        <v>3207</v>
      </c>
      <c r="E1516" s="25"/>
      <c r="F1516" s="25" t="str">
        <f>IF(INDEX(I.Production.P5Y3C4,2)="","",INDEX(I.Production.P5Y3C4,2))</f>
        <v/>
      </c>
      <c r="G1516" s="25"/>
      <c r="H1516" s="1" t="str">
        <f>IF(AND(I.Facility.ProductCount&gt;=5,I.Developer.P5C4=TRUE,I.Product.P5Status&lt;&gt;"Yes",F1516=""),"Incomplete","Complete")</f>
        <v>Complete</v>
      </c>
      <c r="I1516" s="48" t="s">
        <v>2320</v>
      </c>
    </row>
    <row r="1517" spans="2:9" ht="15" customHeight="1" x14ac:dyDescent="0.25">
      <c r="B1517" s="34" t="s">
        <v>435</v>
      </c>
      <c r="C1517" s="35">
        <v>3</v>
      </c>
      <c r="D1517" s="46" t="s">
        <v>3207</v>
      </c>
      <c r="E1517" s="45"/>
      <c r="F1517" s="45" t="str">
        <f>IF(INDEX(I.Production.P5Y3C4,3)="","",INDEX(I.Production.P5Y3C4,3))</f>
        <v/>
      </c>
      <c r="G1517" s="45"/>
      <c r="H1517" s="35" t="str">
        <f>IF(AND(I.Facility.ProductCount&gt;=5,I.Developer.P5C4=TRUE,I.Product.P5Status&lt;&gt;"Yes",F1517=""),"Incomplete","Complete")</f>
        <v>Complete</v>
      </c>
      <c r="I1517" s="49" t="s">
        <v>2321</v>
      </c>
    </row>
    <row r="1518" spans="2:9" ht="15" customHeight="1" x14ac:dyDescent="0.25">
      <c r="B1518" s="26" t="s">
        <v>436</v>
      </c>
      <c r="C1518" s="1">
        <v>1</v>
      </c>
      <c r="D1518" s="27" t="s">
        <v>3208</v>
      </c>
      <c r="E1518" s="25"/>
      <c r="F1518" s="25" t="str">
        <f>IF(INDEX(I.Production.P5Y1C5,1)="","",INDEX(I.Production.P5Y1C5,1))</f>
        <v/>
      </c>
      <c r="G1518" s="25"/>
      <c r="H1518" s="1" t="str">
        <f t="shared" ref="H1518:H1523" si="50">IF(AND(I.Facility.ProductCount&gt;=5,I.Developer.P5C5=TRUE,F1518=""),"Incomplete","Complete")</f>
        <v>Complete</v>
      </c>
      <c r="I1518" s="48" t="s">
        <v>2322</v>
      </c>
    </row>
    <row r="1519" spans="2:9" ht="15" customHeight="1" x14ac:dyDescent="0.25">
      <c r="B1519" s="26" t="s">
        <v>436</v>
      </c>
      <c r="C1519" s="1">
        <v>2</v>
      </c>
      <c r="D1519" s="27" t="s">
        <v>3208</v>
      </c>
      <c r="E1519" s="25"/>
      <c r="F1519" s="25" t="str">
        <f>IF(INDEX(I.Production.P5Y1C5,2)="","",INDEX(I.Production.P5Y1C5,2))</f>
        <v/>
      </c>
      <c r="G1519" s="25"/>
      <c r="H1519" s="1" t="str">
        <f t="shared" si="50"/>
        <v>Complete</v>
      </c>
      <c r="I1519" s="48" t="s">
        <v>2323</v>
      </c>
    </row>
    <row r="1520" spans="2:9" ht="15" customHeight="1" x14ac:dyDescent="0.25">
      <c r="B1520" s="34" t="s">
        <v>436</v>
      </c>
      <c r="C1520" s="35">
        <v>3</v>
      </c>
      <c r="D1520" s="46" t="s">
        <v>3208</v>
      </c>
      <c r="E1520" s="45"/>
      <c r="F1520" s="45" t="str">
        <f>IF(INDEX(I.Production.P5Y1C5,3)="","",INDEX(I.Production.P5Y1C5,3))</f>
        <v/>
      </c>
      <c r="G1520" s="45"/>
      <c r="H1520" s="35" t="str">
        <f t="shared" si="50"/>
        <v>Complete</v>
      </c>
      <c r="I1520" s="49" t="s">
        <v>2324</v>
      </c>
    </row>
    <row r="1521" spans="2:9" ht="15" customHeight="1" x14ac:dyDescent="0.25">
      <c r="B1521" s="26" t="s">
        <v>437</v>
      </c>
      <c r="C1521" s="1">
        <v>1</v>
      </c>
      <c r="D1521" s="27" t="s">
        <v>3209</v>
      </c>
      <c r="E1521" s="25"/>
      <c r="F1521" s="25" t="str">
        <f>IF(INDEX(I.Production.P5Y2C5,1)="","",INDEX(I.Production.P5Y2C5,1))</f>
        <v/>
      </c>
      <c r="G1521" s="25"/>
      <c r="H1521" s="1" t="str">
        <f t="shared" si="50"/>
        <v>Complete</v>
      </c>
      <c r="I1521" s="48" t="s">
        <v>2325</v>
      </c>
    </row>
    <row r="1522" spans="2:9" ht="15" customHeight="1" x14ac:dyDescent="0.25">
      <c r="B1522" s="26" t="s">
        <v>437</v>
      </c>
      <c r="C1522" s="1">
        <v>2</v>
      </c>
      <c r="D1522" s="27" t="s">
        <v>3209</v>
      </c>
      <c r="E1522" s="25"/>
      <c r="F1522" s="25" t="str">
        <f>IF(INDEX(I.Production.P5Y2C5,2)="","",INDEX(I.Production.P5Y2C5,2))</f>
        <v/>
      </c>
      <c r="G1522" s="25"/>
      <c r="H1522" s="1" t="str">
        <f t="shared" si="50"/>
        <v>Complete</v>
      </c>
      <c r="I1522" s="48" t="s">
        <v>2326</v>
      </c>
    </row>
    <row r="1523" spans="2:9" ht="15" customHeight="1" x14ac:dyDescent="0.25">
      <c r="B1523" s="34" t="s">
        <v>437</v>
      </c>
      <c r="C1523" s="35">
        <v>3</v>
      </c>
      <c r="D1523" s="46" t="s">
        <v>3209</v>
      </c>
      <c r="E1523" s="45"/>
      <c r="F1523" s="45" t="str">
        <f>IF(INDEX(I.Production.P5Y2C5,3)="","",INDEX(I.Production.P5Y2C5,3))</f>
        <v/>
      </c>
      <c r="G1523" s="45"/>
      <c r="H1523" s="35" t="str">
        <f t="shared" si="50"/>
        <v>Complete</v>
      </c>
      <c r="I1523" s="49" t="s">
        <v>2327</v>
      </c>
    </row>
    <row r="1524" spans="2:9" ht="15" customHeight="1" x14ac:dyDescent="0.25">
      <c r="B1524" s="26" t="s">
        <v>438</v>
      </c>
      <c r="C1524" s="1">
        <v>1</v>
      </c>
      <c r="D1524" s="27" t="s">
        <v>3210</v>
      </c>
      <c r="E1524" s="25"/>
      <c r="F1524" s="25" t="str">
        <f>IF(INDEX(I.Production.P5Y3C5,1)="","",INDEX(I.Production.P5Y3C5,1))</f>
        <v/>
      </c>
      <c r="G1524" s="25"/>
      <c r="H1524" s="1" t="str">
        <f>IF(AND(I.Facility.ProductCount&gt;=5,I.Developer.P5C5=TRUE,I.Product.P5Status&lt;&gt;"Yes",F1524=""),"Incomplete","Complete")</f>
        <v>Complete</v>
      </c>
      <c r="I1524" s="48" t="s">
        <v>2328</v>
      </c>
    </row>
    <row r="1525" spans="2:9" ht="15" customHeight="1" x14ac:dyDescent="0.25">
      <c r="B1525" s="26" t="s">
        <v>438</v>
      </c>
      <c r="C1525" s="1">
        <v>2</v>
      </c>
      <c r="D1525" s="27" t="s">
        <v>3210</v>
      </c>
      <c r="E1525" s="25"/>
      <c r="F1525" s="25" t="str">
        <f>IF(INDEX(I.Production.P5Y3C5,2)="","",INDEX(I.Production.P5Y3C5,2))</f>
        <v/>
      </c>
      <c r="G1525" s="25"/>
      <c r="H1525" s="1" t="str">
        <f>IF(AND(I.Facility.ProductCount&gt;=5,I.Developer.P5C5=TRUE,I.Product.P5Status&lt;&gt;"Yes",F1525=""),"Incomplete","Complete")</f>
        <v>Complete</v>
      </c>
      <c r="I1525" s="48" t="s">
        <v>2329</v>
      </c>
    </row>
    <row r="1526" spans="2:9" ht="15" customHeight="1" x14ac:dyDescent="0.25">
      <c r="B1526" s="34" t="s">
        <v>438</v>
      </c>
      <c r="C1526" s="35">
        <v>3</v>
      </c>
      <c r="D1526" s="46" t="s">
        <v>3210</v>
      </c>
      <c r="E1526" s="45"/>
      <c r="F1526" s="45" t="str">
        <f>IF(INDEX(I.Production.P5Y3C5,3)="","",INDEX(I.Production.P5Y3C5,3))</f>
        <v/>
      </c>
      <c r="G1526" s="45"/>
      <c r="H1526" s="35" t="str">
        <f>IF(AND(I.Facility.ProductCount&gt;=5,I.Developer.P5C5=TRUE,I.Product.P5Status&lt;&gt;"Yes",F1526=""),"Incomplete","Complete")</f>
        <v>Complete</v>
      </c>
      <c r="I1526" s="49" t="s">
        <v>2330</v>
      </c>
    </row>
    <row r="1527" spans="2:9" ht="15" customHeight="1" x14ac:dyDescent="0.25">
      <c r="B1527" s="26" t="s">
        <v>439</v>
      </c>
      <c r="C1527" s="1">
        <v>1</v>
      </c>
      <c r="D1527" s="27" t="s">
        <v>3211</v>
      </c>
      <c r="E1527" s="25"/>
      <c r="F1527" s="25" t="str">
        <f>IF(INDEX(I.Production.P5Y1C6,1)="","",INDEX(I.Production.P5Y1C6,1))</f>
        <v/>
      </c>
      <c r="G1527" s="25"/>
      <c r="H1527" s="1" t="str">
        <f t="shared" ref="H1527:H1532" si="51">IF(AND(I.Facility.ProductCount&gt;=5,I.Developer.P5C6=TRUE,F1527=""),"Incomplete","Complete")</f>
        <v>Complete</v>
      </c>
      <c r="I1527" s="48" t="s">
        <v>2331</v>
      </c>
    </row>
    <row r="1528" spans="2:9" ht="15" customHeight="1" x14ac:dyDescent="0.25">
      <c r="B1528" s="26" t="s">
        <v>439</v>
      </c>
      <c r="C1528" s="1">
        <v>2</v>
      </c>
      <c r="D1528" s="27" t="s">
        <v>3211</v>
      </c>
      <c r="E1528" s="25"/>
      <c r="F1528" s="25" t="str">
        <f>IF(INDEX(I.Production.P5Y1C6,2)="","",INDEX(I.Production.P5Y1C6,2))</f>
        <v/>
      </c>
      <c r="G1528" s="25"/>
      <c r="H1528" s="1" t="str">
        <f t="shared" si="51"/>
        <v>Complete</v>
      </c>
      <c r="I1528" s="48" t="s">
        <v>2332</v>
      </c>
    </row>
    <row r="1529" spans="2:9" ht="15" customHeight="1" x14ac:dyDescent="0.25">
      <c r="B1529" s="34" t="s">
        <v>439</v>
      </c>
      <c r="C1529" s="35">
        <v>3</v>
      </c>
      <c r="D1529" s="46" t="s">
        <v>3211</v>
      </c>
      <c r="E1529" s="45"/>
      <c r="F1529" s="45" t="str">
        <f>IF(INDEX(I.Production.P5Y1C6,3)="","",INDEX(I.Production.P5Y1C6,3))</f>
        <v/>
      </c>
      <c r="G1529" s="45"/>
      <c r="H1529" s="35" t="str">
        <f t="shared" si="51"/>
        <v>Complete</v>
      </c>
      <c r="I1529" s="49" t="s">
        <v>2333</v>
      </c>
    </row>
    <row r="1530" spans="2:9" ht="15" customHeight="1" x14ac:dyDescent="0.25">
      <c r="B1530" s="26" t="s">
        <v>440</v>
      </c>
      <c r="C1530" s="1">
        <v>1</v>
      </c>
      <c r="D1530" s="27" t="s">
        <v>3212</v>
      </c>
      <c r="E1530" s="25"/>
      <c r="F1530" s="25" t="str">
        <f>IF(INDEX(I.Production.P5Y2C6,1)="","",INDEX(I.Production.P5Y2C6,1))</f>
        <v/>
      </c>
      <c r="G1530" s="25"/>
      <c r="H1530" s="1" t="str">
        <f t="shared" si="51"/>
        <v>Complete</v>
      </c>
      <c r="I1530" s="48" t="s">
        <v>2334</v>
      </c>
    </row>
    <row r="1531" spans="2:9" ht="15" customHeight="1" x14ac:dyDescent="0.25">
      <c r="B1531" s="26" t="s">
        <v>440</v>
      </c>
      <c r="C1531" s="1">
        <v>2</v>
      </c>
      <c r="D1531" s="27" t="s">
        <v>3212</v>
      </c>
      <c r="E1531" s="25"/>
      <c r="F1531" s="25" t="str">
        <f>IF(INDEX(I.Production.P5Y2C6,2)="","",INDEX(I.Production.P5Y2C6,2))</f>
        <v/>
      </c>
      <c r="G1531" s="25"/>
      <c r="H1531" s="1" t="str">
        <f t="shared" si="51"/>
        <v>Complete</v>
      </c>
      <c r="I1531" s="48" t="s">
        <v>2335</v>
      </c>
    </row>
    <row r="1532" spans="2:9" ht="15" customHeight="1" x14ac:dyDescent="0.25">
      <c r="B1532" s="34" t="s">
        <v>440</v>
      </c>
      <c r="C1532" s="35">
        <v>3</v>
      </c>
      <c r="D1532" s="46" t="s">
        <v>3212</v>
      </c>
      <c r="E1532" s="45"/>
      <c r="F1532" s="45" t="str">
        <f>IF(INDEX(I.Production.P5Y2C6,3)="","",INDEX(I.Production.P5Y2C6,3))</f>
        <v/>
      </c>
      <c r="G1532" s="45"/>
      <c r="H1532" s="35" t="str">
        <f t="shared" si="51"/>
        <v>Complete</v>
      </c>
      <c r="I1532" s="49" t="s">
        <v>2336</v>
      </c>
    </row>
    <row r="1533" spans="2:9" ht="15" customHeight="1" x14ac:dyDescent="0.25">
      <c r="B1533" s="26" t="s">
        <v>441</v>
      </c>
      <c r="C1533" s="1">
        <v>1</v>
      </c>
      <c r="D1533" s="27" t="s">
        <v>3213</v>
      </c>
      <c r="E1533" s="25"/>
      <c r="F1533" s="25" t="str">
        <f>IF(INDEX(I.Production.P5Y3C6,1)="","",INDEX(I.Production.P5Y3C6,1))</f>
        <v/>
      </c>
      <c r="G1533" s="25"/>
      <c r="H1533" s="1" t="str">
        <f>IF(AND(I.Facility.ProductCount&gt;=5,I.Developer.P5C6=TRUE,I.Product.P5Status&lt;&gt;"Yes",F1533=""),"Incomplete","Complete")</f>
        <v>Complete</v>
      </c>
      <c r="I1533" s="48" t="s">
        <v>2337</v>
      </c>
    </row>
    <row r="1534" spans="2:9" ht="15" customHeight="1" x14ac:dyDescent="0.25">
      <c r="B1534" s="26" t="s">
        <v>441</v>
      </c>
      <c r="C1534" s="1">
        <v>2</v>
      </c>
      <c r="D1534" s="27" t="s">
        <v>3213</v>
      </c>
      <c r="E1534" s="25"/>
      <c r="F1534" s="25" t="str">
        <f>IF(INDEX(I.Production.P5Y3C6,2)="","",INDEX(I.Production.P5Y3C6,2))</f>
        <v/>
      </c>
      <c r="G1534" s="25"/>
      <c r="H1534" s="1" t="str">
        <f>IF(AND(I.Facility.ProductCount&gt;=5,I.Developer.P5C6=TRUE,I.Product.P5Status&lt;&gt;"Yes",F1534=""),"Incomplete","Complete")</f>
        <v>Complete</v>
      </c>
      <c r="I1534" s="48" t="s">
        <v>2338</v>
      </c>
    </row>
    <row r="1535" spans="2:9" ht="15" customHeight="1" x14ac:dyDescent="0.25">
      <c r="B1535" s="34" t="s">
        <v>441</v>
      </c>
      <c r="C1535" s="35">
        <v>3</v>
      </c>
      <c r="D1535" s="46" t="s">
        <v>3213</v>
      </c>
      <c r="E1535" s="45"/>
      <c r="F1535" s="45" t="str">
        <f>IF(INDEX(I.Production.P5Y3C6,3)="","",INDEX(I.Production.P5Y3C6,3))</f>
        <v/>
      </c>
      <c r="G1535" s="45"/>
      <c r="H1535" s="35" t="str">
        <f>IF(AND(I.Facility.ProductCount&gt;=5,I.Developer.P5C6=TRUE,I.Product.P5Status&lt;&gt;"Yes",F1535=""),"Incomplete","Complete")</f>
        <v>Complete</v>
      </c>
      <c r="I1535" s="49" t="s">
        <v>2339</v>
      </c>
    </row>
    <row r="1536" spans="2:9" ht="15" customHeight="1" x14ac:dyDescent="0.25">
      <c r="B1536" s="26" t="s">
        <v>442</v>
      </c>
      <c r="C1536" s="1">
        <v>1</v>
      </c>
      <c r="D1536" s="27" t="s">
        <v>3214</v>
      </c>
      <c r="E1536" s="25"/>
      <c r="F1536" s="25" t="str">
        <f>IF(INDEX(I.Production.P5Y1C7,1)="","",INDEX(I.Production.P5Y1C7,1))</f>
        <v/>
      </c>
      <c r="G1536" s="25"/>
      <c r="H1536" s="1" t="str">
        <f t="shared" ref="H1536:H1541" si="52">IF(AND(I.Facility.ProductCount&gt;=5,I.Developer.P5C7=TRUE,F1536=""),"Incomplete","Complete")</f>
        <v>Complete</v>
      </c>
      <c r="I1536" s="48" t="s">
        <v>2340</v>
      </c>
    </row>
    <row r="1537" spans="2:9" ht="15" customHeight="1" x14ac:dyDescent="0.25">
      <c r="B1537" s="26" t="s">
        <v>442</v>
      </c>
      <c r="C1537" s="1">
        <v>2</v>
      </c>
      <c r="D1537" s="27" t="s">
        <v>3214</v>
      </c>
      <c r="E1537" s="25"/>
      <c r="F1537" s="25" t="str">
        <f>IF(INDEX(I.Production.P5Y1C7,2)="","",INDEX(I.Production.P5Y1C7,2))</f>
        <v/>
      </c>
      <c r="G1537" s="25"/>
      <c r="H1537" s="1" t="str">
        <f t="shared" si="52"/>
        <v>Complete</v>
      </c>
      <c r="I1537" s="48" t="s">
        <v>2341</v>
      </c>
    </row>
    <row r="1538" spans="2:9" ht="15" customHeight="1" x14ac:dyDescent="0.25">
      <c r="B1538" s="34" t="s">
        <v>442</v>
      </c>
      <c r="C1538" s="35">
        <v>3</v>
      </c>
      <c r="D1538" s="46" t="s">
        <v>3214</v>
      </c>
      <c r="E1538" s="45"/>
      <c r="F1538" s="45" t="str">
        <f>IF(INDEX(I.Production.P5Y1C7,3)="","",INDEX(I.Production.P5Y1C7,3))</f>
        <v/>
      </c>
      <c r="G1538" s="45"/>
      <c r="H1538" s="35" t="str">
        <f t="shared" si="52"/>
        <v>Complete</v>
      </c>
      <c r="I1538" s="49" t="s">
        <v>2342</v>
      </c>
    </row>
    <row r="1539" spans="2:9" ht="15" customHeight="1" x14ac:dyDescent="0.25">
      <c r="B1539" s="26" t="s">
        <v>443</v>
      </c>
      <c r="C1539" s="1">
        <v>1</v>
      </c>
      <c r="D1539" s="27" t="s">
        <v>3215</v>
      </c>
      <c r="E1539" s="25"/>
      <c r="F1539" s="25" t="str">
        <f>IF(INDEX(I.Production.P5Y2C7,1)="","",INDEX(I.Production.P5Y2C7,1))</f>
        <v/>
      </c>
      <c r="G1539" s="25"/>
      <c r="H1539" s="1" t="str">
        <f t="shared" si="52"/>
        <v>Complete</v>
      </c>
      <c r="I1539" s="48" t="s">
        <v>2343</v>
      </c>
    </row>
    <row r="1540" spans="2:9" ht="15" customHeight="1" x14ac:dyDescent="0.25">
      <c r="B1540" s="26" t="s">
        <v>443</v>
      </c>
      <c r="C1540" s="1">
        <v>2</v>
      </c>
      <c r="D1540" s="27" t="s">
        <v>3215</v>
      </c>
      <c r="E1540" s="25"/>
      <c r="F1540" s="25" t="str">
        <f>IF(INDEX(I.Production.P5Y2C7,2)="","",INDEX(I.Production.P5Y2C7,2))</f>
        <v/>
      </c>
      <c r="G1540" s="25"/>
      <c r="H1540" s="1" t="str">
        <f t="shared" si="52"/>
        <v>Complete</v>
      </c>
      <c r="I1540" s="48" t="s">
        <v>2344</v>
      </c>
    </row>
    <row r="1541" spans="2:9" ht="15" customHeight="1" x14ac:dyDescent="0.25">
      <c r="B1541" s="34" t="s">
        <v>443</v>
      </c>
      <c r="C1541" s="35">
        <v>3</v>
      </c>
      <c r="D1541" s="46" t="s">
        <v>3215</v>
      </c>
      <c r="E1541" s="45"/>
      <c r="F1541" s="45" t="str">
        <f>IF(INDEX(I.Production.P5Y2C7,3)="","",INDEX(I.Production.P5Y2C7,3))</f>
        <v/>
      </c>
      <c r="G1541" s="45"/>
      <c r="H1541" s="35" t="str">
        <f t="shared" si="52"/>
        <v>Complete</v>
      </c>
      <c r="I1541" s="49" t="s">
        <v>2345</v>
      </c>
    </row>
    <row r="1542" spans="2:9" ht="15" customHeight="1" x14ac:dyDescent="0.25">
      <c r="B1542" s="26" t="s">
        <v>444</v>
      </c>
      <c r="C1542" s="1">
        <v>1</v>
      </c>
      <c r="D1542" s="27" t="s">
        <v>3216</v>
      </c>
      <c r="E1542" s="25"/>
      <c r="F1542" s="25" t="str">
        <f>IF(INDEX(I.Production.P5Y3C7,1)="","",INDEX(I.Production.P5Y3C7,1))</f>
        <v/>
      </c>
      <c r="G1542" s="25"/>
      <c r="H1542" s="1" t="str">
        <f>IF(AND(I.Facility.ProductCount&gt;=5,I.Developer.P5C7=TRUE,I.Product.P5Status&lt;&gt;"Yes",F1542=""),"Incomplete","Complete")</f>
        <v>Complete</v>
      </c>
      <c r="I1542" s="48" t="s">
        <v>2346</v>
      </c>
    </row>
    <row r="1543" spans="2:9" ht="15" customHeight="1" x14ac:dyDescent="0.25">
      <c r="B1543" s="26" t="s">
        <v>444</v>
      </c>
      <c r="C1543" s="1">
        <v>2</v>
      </c>
      <c r="D1543" s="27" t="s">
        <v>3216</v>
      </c>
      <c r="E1543" s="25"/>
      <c r="F1543" s="25" t="str">
        <f>IF(INDEX(I.Production.P5Y3C7,2)="","",INDEX(I.Production.P5Y3C7,2))</f>
        <v/>
      </c>
      <c r="G1543" s="25"/>
      <c r="H1543" s="1" t="str">
        <f>IF(AND(I.Facility.ProductCount&gt;=5,I.Developer.P5C7=TRUE,I.Product.P5Status&lt;&gt;"Yes",F1543=""),"Incomplete","Complete")</f>
        <v>Complete</v>
      </c>
      <c r="I1543" s="48" t="s">
        <v>2347</v>
      </c>
    </row>
    <row r="1544" spans="2:9" ht="15" customHeight="1" x14ac:dyDescent="0.25">
      <c r="B1544" s="34" t="s">
        <v>444</v>
      </c>
      <c r="C1544" s="35">
        <v>3</v>
      </c>
      <c r="D1544" s="46" t="s">
        <v>3216</v>
      </c>
      <c r="E1544" s="45"/>
      <c r="F1544" s="45" t="str">
        <f>IF(INDEX(I.Production.P5Y3C7,3)="","",INDEX(I.Production.P5Y3C7,3))</f>
        <v/>
      </c>
      <c r="G1544" s="45"/>
      <c r="H1544" s="35" t="str">
        <f>IF(AND(I.Facility.ProductCount&gt;=5,I.Developer.P5C7=TRUE,I.Product.P5Status&lt;&gt;"Yes",F1544=""),"Incomplete","Complete")</f>
        <v>Complete</v>
      </c>
      <c r="I1544" s="49" t="s">
        <v>2348</v>
      </c>
    </row>
    <row r="1545" spans="2:9" ht="15" customHeight="1" x14ac:dyDescent="0.25">
      <c r="B1545" s="26" t="s">
        <v>445</v>
      </c>
      <c r="C1545" s="1">
        <v>1</v>
      </c>
      <c r="D1545" s="27" t="s">
        <v>3217</v>
      </c>
      <c r="E1545" s="25"/>
      <c r="F1545" s="25" t="str">
        <f>IF(INDEX(I.Production.P5Y1C8,1)="","",INDEX(I.Production.P5Y1C8,1))</f>
        <v/>
      </c>
      <c r="G1545" s="25"/>
      <c r="H1545" s="1" t="str">
        <f t="shared" ref="H1545:H1550" si="53">IF(AND(I.Facility.ProductCount&gt;=5,I.Developer.P5C8=TRUE,F1545=""),"Incomplete","Complete")</f>
        <v>Complete</v>
      </c>
      <c r="I1545" s="48" t="s">
        <v>2349</v>
      </c>
    </row>
    <row r="1546" spans="2:9" ht="15" customHeight="1" x14ac:dyDescent="0.25">
      <c r="B1546" s="26" t="s">
        <v>445</v>
      </c>
      <c r="C1546" s="1">
        <v>2</v>
      </c>
      <c r="D1546" s="27" t="s">
        <v>3217</v>
      </c>
      <c r="E1546" s="25"/>
      <c r="F1546" s="25" t="str">
        <f>IF(INDEX(I.Production.P5Y1C8,2)="","",INDEX(I.Production.P5Y1C8,2))</f>
        <v/>
      </c>
      <c r="G1546" s="25"/>
      <c r="H1546" s="1" t="str">
        <f t="shared" si="53"/>
        <v>Complete</v>
      </c>
      <c r="I1546" s="48" t="s">
        <v>2350</v>
      </c>
    </row>
    <row r="1547" spans="2:9" ht="15" customHeight="1" x14ac:dyDescent="0.25">
      <c r="B1547" s="34" t="s">
        <v>445</v>
      </c>
      <c r="C1547" s="35">
        <v>3</v>
      </c>
      <c r="D1547" s="46" t="s">
        <v>3217</v>
      </c>
      <c r="E1547" s="45"/>
      <c r="F1547" s="45" t="str">
        <f>IF(INDEX(I.Production.P5Y1C8,3)="","",INDEX(I.Production.P5Y1C8,3))</f>
        <v/>
      </c>
      <c r="G1547" s="45"/>
      <c r="H1547" s="35" t="str">
        <f t="shared" si="53"/>
        <v>Complete</v>
      </c>
      <c r="I1547" s="49" t="s">
        <v>2351</v>
      </c>
    </row>
    <row r="1548" spans="2:9" ht="15" customHeight="1" x14ac:dyDescent="0.25">
      <c r="B1548" s="26" t="s">
        <v>446</v>
      </c>
      <c r="C1548" s="1">
        <v>1</v>
      </c>
      <c r="D1548" s="27" t="s">
        <v>3218</v>
      </c>
      <c r="E1548" s="25"/>
      <c r="F1548" s="25" t="str">
        <f>IF(INDEX(I.Production.P5Y2C8,1)="","",INDEX(I.Production.P5Y2C8,1))</f>
        <v/>
      </c>
      <c r="G1548" s="25"/>
      <c r="H1548" s="1" t="str">
        <f t="shared" si="53"/>
        <v>Complete</v>
      </c>
      <c r="I1548" s="48" t="s">
        <v>2352</v>
      </c>
    </row>
    <row r="1549" spans="2:9" ht="15" customHeight="1" x14ac:dyDescent="0.25">
      <c r="B1549" s="26" t="s">
        <v>446</v>
      </c>
      <c r="C1549" s="1">
        <v>2</v>
      </c>
      <c r="D1549" s="27" t="s">
        <v>3218</v>
      </c>
      <c r="E1549" s="25"/>
      <c r="F1549" s="25" t="str">
        <f>IF(INDEX(I.Production.P5Y2C8,2)="","",INDEX(I.Production.P5Y2C8,2))</f>
        <v/>
      </c>
      <c r="G1549" s="25"/>
      <c r="H1549" s="1" t="str">
        <f t="shared" si="53"/>
        <v>Complete</v>
      </c>
      <c r="I1549" s="48" t="s">
        <v>2353</v>
      </c>
    </row>
    <row r="1550" spans="2:9" ht="15" customHeight="1" x14ac:dyDescent="0.25">
      <c r="B1550" s="34" t="s">
        <v>446</v>
      </c>
      <c r="C1550" s="35">
        <v>3</v>
      </c>
      <c r="D1550" s="46" t="s">
        <v>3218</v>
      </c>
      <c r="E1550" s="45"/>
      <c r="F1550" s="45" t="str">
        <f>IF(INDEX(I.Production.P5Y2C8,3)="","",INDEX(I.Production.P5Y2C8,3))</f>
        <v/>
      </c>
      <c r="G1550" s="45"/>
      <c r="H1550" s="35" t="str">
        <f t="shared" si="53"/>
        <v>Complete</v>
      </c>
      <c r="I1550" s="49" t="s">
        <v>2354</v>
      </c>
    </row>
    <row r="1551" spans="2:9" ht="15" customHeight="1" x14ac:dyDescent="0.25">
      <c r="B1551" s="26" t="s">
        <v>447</v>
      </c>
      <c r="C1551" s="1">
        <v>1</v>
      </c>
      <c r="D1551" s="27" t="s">
        <v>3219</v>
      </c>
      <c r="E1551" s="25"/>
      <c r="F1551" s="25" t="str">
        <f>IF(INDEX(I.Production.P5Y3C8,1)="","",INDEX(I.Production.P5Y3C8,1))</f>
        <v/>
      </c>
      <c r="G1551" s="25"/>
      <c r="H1551" s="1" t="str">
        <f>IF(AND(I.Facility.ProductCount&gt;=5,I.Developer.P5C8=TRUE,I.Product.P5Status&lt;&gt;"Yes",F1551=""),"Incomplete","Complete")</f>
        <v>Complete</v>
      </c>
      <c r="I1551" s="48" t="s">
        <v>2355</v>
      </c>
    </row>
    <row r="1552" spans="2:9" ht="15" customHeight="1" x14ac:dyDescent="0.25">
      <c r="B1552" s="26" t="s">
        <v>447</v>
      </c>
      <c r="C1552" s="1">
        <v>2</v>
      </c>
      <c r="D1552" s="27" t="s">
        <v>3219</v>
      </c>
      <c r="E1552" s="25"/>
      <c r="F1552" s="25" t="str">
        <f>IF(INDEX(I.Production.P5Y3C8,2)="","",INDEX(I.Production.P5Y3C8,2))</f>
        <v/>
      </c>
      <c r="G1552" s="25"/>
      <c r="H1552" s="1" t="str">
        <f>IF(AND(I.Facility.ProductCount&gt;=5,I.Developer.P5C8=TRUE,I.Product.P5Status&lt;&gt;"Yes",F1552=""),"Incomplete","Complete")</f>
        <v>Complete</v>
      </c>
      <c r="I1552" s="48" t="s">
        <v>2356</v>
      </c>
    </row>
    <row r="1553" spans="2:9" ht="15" customHeight="1" x14ac:dyDescent="0.25">
      <c r="B1553" s="34" t="s">
        <v>447</v>
      </c>
      <c r="C1553" s="35">
        <v>3</v>
      </c>
      <c r="D1553" s="46" t="s">
        <v>3219</v>
      </c>
      <c r="E1553" s="45"/>
      <c r="F1553" s="45" t="str">
        <f>IF(INDEX(I.Production.P5Y3C8,3)="","",INDEX(I.Production.P5Y3C8,3))</f>
        <v/>
      </c>
      <c r="G1553" s="45"/>
      <c r="H1553" s="35" t="str">
        <f>IF(AND(I.Facility.ProductCount&gt;=5,I.Developer.P5C8=TRUE,I.Product.P5Status&lt;&gt;"Yes",F1553=""),"Incomplete","Complete")</f>
        <v>Complete</v>
      </c>
      <c r="I1553" s="49" t="s">
        <v>2357</v>
      </c>
    </row>
    <row r="1554" spans="2:9" ht="15" customHeight="1" x14ac:dyDescent="0.25">
      <c r="B1554" s="26" t="s">
        <v>448</v>
      </c>
      <c r="C1554" s="1">
        <v>1</v>
      </c>
      <c r="D1554" s="27" t="s">
        <v>3220</v>
      </c>
      <c r="E1554" s="25"/>
      <c r="F1554" s="25" t="str">
        <f>IF(INDEX(I.Production.P5Y1C9,1)="","",INDEX(I.Production.P5Y1C9,1))</f>
        <v/>
      </c>
      <c r="G1554" s="25"/>
      <c r="H1554" s="1" t="str">
        <f t="shared" ref="H1554:H1559" si="54">IF(AND(I.Facility.ProductCount&gt;=5,I.Developer.P5C9=TRUE,F1554=""),"Incomplete","Complete")</f>
        <v>Complete</v>
      </c>
      <c r="I1554" s="48" t="s">
        <v>2358</v>
      </c>
    </row>
    <row r="1555" spans="2:9" ht="15" customHeight="1" x14ac:dyDescent="0.25">
      <c r="B1555" s="26" t="s">
        <v>448</v>
      </c>
      <c r="C1555" s="1">
        <v>2</v>
      </c>
      <c r="D1555" s="27" t="s">
        <v>3220</v>
      </c>
      <c r="E1555" s="25"/>
      <c r="F1555" s="25" t="str">
        <f>IF(INDEX(I.Production.P5Y1C9,2)="","",INDEX(I.Production.P5Y1C9,2))</f>
        <v/>
      </c>
      <c r="G1555" s="25"/>
      <c r="H1555" s="1" t="str">
        <f t="shared" si="54"/>
        <v>Complete</v>
      </c>
      <c r="I1555" s="48" t="s">
        <v>2359</v>
      </c>
    </row>
    <row r="1556" spans="2:9" ht="15" customHeight="1" x14ac:dyDescent="0.25">
      <c r="B1556" s="34" t="s">
        <v>448</v>
      </c>
      <c r="C1556" s="35">
        <v>3</v>
      </c>
      <c r="D1556" s="46" t="s">
        <v>3220</v>
      </c>
      <c r="E1556" s="45"/>
      <c r="F1556" s="45" t="str">
        <f>IF(INDEX(I.Production.P5Y1C9,3)="","",INDEX(I.Production.P5Y1C9,3))</f>
        <v/>
      </c>
      <c r="G1556" s="45"/>
      <c r="H1556" s="35" t="str">
        <f t="shared" si="54"/>
        <v>Complete</v>
      </c>
      <c r="I1556" s="49" t="s">
        <v>2360</v>
      </c>
    </row>
    <row r="1557" spans="2:9" ht="15" customHeight="1" x14ac:dyDescent="0.25">
      <c r="B1557" s="26" t="s">
        <v>449</v>
      </c>
      <c r="C1557" s="1">
        <v>1</v>
      </c>
      <c r="D1557" s="27" t="s">
        <v>3221</v>
      </c>
      <c r="E1557" s="25"/>
      <c r="F1557" s="25" t="str">
        <f>IF(INDEX(I.Production.P5Y2C9,1)="","",INDEX(I.Production.P5Y2C9,1))</f>
        <v/>
      </c>
      <c r="G1557" s="25"/>
      <c r="H1557" s="1" t="str">
        <f t="shared" si="54"/>
        <v>Complete</v>
      </c>
      <c r="I1557" s="48" t="s">
        <v>2361</v>
      </c>
    </row>
    <row r="1558" spans="2:9" ht="15" customHeight="1" x14ac:dyDescent="0.25">
      <c r="B1558" s="26" t="s">
        <v>449</v>
      </c>
      <c r="C1558" s="1">
        <v>2</v>
      </c>
      <c r="D1558" s="27" t="s">
        <v>3221</v>
      </c>
      <c r="E1558" s="25"/>
      <c r="F1558" s="25" t="str">
        <f>IF(INDEX(I.Production.P5Y2C9,2)="","",INDEX(I.Production.P5Y2C9,2))</f>
        <v/>
      </c>
      <c r="G1558" s="25"/>
      <c r="H1558" s="1" t="str">
        <f t="shared" si="54"/>
        <v>Complete</v>
      </c>
      <c r="I1558" s="48" t="s">
        <v>2362</v>
      </c>
    </row>
    <row r="1559" spans="2:9" ht="15" customHeight="1" x14ac:dyDescent="0.25">
      <c r="B1559" s="34" t="s">
        <v>449</v>
      </c>
      <c r="C1559" s="35">
        <v>3</v>
      </c>
      <c r="D1559" s="46" t="s">
        <v>3221</v>
      </c>
      <c r="E1559" s="45"/>
      <c r="F1559" s="45" t="str">
        <f>IF(INDEX(I.Production.P5Y2C9,3)="","",INDEX(I.Production.P5Y2C9,3))</f>
        <v/>
      </c>
      <c r="G1559" s="45"/>
      <c r="H1559" s="35" t="str">
        <f t="shared" si="54"/>
        <v>Complete</v>
      </c>
      <c r="I1559" s="49" t="s">
        <v>2363</v>
      </c>
    </row>
    <row r="1560" spans="2:9" ht="15" customHeight="1" x14ac:dyDescent="0.25">
      <c r="B1560" s="26" t="s">
        <v>450</v>
      </c>
      <c r="C1560" s="1">
        <v>1</v>
      </c>
      <c r="D1560" s="27" t="s">
        <v>3222</v>
      </c>
      <c r="E1560" s="25"/>
      <c r="F1560" s="25" t="str">
        <f>IF(INDEX(I.Production.P5Y3C9,1)="","",INDEX(I.Production.P5Y3C9,1))</f>
        <v/>
      </c>
      <c r="G1560" s="25"/>
      <c r="H1560" s="1" t="str">
        <f>IF(AND(I.Facility.ProductCount&gt;=5,I.Developer.P5C9=TRUE,I.Product.P5Status&lt;&gt;"Yes",F1560=""),"Incomplete","Complete")</f>
        <v>Complete</v>
      </c>
      <c r="I1560" s="48" t="s">
        <v>2364</v>
      </c>
    </row>
    <row r="1561" spans="2:9" ht="15" customHeight="1" x14ac:dyDescent="0.25">
      <c r="B1561" s="26" t="s">
        <v>450</v>
      </c>
      <c r="C1561" s="1">
        <v>2</v>
      </c>
      <c r="D1561" s="27" t="s">
        <v>3222</v>
      </c>
      <c r="E1561" s="25"/>
      <c r="F1561" s="25" t="str">
        <f>IF(INDEX(I.Production.P5Y3C9,2)="","",INDEX(I.Production.P5Y3C9,2))</f>
        <v/>
      </c>
      <c r="G1561" s="25"/>
      <c r="H1561" s="1" t="str">
        <f>IF(AND(I.Facility.ProductCount&gt;=5,I.Developer.P5C9=TRUE,I.Product.P5Status&lt;&gt;"Yes",F1561=""),"Incomplete","Complete")</f>
        <v>Complete</v>
      </c>
      <c r="I1561" s="48" t="s">
        <v>2365</v>
      </c>
    </row>
    <row r="1562" spans="2:9" ht="15" customHeight="1" x14ac:dyDescent="0.25">
      <c r="B1562" s="34" t="s">
        <v>450</v>
      </c>
      <c r="C1562" s="35">
        <v>3</v>
      </c>
      <c r="D1562" s="46" t="s">
        <v>3222</v>
      </c>
      <c r="E1562" s="45"/>
      <c r="F1562" s="45" t="str">
        <f>IF(INDEX(I.Production.P5Y3C9,3)="","",INDEX(I.Production.P5Y3C9,3))</f>
        <v/>
      </c>
      <c r="G1562" s="45"/>
      <c r="H1562" s="35" t="str">
        <f>IF(AND(I.Facility.ProductCount&gt;=5,I.Developer.P5C9=TRUE,I.Product.P5Status&lt;&gt;"Yes",F1562=""),"Incomplete","Complete")</f>
        <v>Complete</v>
      </c>
      <c r="I1562" s="49" t="s">
        <v>2366</v>
      </c>
    </row>
    <row r="1563" spans="2:9" ht="15" customHeight="1" x14ac:dyDescent="0.25">
      <c r="B1563" s="26" t="s">
        <v>1206</v>
      </c>
      <c r="C1563" s="1">
        <v>1</v>
      </c>
      <c r="D1563" s="27" t="s">
        <v>3223</v>
      </c>
      <c r="E1563" s="25"/>
      <c r="F1563" s="25" t="str">
        <f>IF(INDEX(I.Electricity.P1Y1C1,1)="","",INDEX(I.Electricity.P1Y1C1,1))</f>
        <v/>
      </c>
      <c r="G1563" s="25"/>
      <c r="H1563" s="1" t="str">
        <f t="shared" ref="H1563:H1568" si="55">IF(AND(I.Facility.ProductCount&gt;=1,I.Product.P1Electricity="Yes",I.Developer.P1C1=TRUE,F1563=""),"Incomplete","Complete")</f>
        <v>Complete</v>
      </c>
      <c r="I1563" s="48" t="s">
        <v>1373</v>
      </c>
    </row>
    <row r="1564" spans="2:9" ht="15" customHeight="1" x14ac:dyDescent="0.25">
      <c r="B1564" s="26" t="s">
        <v>1206</v>
      </c>
      <c r="C1564" s="1">
        <v>2</v>
      </c>
      <c r="D1564" s="27" t="s">
        <v>3223</v>
      </c>
      <c r="E1564" s="25"/>
      <c r="F1564" s="25" t="str">
        <f>IF(INDEX(I.Electricity.P1Y1C1,2)="","",INDEX(I.Electricity.P1Y1C1,2))</f>
        <v/>
      </c>
      <c r="G1564" s="25"/>
      <c r="H1564" s="1" t="str">
        <f t="shared" si="55"/>
        <v>Complete</v>
      </c>
      <c r="I1564" s="48" t="s">
        <v>1374</v>
      </c>
    </row>
    <row r="1565" spans="2:9" ht="15" customHeight="1" x14ac:dyDescent="0.25">
      <c r="B1565" s="34" t="s">
        <v>1206</v>
      </c>
      <c r="C1565" s="35">
        <v>3</v>
      </c>
      <c r="D1565" s="46" t="s">
        <v>3223</v>
      </c>
      <c r="E1565" s="45"/>
      <c r="F1565" s="45" t="str">
        <f>IF(INDEX(I.Electricity.P1Y1C1,3)="","",INDEX(I.Electricity.P1Y1C1,3))</f>
        <v/>
      </c>
      <c r="G1565" s="45"/>
      <c r="H1565" s="35" t="str">
        <f t="shared" si="55"/>
        <v>Complete</v>
      </c>
      <c r="I1565" s="49" t="s">
        <v>1375</v>
      </c>
    </row>
    <row r="1566" spans="2:9" ht="15" customHeight="1" x14ac:dyDescent="0.25">
      <c r="B1566" s="26" t="s">
        <v>1207</v>
      </c>
      <c r="C1566" s="1">
        <v>1</v>
      </c>
      <c r="D1566" s="27" t="s">
        <v>3224</v>
      </c>
      <c r="E1566" s="25"/>
      <c r="F1566" s="25" t="str">
        <f>IF(INDEX(I.Electricity.P1Y2C1,1)="","",INDEX(I.Electricity.P1Y2C1,1))</f>
        <v/>
      </c>
      <c r="G1566" s="25"/>
      <c r="H1566" s="1" t="str">
        <f t="shared" si="55"/>
        <v>Complete</v>
      </c>
      <c r="I1566" s="48" t="s">
        <v>1376</v>
      </c>
    </row>
    <row r="1567" spans="2:9" ht="15" customHeight="1" x14ac:dyDescent="0.25">
      <c r="B1567" s="26" t="s">
        <v>1207</v>
      </c>
      <c r="C1567" s="1">
        <v>2</v>
      </c>
      <c r="D1567" s="27" t="s">
        <v>3224</v>
      </c>
      <c r="E1567" s="25"/>
      <c r="F1567" s="25" t="str">
        <f>IF(INDEX(I.Electricity.P1Y2C1,2)="","",INDEX(I.Electricity.P1Y2C1,2))</f>
        <v/>
      </c>
      <c r="G1567" s="25"/>
      <c r="H1567" s="1" t="str">
        <f t="shared" si="55"/>
        <v>Complete</v>
      </c>
      <c r="I1567" s="48" t="s">
        <v>1377</v>
      </c>
    </row>
    <row r="1568" spans="2:9" ht="15" customHeight="1" x14ac:dyDescent="0.25">
      <c r="B1568" s="34" t="s">
        <v>1207</v>
      </c>
      <c r="C1568" s="35">
        <v>3</v>
      </c>
      <c r="D1568" s="46" t="s">
        <v>3224</v>
      </c>
      <c r="E1568" s="45"/>
      <c r="F1568" s="45" t="str">
        <f>IF(INDEX(I.Electricity.P1Y2C1,3)="","",INDEX(I.Electricity.P1Y2C1,3))</f>
        <v/>
      </c>
      <c r="G1568" s="45"/>
      <c r="H1568" s="35" t="str">
        <f t="shared" si="55"/>
        <v>Complete</v>
      </c>
      <c r="I1568" s="49" t="s">
        <v>1378</v>
      </c>
    </row>
    <row r="1569" spans="2:9" ht="15" customHeight="1" x14ac:dyDescent="0.25">
      <c r="B1569" s="26" t="s">
        <v>1208</v>
      </c>
      <c r="C1569" s="1">
        <v>1</v>
      </c>
      <c r="D1569" s="27" t="s">
        <v>3225</v>
      </c>
      <c r="E1569" s="25"/>
      <c r="F1569" s="25" t="str">
        <f>IF(INDEX(I.Electricity.P1Y3C1,1)="","",INDEX(I.Electricity.P1Y3C1,1))</f>
        <v/>
      </c>
      <c r="G1569" s="25"/>
      <c r="H1569" s="1" t="str">
        <f>IF(AND(I.Facility.ProductCount&gt;=1,I.Product.P1Electricity="Yes",I.Developer.P1C1=TRUE,I.Product.P1Status&lt;&gt;"Yes",F1569=""),"Incomplete","Complete")</f>
        <v>Complete</v>
      </c>
      <c r="I1569" s="48" t="s">
        <v>1379</v>
      </c>
    </row>
    <row r="1570" spans="2:9" ht="15" customHeight="1" x14ac:dyDescent="0.25">
      <c r="B1570" s="26" t="s">
        <v>1208</v>
      </c>
      <c r="C1570" s="1">
        <v>2</v>
      </c>
      <c r="D1570" s="27" t="s">
        <v>3225</v>
      </c>
      <c r="E1570" s="25"/>
      <c r="F1570" s="25" t="str">
        <f>IF(INDEX(I.Electricity.P1Y3C1,2)="","",INDEX(I.Electricity.P1Y3C1,2))</f>
        <v/>
      </c>
      <c r="G1570" s="25"/>
      <c r="H1570" s="1" t="str">
        <f>IF(AND(I.Facility.ProductCount&gt;=1,I.Product.P1Electricity="Yes",I.Developer.P1C1=TRUE,I.Product.P1Status&lt;&gt;"Yes",F1570=""),"Incomplete","Complete")</f>
        <v>Complete</v>
      </c>
      <c r="I1570" s="48" t="s">
        <v>1380</v>
      </c>
    </row>
    <row r="1571" spans="2:9" ht="15" customHeight="1" x14ac:dyDescent="0.25">
      <c r="B1571" s="34" t="s">
        <v>1208</v>
      </c>
      <c r="C1571" s="35">
        <v>3</v>
      </c>
      <c r="D1571" s="46" t="s">
        <v>3225</v>
      </c>
      <c r="E1571" s="45"/>
      <c r="F1571" s="45" t="str">
        <f>IF(INDEX(I.Electricity.P1Y3C1,3)="","",INDEX(I.Electricity.P1Y3C1,3))</f>
        <v/>
      </c>
      <c r="G1571" s="45"/>
      <c r="H1571" s="35" t="str">
        <f>IF(AND(I.Facility.ProductCount&gt;=1,I.Product.P1Electricity="Yes",I.Developer.P1C1=TRUE,I.Product.P1Status&lt;&gt;"Yes",F1571=""),"Incomplete","Complete")</f>
        <v>Complete</v>
      </c>
      <c r="I1571" s="49" t="s">
        <v>1381</v>
      </c>
    </row>
    <row r="1572" spans="2:9" ht="15" customHeight="1" x14ac:dyDescent="0.25">
      <c r="B1572" s="26" t="s">
        <v>1209</v>
      </c>
      <c r="C1572" s="1">
        <v>1</v>
      </c>
      <c r="D1572" s="27" t="s">
        <v>3226</v>
      </c>
      <c r="E1572" s="25"/>
      <c r="F1572" s="25" t="str">
        <f>IF(INDEX(I.Electricity.P1Y1C2,1)="","",INDEX(I.Electricity.P1Y1C2,1))</f>
        <v/>
      </c>
      <c r="G1572" s="25"/>
      <c r="H1572" s="1" t="str">
        <f t="shared" ref="H1572:H1619" si="56">IF(AND(I.Facility.ProductCount&gt;=1,I.Product.P1Electricity="Yes",I.Developer.P1C2=TRUE,F1572=""),"Incomplete","Complete")</f>
        <v>Complete</v>
      </c>
      <c r="I1572" s="48" t="s">
        <v>1382</v>
      </c>
    </row>
    <row r="1573" spans="2:9" ht="15" customHeight="1" x14ac:dyDescent="0.25">
      <c r="B1573" s="26" t="s">
        <v>1209</v>
      </c>
      <c r="C1573" s="1">
        <v>2</v>
      </c>
      <c r="D1573" s="27" t="s">
        <v>3226</v>
      </c>
      <c r="E1573" s="25"/>
      <c r="F1573" s="25" t="str">
        <f>IF(INDEX(I.Electricity.P1Y1C2,2)="","",INDEX(I.Electricity.P1Y1C2,2))</f>
        <v/>
      </c>
      <c r="G1573" s="25"/>
      <c r="H1573" s="1" t="str">
        <f t="shared" si="56"/>
        <v>Complete</v>
      </c>
      <c r="I1573" s="48" t="s">
        <v>1383</v>
      </c>
    </row>
    <row r="1574" spans="2:9" ht="15" customHeight="1" x14ac:dyDescent="0.25">
      <c r="B1574" s="26" t="s">
        <v>1209</v>
      </c>
      <c r="C1574" s="1">
        <v>3</v>
      </c>
      <c r="D1574" s="27" t="s">
        <v>3226</v>
      </c>
      <c r="E1574" s="25"/>
      <c r="F1574" s="25" t="str">
        <f>IF(INDEX(I.Electricity.P1Y1C2,3)="","",INDEX(I.Electricity.P1Y1C2,3))</f>
        <v/>
      </c>
      <c r="G1574" s="25"/>
      <c r="H1574" s="1" t="str">
        <f t="shared" si="56"/>
        <v>Complete</v>
      </c>
      <c r="I1574" s="48" t="s">
        <v>1384</v>
      </c>
    </row>
    <row r="1575" spans="2:9" ht="15" customHeight="1" x14ac:dyDescent="0.25">
      <c r="B1575" s="26" t="s">
        <v>1209</v>
      </c>
      <c r="C1575" s="1">
        <v>4</v>
      </c>
      <c r="D1575" s="27" t="s">
        <v>3226</v>
      </c>
      <c r="E1575" s="25"/>
      <c r="F1575" s="25" t="str">
        <f>IF(INDEX(I.Electricity.P1Y1C2,4)="","",INDEX(I.Electricity.P1Y1C2,4))</f>
        <v/>
      </c>
      <c r="G1575" s="25"/>
      <c r="H1575" s="1" t="str">
        <f t="shared" si="56"/>
        <v>Complete</v>
      </c>
      <c r="I1575" s="48" t="s">
        <v>1385</v>
      </c>
    </row>
    <row r="1576" spans="2:9" ht="15" customHeight="1" x14ac:dyDescent="0.25">
      <c r="B1576" s="26" t="s">
        <v>1209</v>
      </c>
      <c r="C1576" s="1">
        <v>5</v>
      </c>
      <c r="D1576" s="27" t="s">
        <v>3226</v>
      </c>
      <c r="E1576" s="25"/>
      <c r="F1576" s="25" t="str">
        <f>IF(INDEX(I.Electricity.P1Y1C2,5)="","",INDEX(I.Electricity.P1Y1C2,5))</f>
        <v/>
      </c>
      <c r="G1576" s="25"/>
      <c r="H1576" s="1" t="str">
        <f t="shared" si="56"/>
        <v>Complete</v>
      </c>
      <c r="I1576" s="48" t="s">
        <v>1386</v>
      </c>
    </row>
    <row r="1577" spans="2:9" ht="15" customHeight="1" x14ac:dyDescent="0.25">
      <c r="B1577" s="26" t="s">
        <v>1209</v>
      </c>
      <c r="C1577" s="1">
        <v>6</v>
      </c>
      <c r="D1577" s="27" t="s">
        <v>3226</v>
      </c>
      <c r="E1577" s="25"/>
      <c r="F1577" s="25" t="str">
        <f>IF(INDEX(I.Electricity.P1Y1C2,6)="","",INDEX(I.Electricity.P1Y1C2,6))</f>
        <v/>
      </c>
      <c r="G1577" s="25"/>
      <c r="H1577" s="1" t="str">
        <f t="shared" si="56"/>
        <v>Complete</v>
      </c>
      <c r="I1577" s="48" t="s">
        <v>1387</v>
      </c>
    </row>
    <row r="1578" spans="2:9" ht="15" customHeight="1" x14ac:dyDescent="0.25">
      <c r="B1578" s="26" t="s">
        <v>1209</v>
      </c>
      <c r="C1578" s="1">
        <v>7</v>
      </c>
      <c r="D1578" s="27" t="s">
        <v>3226</v>
      </c>
      <c r="E1578" s="25"/>
      <c r="F1578" s="25" t="str">
        <f>IF(INDEX(I.Electricity.P1Y1C2,7)="","",INDEX(I.Electricity.P1Y1C2,7))</f>
        <v/>
      </c>
      <c r="G1578" s="25"/>
      <c r="H1578" s="1" t="str">
        <f t="shared" si="56"/>
        <v>Complete</v>
      </c>
      <c r="I1578" s="48" t="s">
        <v>1388</v>
      </c>
    </row>
    <row r="1579" spans="2:9" ht="15" customHeight="1" x14ac:dyDescent="0.25">
      <c r="B1579" s="26" t="s">
        <v>1209</v>
      </c>
      <c r="C1579" s="1">
        <v>8</v>
      </c>
      <c r="D1579" s="27" t="s">
        <v>3226</v>
      </c>
      <c r="E1579" s="25"/>
      <c r="F1579" s="25" t="str">
        <f>IF(INDEX(I.Electricity.P1Y1C2,8)="","",INDEX(I.Electricity.P1Y1C2,8))</f>
        <v/>
      </c>
      <c r="G1579" s="25"/>
      <c r="H1579" s="1" t="str">
        <f t="shared" si="56"/>
        <v>Complete</v>
      </c>
      <c r="I1579" s="48" t="s">
        <v>1389</v>
      </c>
    </row>
    <row r="1580" spans="2:9" ht="15" customHeight="1" x14ac:dyDescent="0.25">
      <c r="B1580" s="26" t="s">
        <v>1209</v>
      </c>
      <c r="C1580" s="1">
        <v>9</v>
      </c>
      <c r="D1580" s="27" t="s">
        <v>3226</v>
      </c>
      <c r="E1580" s="25"/>
      <c r="F1580" s="25" t="str">
        <f>IF(INDEX(I.Electricity.P1Y1C2,9)="","",INDEX(I.Electricity.P1Y1C2,9))</f>
        <v/>
      </c>
      <c r="G1580" s="25"/>
      <c r="H1580" s="1" t="str">
        <f t="shared" si="56"/>
        <v>Complete</v>
      </c>
      <c r="I1580" s="48" t="s">
        <v>1390</v>
      </c>
    </row>
    <row r="1581" spans="2:9" ht="15" customHeight="1" x14ac:dyDescent="0.25">
      <c r="B1581" s="26" t="s">
        <v>1209</v>
      </c>
      <c r="C1581" s="1">
        <v>10</v>
      </c>
      <c r="D1581" s="27" t="s">
        <v>3226</v>
      </c>
      <c r="E1581" s="25"/>
      <c r="F1581" s="25" t="str">
        <f>IF(INDEX(I.Electricity.P1Y1C2,10)="","",INDEX(I.Electricity.P1Y1C2,10))</f>
        <v/>
      </c>
      <c r="G1581" s="25"/>
      <c r="H1581" s="1" t="str">
        <f t="shared" si="56"/>
        <v>Complete</v>
      </c>
      <c r="I1581" s="48" t="s">
        <v>1391</v>
      </c>
    </row>
    <row r="1582" spans="2:9" ht="15" customHeight="1" x14ac:dyDescent="0.25">
      <c r="B1582" s="26" t="s">
        <v>1209</v>
      </c>
      <c r="C1582" s="1">
        <v>11</v>
      </c>
      <c r="D1582" s="27" t="s">
        <v>3226</v>
      </c>
      <c r="E1582" s="25"/>
      <c r="F1582" s="25" t="str">
        <f>IF(INDEX(I.Electricity.P1Y1C2,11)="","",INDEX(I.Electricity.P1Y1C2,11))</f>
        <v/>
      </c>
      <c r="G1582" s="25"/>
      <c r="H1582" s="1" t="str">
        <f t="shared" si="56"/>
        <v>Complete</v>
      </c>
      <c r="I1582" s="48" t="s">
        <v>1392</v>
      </c>
    </row>
    <row r="1583" spans="2:9" ht="15" customHeight="1" x14ac:dyDescent="0.25">
      <c r="B1583" s="26" t="s">
        <v>1209</v>
      </c>
      <c r="C1583" s="1">
        <v>12</v>
      </c>
      <c r="D1583" s="27" t="s">
        <v>3226</v>
      </c>
      <c r="E1583" s="25"/>
      <c r="F1583" s="25" t="str">
        <f>IF(INDEX(I.Electricity.P1Y1C2,12)="","",INDEX(I.Electricity.P1Y1C2,12))</f>
        <v/>
      </c>
      <c r="G1583" s="25"/>
      <c r="H1583" s="1" t="str">
        <f t="shared" si="56"/>
        <v>Complete</v>
      </c>
      <c r="I1583" s="48" t="s">
        <v>1393</v>
      </c>
    </row>
    <row r="1584" spans="2:9" ht="15" customHeight="1" x14ac:dyDescent="0.25">
      <c r="B1584" s="26" t="s">
        <v>1209</v>
      </c>
      <c r="C1584" s="1">
        <v>13</v>
      </c>
      <c r="D1584" s="27" t="s">
        <v>3226</v>
      </c>
      <c r="E1584" s="25"/>
      <c r="F1584" s="25" t="str">
        <f>IF(INDEX(I.Electricity.P1Y1C2,13)="","",INDEX(I.Electricity.P1Y1C2,13))</f>
        <v/>
      </c>
      <c r="G1584" s="25"/>
      <c r="H1584" s="1" t="str">
        <f t="shared" si="56"/>
        <v>Complete</v>
      </c>
      <c r="I1584" s="48" t="s">
        <v>1394</v>
      </c>
    </row>
    <row r="1585" spans="2:9" ht="15" customHeight="1" x14ac:dyDescent="0.25">
      <c r="B1585" s="26" t="s">
        <v>1209</v>
      </c>
      <c r="C1585" s="1">
        <v>14</v>
      </c>
      <c r="D1585" s="27" t="s">
        <v>3226</v>
      </c>
      <c r="E1585" s="25"/>
      <c r="F1585" s="25" t="str">
        <f>IF(INDEX(I.Electricity.P1Y1C2,14)="","",INDEX(I.Electricity.P1Y1C2,14))</f>
        <v/>
      </c>
      <c r="G1585" s="25"/>
      <c r="H1585" s="1" t="str">
        <f t="shared" si="56"/>
        <v>Complete</v>
      </c>
      <c r="I1585" s="48" t="s">
        <v>1395</v>
      </c>
    </row>
    <row r="1586" spans="2:9" ht="15" customHeight="1" x14ac:dyDescent="0.25">
      <c r="B1586" s="26" t="s">
        <v>1209</v>
      </c>
      <c r="C1586" s="1">
        <v>15</v>
      </c>
      <c r="D1586" s="27" t="s">
        <v>3226</v>
      </c>
      <c r="E1586" s="25"/>
      <c r="F1586" s="25" t="str">
        <f>IF(INDEX(I.Electricity.P1Y1C2,15)="","",INDEX(I.Electricity.P1Y1C2,15))</f>
        <v/>
      </c>
      <c r="G1586" s="25"/>
      <c r="H1586" s="1" t="str">
        <f t="shared" si="56"/>
        <v>Complete</v>
      </c>
      <c r="I1586" s="48" t="s">
        <v>1396</v>
      </c>
    </row>
    <row r="1587" spans="2:9" ht="15" customHeight="1" x14ac:dyDescent="0.25">
      <c r="B1587" s="26" t="s">
        <v>1209</v>
      </c>
      <c r="C1587" s="1">
        <v>16</v>
      </c>
      <c r="D1587" s="27" t="s">
        <v>3226</v>
      </c>
      <c r="E1587" s="25"/>
      <c r="F1587" s="25" t="str">
        <f>IF(INDEX(I.Electricity.P1Y1C2,16)="","",INDEX(I.Electricity.P1Y1C2,16))</f>
        <v/>
      </c>
      <c r="G1587" s="25"/>
      <c r="H1587" s="1" t="str">
        <f t="shared" si="56"/>
        <v>Complete</v>
      </c>
      <c r="I1587" s="48" t="s">
        <v>1397</v>
      </c>
    </row>
    <row r="1588" spans="2:9" ht="15" customHeight="1" x14ac:dyDescent="0.25">
      <c r="B1588" s="26" t="s">
        <v>1209</v>
      </c>
      <c r="C1588" s="1">
        <v>17</v>
      </c>
      <c r="D1588" s="27" t="s">
        <v>3226</v>
      </c>
      <c r="E1588" s="25"/>
      <c r="F1588" s="25" t="str">
        <f>IF(INDEX(I.Electricity.P1Y1C2,17)="","",INDEX(I.Electricity.P1Y1C2,17))</f>
        <v/>
      </c>
      <c r="G1588" s="25"/>
      <c r="H1588" s="1" t="str">
        <f t="shared" si="56"/>
        <v>Complete</v>
      </c>
      <c r="I1588" s="48" t="s">
        <v>1398</v>
      </c>
    </row>
    <row r="1589" spans="2:9" ht="15" customHeight="1" x14ac:dyDescent="0.25">
      <c r="B1589" s="26" t="s">
        <v>1209</v>
      </c>
      <c r="C1589" s="1">
        <v>18</v>
      </c>
      <c r="D1589" s="27" t="s">
        <v>3226</v>
      </c>
      <c r="E1589" s="25"/>
      <c r="F1589" s="25" t="str">
        <f>IF(INDEX(I.Electricity.P1Y1C2,18)="","",INDEX(I.Electricity.P1Y1C2,18))</f>
        <v/>
      </c>
      <c r="G1589" s="25"/>
      <c r="H1589" s="1" t="str">
        <f t="shared" si="56"/>
        <v>Complete</v>
      </c>
      <c r="I1589" s="48" t="s">
        <v>1399</v>
      </c>
    </row>
    <row r="1590" spans="2:9" ht="15" customHeight="1" x14ac:dyDescent="0.25">
      <c r="B1590" s="26" t="s">
        <v>1209</v>
      </c>
      <c r="C1590" s="1">
        <v>19</v>
      </c>
      <c r="D1590" s="27" t="s">
        <v>3226</v>
      </c>
      <c r="E1590" s="25"/>
      <c r="F1590" s="25" t="str">
        <f>IF(INDEX(I.Electricity.P1Y1C2,19)="","",INDEX(I.Electricity.P1Y1C2,19))</f>
        <v/>
      </c>
      <c r="G1590" s="25"/>
      <c r="H1590" s="1" t="str">
        <f t="shared" si="56"/>
        <v>Complete</v>
      </c>
      <c r="I1590" s="48" t="s">
        <v>1400</v>
      </c>
    </row>
    <row r="1591" spans="2:9" ht="15" customHeight="1" x14ac:dyDescent="0.25">
      <c r="B1591" s="26" t="s">
        <v>1209</v>
      </c>
      <c r="C1591" s="1">
        <v>20</v>
      </c>
      <c r="D1591" s="27" t="s">
        <v>3226</v>
      </c>
      <c r="E1591" s="25"/>
      <c r="F1591" s="25" t="str">
        <f>IF(INDEX(I.Electricity.P1Y1C2,20)="","",INDEX(I.Electricity.P1Y1C2,20))</f>
        <v/>
      </c>
      <c r="G1591" s="25"/>
      <c r="H1591" s="1" t="str">
        <f t="shared" si="56"/>
        <v>Complete</v>
      </c>
      <c r="I1591" s="48" t="s">
        <v>1401</v>
      </c>
    </row>
    <row r="1592" spans="2:9" ht="15" customHeight="1" x14ac:dyDescent="0.25">
      <c r="B1592" s="26" t="s">
        <v>1209</v>
      </c>
      <c r="C1592" s="1">
        <v>21</v>
      </c>
      <c r="D1592" s="27" t="s">
        <v>3226</v>
      </c>
      <c r="E1592" s="25"/>
      <c r="F1592" s="25" t="str">
        <f>IF(INDEX(I.Electricity.P1Y1C2,21)="","",INDEX(I.Electricity.P1Y1C2,21))</f>
        <v/>
      </c>
      <c r="G1592" s="25"/>
      <c r="H1592" s="1" t="str">
        <f t="shared" si="56"/>
        <v>Complete</v>
      </c>
      <c r="I1592" s="48" t="s">
        <v>1402</v>
      </c>
    </row>
    <row r="1593" spans="2:9" ht="15" customHeight="1" x14ac:dyDescent="0.25">
      <c r="B1593" s="26" t="s">
        <v>1209</v>
      </c>
      <c r="C1593" s="1">
        <v>22</v>
      </c>
      <c r="D1593" s="27" t="s">
        <v>3226</v>
      </c>
      <c r="E1593" s="25"/>
      <c r="F1593" s="25" t="str">
        <f>IF(INDEX(I.Electricity.P1Y1C2,22)="","",INDEX(I.Electricity.P1Y1C2,22))</f>
        <v/>
      </c>
      <c r="G1593" s="25"/>
      <c r="H1593" s="1" t="str">
        <f t="shared" si="56"/>
        <v>Complete</v>
      </c>
      <c r="I1593" s="48" t="s">
        <v>1403</v>
      </c>
    </row>
    <row r="1594" spans="2:9" ht="15" customHeight="1" x14ac:dyDescent="0.25">
      <c r="B1594" s="26" t="s">
        <v>1209</v>
      </c>
      <c r="C1594" s="1">
        <v>23</v>
      </c>
      <c r="D1594" s="27" t="s">
        <v>3226</v>
      </c>
      <c r="E1594" s="25"/>
      <c r="F1594" s="25" t="str">
        <f>IF(INDEX(I.Electricity.P1Y1C2,23)="","",INDEX(I.Electricity.P1Y1C2,23))</f>
        <v/>
      </c>
      <c r="G1594" s="25"/>
      <c r="H1594" s="1" t="str">
        <f t="shared" si="56"/>
        <v>Complete</v>
      </c>
      <c r="I1594" s="48" t="s">
        <v>1404</v>
      </c>
    </row>
    <row r="1595" spans="2:9" ht="15" customHeight="1" x14ac:dyDescent="0.25">
      <c r="B1595" s="34" t="s">
        <v>1209</v>
      </c>
      <c r="C1595" s="35">
        <v>24</v>
      </c>
      <c r="D1595" s="46" t="s">
        <v>3226</v>
      </c>
      <c r="E1595" s="45"/>
      <c r="F1595" s="45" t="str">
        <f>IF(INDEX(I.Electricity.P1Y1C2,24)="","",INDEX(I.Electricity.P1Y1C2,24))</f>
        <v/>
      </c>
      <c r="G1595" s="45"/>
      <c r="H1595" s="35" t="str">
        <f t="shared" si="56"/>
        <v>Complete</v>
      </c>
      <c r="I1595" s="49" t="s">
        <v>1405</v>
      </c>
    </row>
    <row r="1596" spans="2:9" ht="15" customHeight="1" x14ac:dyDescent="0.25">
      <c r="B1596" s="26" t="s">
        <v>1210</v>
      </c>
      <c r="C1596" s="1">
        <v>1</v>
      </c>
      <c r="D1596" s="27" t="s">
        <v>3227</v>
      </c>
      <c r="E1596" s="25"/>
      <c r="F1596" s="25" t="str">
        <f>IF(INDEX(I.Electricity.P1Y2C2,1)="","",INDEX(I.Electricity.P1Y2C2,1))</f>
        <v/>
      </c>
      <c r="G1596" s="25"/>
      <c r="H1596" s="1" t="str">
        <f t="shared" si="56"/>
        <v>Complete</v>
      </c>
      <c r="I1596" s="48" t="s">
        <v>1406</v>
      </c>
    </row>
    <row r="1597" spans="2:9" ht="15" customHeight="1" x14ac:dyDescent="0.25">
      <c r="B1597" s="26" t="s">
        <v>1210</v>
      </c>
      <c r="C1597" s="1">
        <v>2</v>
      </c>
      <c r="D1597" s="27" t="s">
        <v>3227</v>
      </c>
      <c r="E1597" s="25"/>
      <c r="F1597" s="25" t="str">
        <f>IF(INDEX(I.Electricity.P1Y2C2,2)="","",INDEX(I.Electricity.P1Y2C2,2))</f>
        <v/>
      </c>
      <c r="G1597" s="25"/>
      <c r="H1597" s="1" t="str">
        <f t="shared" si="56"/>
        <v>Complete</v>
      </c>
      <c r="I1597" s="48" t="s">
        <v>1407</v>
      </c>
    </row>
    <row r="1598" spans="2:9" ht="15" customHeight="1" x14ac:dyDescent="0.25">
      <c r="B1598" s="26" t="s">
        <v>1210</v>
      </c>
      <c r="C1598" s="1">
        <v>3</v>
      </c>
      <c r="D1598" s="27" t="s">
        <v>3227</v>
      </c>
      <c r="E1598" s="25"/>
      <c r="F1598" s="25" t="str">
        <f>IF(INDEX(I.Electricity.P1Y2C2,3)="","",INDEX(I.Electricity.P1Y2C2,3))</f>
        <v/>
      </c>
      <c r="G1598" s="25"/>
      <c r="H1598" s="1" t="str">
        <f t="shared" si="56"/>
        <v>Complete</v>
      </c>
      <c r="I1598" s="48" t="s">
        <v>1408</v>
      </c>
    </row>
    <row r="1599" spans="2:9" ht="15" customHeight="1" x14ac:dyDescent="0.25">
      <c r="B1599" s="26" t="s">
        <v>1210</v>
      </c>
      <c r="C1599" s="1">
        <v>4</v>
      </c>
      <c r="D1599" s="27" t="s">
        <v>3227</v>
      </c>
      <c r="E1599" s="25"/>
      <c r="F1599" s="25" t="str">
        <f>IF(INDEX(I.Electricity.P1Y2C2,4)="","",INDEX(I.Electricity.P1Y2C2,4))</f>
        <v/>
      </c>
      <c r="G1599" s="25"/>
      <c r="H1599" s="1" t="str">
        <f t="shared" si="56"/>
        <v>Complete</v>
      </c>
      <c r="I1599" s="48" t="s">
        <v>1409</v>
      </c>
    </row>
    <row r="1600" spans="2:9" ht="15" customHeight="1" x14ac:dyDescent="0.25">
      <c r="B1600" s="26" t="s">
        <v>1210</v>
      </c>
      <c r="C1600" s="1">
        <v>5</v>
      </c>
      <c r="D1600" s="27" t="s">
        <v>3227</v>
      </c>
      <c r="E1600" s="25"/>
      <c r="F1600" s="25" t="str">
        <f>IF(INDEX(I.Electricity.P1Y2C2,5)="","",INDEX(I.Electricity.P1Y2C2,5))</f>
        <v/>
      </c>
      <c r="G1600" s="25"/>
      <c r="H1600" s="1" t="str">
        <f t="shared" si="56"/>
        <v>Complete</v>
      </c>
      <c r="I1600" s="48" t="s">
        <v>1410</v>
      </c>
    </row>
    <row r="1601" spans="2:9" ht="15" customHeight="1" x14ac:dyDescent="0.25">
      <c r="B1601" s="26" t="s">
        <v>1210</v>
      </c>
      <c r="C1601" s="1">
        <v>6</v>
      </c>
      <c r="D1601" s="27" t="s">
        <v>3227</v>
      </c>
      <c r="E1601" s="25"/>
      <c r="F1601" s="25" t="str">
        <f>IF(INDEX(I.Electricity.P1Y2C2,6)="","",INDEX(I.Electricity.P1Y2C2,6))</f>
        <v/>
      </c>
      <c r="G1601" s="25"/>
      <c r="H1601" s="1" t="str">
        <f t="shared" si="56"/>
        <v>Complete</v>
      </c>
      <c r="I1601" s="48" t="s">
        <v>1411</v>
      </c>
    </row>
    <row r="1602" spans="2:9" ht="15" customHeight="1" x14ac:dyDescent="0.25">
      <c r="B1602" s="26" t="s">
        <v>1210</v>
      </c>
      <c r="C1602" s="1">
        <v>7</v>
      </c>
      <c r="D1602" s="27" t="s">
        <v>3227</v>
      </c>
      <c r="E1602" s="25"/>
      <c r="F1602" s="25" t="str">
        <f>IF(INDEX(I.Electricity.P1Y2C2,7)="","",INDEX(I.Electricity.P1Y2C2,7))</f>
        <v/>
      </c>
      <c r="G1602" s="25"/>
      <c r="H1602" s="1" t="str">
        <f t="shared" si="56"/>
        <v>Complete</v>
      </c>
      <c r="I1602" s="48" t="s">
        <v>1412</v>
      </c>
    </row>
    <row r="1603" spans="2:9" ht="15" customHeight="1" x14ac:dyDescent="0.25">
      <c r="B1603" s="26" t="s">
        <v>1210</v>
      </c>
      <c r="C1603" s="1">
        <v>8</v>
      </c>
      <c r="D1603" s="27" t="s">
        <v>3227</v>
      </c>
      <c r="E1603" s="25"/>
      <c r="F1603" s="25" t="str">
        <f>IF(INDEX(I.Electricity.P1Y2C2,8)="","",INDEX(I.Electricity.P1Y2C2,8))</f>
        <v/>
      </c>
      <c r="G1603" s="25"/>
      <c r="H1603" s="1" t="str">
        <f t="shared" si="56"/>
        <v>Complete</v>
      </c>
      <c r="I1603" s="48" t="s">
        <v>1413</v>
      </c>
    </row>
    <row r="1604" spans="2:9" ht="15" customHeight="1" x14ac:dyDescent="0.25">
      <c r="B1604" s="26" t="s">
        <v>1210</v>
      </c>
      <c r="C1604" s="1">
        <v>9</v>
      </c>
      <c r="D1604" s="27" t="s">
        <v>3227</v>
      </c>
      <c r="E1604" s="25"/>
      <c r="F1604" s="25" t="str">
        <f>IF(INDEX(I.Electricity.P1Y2C2,9)="","",INDEX(I.Electricity.P1Y2C2,9))</f>
        <v/>
      </c>
      <c r="G1604" s="25"/>
      <c r="H1604" s="1" t="str">
        <f t="shared" si="56"/>
        <v>Complete</v>
      </c>
      <c r="I1604" s="48" t="s">
        <v>1414</v>
      </c>
    </row>
    <row r="1605" spans="2:9" ht="15" customHeight="1" x14ac:dyDescent="0.25">
      <c r="B1605" s="26" t="s">
        <v>1210</v>
      </c>
      <c r="C1605" s="1">
        <v>10</v>
      </c>
      <c r="D1605" s="27" t="s">
        <v>3227</v>
      </c>
      <c r="E1605" s="25"/>
      <c r="F1605" s="25" t="str">
        <f>IF(INDEX(I.Electricity.P1Y2C2,10)="","",INDEX(I.Electricity.P1Y2C2,10))</f>
        <v/>
      </c>
      <c r="G1605" s="25"/>
      <c r="H1605" s="1" t="str">
        <f t="shared" si="56"/>
        <v>Complete</v>
      </c>
      <c r="I1605" s="48" t="s">
        <v>1415</v>
      </c>
    </row>
    <row r="1606" spans="2:9" ht="15" customHeight="1" x14ac:dyDescent="0.25">
      <c r="B1606" s="26" t="s">
        <v>1210</v>
      </c>
      <c r="C1606" s="1">
        <v>11</v>
      </c>
      <c r="D1606" s="27" t="s">
        <v>3227</v>
      </c>
      <c r="E1606" s="25"/>
      <c r="F1606" s="25" t="str">
        <f>IF(INDEX(I.Electricity.P1Y2C2,11)="","",INDEX(I.Electricity.P1Y2C2,11))</f>
        <v/>
      </c>
      <c r="G1606" s="25"/>
      <c r="H1606" s="1" t="str">
        <f t="shared" si="56"/>
        <v>Complete</v>
      </c>
      <c r="I1606" s="48" t="s">
        <v>1416</v>
      </c>
    </row>
    <row r="1607" spans="2:9" ht="15" customHeight="1" x14ac:dyDescent="0.25">
      <c r="B1607" s="26" t="s">
        <v>1210</v>
      </c>
      <c r="C1607" s="1">
        <v>12</v>
      </c>
      <c r="D1607" s="27" t="s">
        <v>3227</v>
      </c>
      <c r="E1607" s="25"/>
      <c r="F1607" s="25" t="str">
        <f>IF(INDEX(I.Electricity.P1Y2C2,12)="","",INDEX(I.Electricity.P1Y2C2,12))</f>
        <v/>
      </c>
      <c r="G1607" s="25"/>
      <c r="H1607" s="1" t="str">
        <f t="shared" si="56"/>
        <v>Complete</v>
      </c>
      <c r="I1607" s="48" t="s">
        <v>1417</v>
      </c>
    </row>
    <row r="1608" spans="2:9" ht="15" customHeight="1" x14ac:dyDescent="0.25">
      <c r="B1608" s="26" t="s">
        <v>1210</v>
      </c>
      <c r="C1608" s="1">
        <v>13</v>
      </c>
      <c r="D1608" s="27" t="s">
        <v>3227</v>
      </c>
      <c r="E1608" s="25"/>
      <c r="F1608" s="25" t="str">
        <f>IF(INDEX(I.Electricity.P1Y2C2,13)="","",INDEX(I.Electricity.P1Y2C2,13))</f>
        <v/>
      </c>
      <c r="G1608" s="25"/>
      <c r="H1608" s="1" t="str">
        <f t="shared" si="56"/>
        <v>Complete</v>
      </c>
      <c r="I1608" s="48" t="s">
        <v>1418</v>
      </c>
    </row>
    <row r="1609" spans="2:9" ht="15" customHeight="1" x14ac:dyDescent="0.25">
      <c r="B1609" s="26" t="s">
        <v>1210</v>
      </c>
      <c r="C1609" s="1">
        <v>14</v>
      </c>
      <c r="D1609" s="27" t="s">
        <v>3227</v>
      </c>
      <c r="E1609" s="25"/>
      <c r="F1609" s="25" t="str">
        <f>IF(INDEX(I.Electricity.P1Y2C2,14)="","",INDEX(I.Electricity.P1Y2C2,14))</f>
        <v/>
      </c>
      <c r="G1609" s="25"/>
      <c r="H1609" s="1" t="str">
        <f t="shared" si="56"/>
        <v>Complete</v>
      </c>
      <c r="I1609" s="48" t="s">
        <v>1419</v>
      </c>
    </row>
    <row r="1610" spans="2:9" ht="15" customHeight="1" x14ac:dyDescent="0.25">
      <c r="B1610" s="26" t="s">
        <v>1210</v>
      </c>
      <c r="C1610" s="1">
        <v>15</v>
      </c>
      <c r="D1610" s="27" t="s">
        <v>3227</v>
      </c>
      <c r="E1610" s="25"/>
      <c r="F1610" s="25" t="str">
        <f>IF(INDEX(I.Electricity.P1Y2C2,15)="","",INDEX(I.Electricity.P1Y2C2,15))</f>
        <v/>
      </c>
      <c r="G1610" s="25"/>
      <c r="H1610" s="1" t="str">
        <f t="shared" si="56"/>
        <v>Complete</v>
      </c>
      <c r="I1610" s="48" t="s">
        <v>1420</v>
      </c>
    </row>
    <row r="1611" spans="2:9" ht="15" customHeight="1" x14ac:dyDescent="0.25">
      <c r="B1611" s="26" t="s">
        <v>1210</v>
      </c>
      <c r="C1611" s="1">
        <v>16</v>
      </c>
      <c r="D1611" s="27" t="s">
        <v>3227</v>
      </c>
      <c r="E1611" s="25"/>
      <c r="F1611" s="25" t="str">
        <f>IF(INDEX(I.Electricity.P1Y2C2,16)="","",INDEX(I.Electricity.P1Y2C2,16))</f>
        <v/>
      </c>
      <c r="G1611" s="25"/>
      <c r="H1611" s="1" t="str">
        <f t="shared" si="56"/>
        <v>Complete</v>
      </c>
      <c r="I1611" s="48" t="s">
        <v>1421</v>
      </c>
    </row>
    <row r="1612" spans="2:9" ht="15" customHeight="1" x14ac:dyDescent="0.25">
      <c r="B1612" s="26" t="s">
        <v>1210</v>
      </c>
      <c r="C1612" s="1">
        <v>17</v>
      </c>
      <c r="D1612" s="27" t="s">
        <v>3227</v>
      </c>
      <c r="E1612" s="25"/>
      <c r="F1612" s="25" t="str">
        <f>IF(INDEX(I.Electricity.P1Y2C2,17)="","",INDEX(I.Electricity.P1Y2C2,17))</f>
        <v/>
      </c>
      <c r="G1612" s="25"/>
      <c r="H1612" s="1" t="str">
        <f t="shared" si="56"/>
        <v>Complete</v>
      </c>
      <c r="I1612" s="48" t="s">
        <v>1422</v>
      </c>
    </row>
    <row r="1613" spans="2:9" ht="15" customHeight="1" x14ac:dyDescent="0.25">
      <c r="B1613" s="26" t="s">
        <v>1210</v>
      </c>
      <c r="C1613" s="1">
        <v>18</v>
      </c>
      <c r="D1613" s="27" t="s">
        <v>3227</v>
      </c>
      <c r="E1613" s="25"/>
      <c r="F1613" s="25" t="str">
        <f>IF(INDEX(I.Electricity.P1Y2C2,18)="","",INDEX(I.Electricity.P1Y2C2,18))</f>
        <v/>
      </c>
      <c r="G1613" s="25"/>
      <c r="H1613" s="1" t="str">
        <f t="shared" si="56"/>
        <v>Complete</v>
      </c>
      <c r="I1613" s="48" t="s">
        <v>1423</v>
      </c>
    </row>
    <row r="1614" spans="2:9" ht="15" customHeight="1" x14ac:dyDescent="0.25">
      <c r="B1614" s="26" t="s">
        <v>1210</v>
      </c>
      <c r="C1614" s="1">
        <v>19</v>
      </c>
      <c r="D1614" s="27" t="s">
        <v>3227</v>
      </c>
      <c r="E1614" s="25"/>
      <c r="F1614" s="25" t="str">
        <f>IF(INDEX(I.Electricity.P1Y2C2,19)="","",INDEX(I.Electricity.P1Y2C2,19))</f>
        <v/>
      </c>
      <c r="G1614" s="25"/>
      <c r="H1614" s="1" t="str">
        <f t="shared" si="56"/>
        <v>Complete</v>
      </c>
      <c r="I1614" s="48" t="s">
        <v>1424</v>
      </c>
    </row>
    <row r="1615" spans="2:9" ht="15" customHeight="1" x14ac:dyDescent="0.25">
      <c r="B1615" s="26" t="s">
        <v>1210</v>
      </c>
      <c r="C1615" s="1">
        <v>20</v>
      </c>
      <c r="D1615" s="27" t="s">
        <v>3227</v>
      </c>
      <c r="E1615" s="25"/>
      <c r="F1615" s="25" t="str">
        <f>IF(INDEX(I.Electricity.P1Y2C2,20)="","",INDEX(I.Electricity.P1Y2C2,20))</f>
        <v/>
      </c>
      <c r="G1615" s="25"/>
      <c r="H1615" s="1" t="str">
        <f t="shared" si="56"/>
        <v>Complete</v>
      </c>
      <c r="I1615" s="48" t="s">
        <v>1425</v>
      </c>
    </row>
    <row r="1616" spans="2:9" ht="15" customHeight="1" x14ac:dyDescent="0.25">
      <c r="B1616" s="26" t="s">
        <v>1210</v>
      </c>
      <c r="C1616" s="1">
        <v>21</v>
      </c>
      <c r="D1616" s="27" t="s">
        <v>3227</v>
      </c>
      <c r="E1616" s="25"/>
      <c r="F1616" s="25" t="str">
        <f>IF(INDEX(I.Electricity.P1Y2C2,21)="","",INDEX(I.Electricity.P1Y2C2,21))</f>
        <v/>
      </c>
      <c r="G1616" s="25"/>
      <c r="H1616" s="1" t="str">
        <f t="shared" si="56"/>
        <v>Complete</v>
      </c>
      <c r="I1616" s="48" t="s">
        <v>1426</v>
      </c>
    </row>
    <row r="1617" spans="2:9" ht="15" customHeight="1" x14ac:dyDescent="0.25">
      <c r="B1617" s="26" t="s">
        <v>1210</v>
      </c>
      <c r="C1617" s="1">
        <v>22</v>
      </c>
      <c r="D1617" s="27" t="s">
        <v>3227</v>
      </c>
      <c r="E1617" s="25"/>
      <c r="F1617" s="25" t="str">
        <f>IF(INDEX(I.Electricity.P1Y2C2,22)="","",INDEX(I.Electricity.P1Y2C2,22))</f>
        <v/>
      </c>
      <c r="G1617" s="25"/>
      <c r="H1617" s="1" t="str">
        <f t="shared" si="56"/>
        <v>Complete</v>
      </c>
      <c r="I1617" s="48" t="s">
        <v>1427</v>
      </c>
    </row>
    <row r="1618" spans="2:9" ht="15" customHeight="1" x14ac:dyDescent="0.25">
      <c r="B1618" s="26" t="s">
        <v>1210</v>
      </c>
      <c r="C1618" s="1">
        <v>23</v>
      </c>
      <c r="D1618" s="27" t="s">
        <v>3227</v>
      </c>
      <c r="E1618" s="25"/>
      <c r="F1618" s="25" t="str">
        <f>IF(INDEX(I.Electricity.P1Y2C2,23)="","",INDEX(I.Electricity.P1Y2C2,23))</f>
        <v/>
      </c>
      <c r="G1618" s="25"/>
      <c r="H1618" s="1" t="str">
        <f t="shared" si="56"/>
        <v>Complete</v>
      </c>
      <c r="I1618" s="48" t="s">
        <v>1428</v>
      </c>
    </row>
    <row r="1619" spans="2:9" ht="15" customHeight="1" x14ac:dyDescent="0.25">
      <c r="B1619" s="34" t="s">
        <v>1210</v>
      </c>
      <c r="C1619" s="35">
        <v>24</v>
      </c>
      <c r="D1619" s="46" t="s">
        <v>3227</v>
      </c>
      <c r="E1619" s="45"/>
      <c r="F1619" s="45" t="str">
        <f>IF(INDEX(I.Electricity.P1Y2C2,24)="","",INDEX(I.Electricity.P1Y2C2,24))</f>
        <v/>
      </c>
      <c r="G1619" s="45"/>
      <c r="H1619" s="35" t="str">
        <f t="shared" si="56"/>
        <v>Complete</v>
      </c>
      <c r="I1619" s="49" t="s">
        <v>1429</v>
      </c>
    </row>
    <row r="1620" spans="2:9" ht="15" customHeight="1" x14ac:dyDescent="0.25">
      <c r="B1620" s="26" t="s">
        <v>1211</v>
      </c>
      <c r="C1620" s="1">
        <v>1</v>
      </c>
      <c r="D1620" s="27" t="s">
        <v>3228</v>
      </c>
      <c r="E1620" s="25"/>
      <c r="F1620" s="25" t="str">
        <f>IF(INDEX(I.Electricity.P1Y3C2,1)="","",INDEX(I.Electricity.P1Y3C2,1))</f>
        <v/>
      </c>
      <c r="G1620" s="25"/>
      <c r="H1620" s="1" t="str">
        <f t="shared" ref="H1620:H1643" si="57">IF(AND(I.Facility.ProductCount&gt;=1,I.Product.P1Electricity="Yes",I.Developer.P1C2=TRUE,I.Product.P1Status&lt;&gt;"Yes",F1620=""),"Incomplete","Complete")</f>
        <v>Complete</v>
      </c>
      <c r="I1620" s="48" t="s">
        <v>1430</v>
      </c>
    </row>
    <row r="1621" spans="2:9" ht="15" customHeight="1" x14ac:dyDescent="0.25">
      <c r="B1621" s="26" t="s">
        <v>1211</v>
      </c>
      <c r="C1621" s="1">
        <v>2</v>
      </c>
      <c r="D1621" s="27" t="s">
        <v>3228</v>
      </c>
      <c r="E1621" s="25"/>
      <c r="F1621" s="25" t="str">
        <f>IF(INDEX(I.Electricity.P1Y3C2,2)="","",INDEX(I.Electricity.P1Y3C2,2))</f>
        <v/>
      </c>
      <c r="G1621" s="25"/>
      <c r="H1621" s="1" t="str">
        <f t="shared" si="57"/>
        <v>Complete</v>
      </c>
      <c r="I1621" s="48" t="s">
        <v>1431</v>
      </c>
    </row>
    <row r="1622" spans="2:9" ht="15" customHeight="1" x14ac:dyDescent="0.25">
      <c r="B1622" s="26" t="s">
        <v>1211</v>
      </c>
      <c r="C1622" s="1">
        <v>3</v>
      </c>
      <c r="D1622" s="27" t="s">
        <v>3228</v>
      </c>
      <c r="E1622" s="25"/>
      <c r="F1622" s="25" t="str">
        <f>IF(INDEX(I.Electricity.P1Y3C2,3)="","",INDEX(I.Electricity.P1Y3C2,3))</f>
        <v/>
      </c>
      <c r="G1622" s="25"/>
      <c r="H1622" s="1" t="str">
        <f t="shared" si="57"/>
        <v>Complete</v>
      </c>
      <c r="I1622" s="48" t="s">
        <v>1432</v>
      </c>
    </row>
    <row r="1623" spans="2:9" ht="15" customHeight="1" x14ac:dyDescent="0.25">
      <c r="B1623" s="26" t="s">
        <v>1211</v>
      </c>
      <c r="C1623" s="1">
        <v>4</v>
      </c>
      <c r="D1623" s="27" t="s">
        <v>3228</v>
      </c>
      <c r="E1623" s="25"/>
      <c r="F1623" s="25" t="str">
        <f>IF(INDEX(I.Electricity.P1Y3C2,4)="","",INDEX(I.Electricity.P1Y3C2,4))</f>
        <v/>
      </c>
      <c r="G1623" s="25"/>
      <c r="H1623" s="1" t="str">
        <f t="shared" si="57"/>
        <v>Complete</v>
      </c>
      <c r="I1623" s="48" t="s">
        <v>1433</v>
      </c>
    </row>
    <row r="1624" spans="2:9" ht="15" customHeight="1" x14ac:dyDescent="0.25">
      <c r="B1624" s="26" t="s">
        <v>1211</v>
      </c>
      <c r="C1624" s="1">
        <v>5</v>
      </c>
      <c r="D1624" s="27" t="s">
        <v>3228</v>
      </c>
      <c r="E1624" s="25"/>
      <c r="F1624" s="25" t="str">
        <f>IF(INDEX(I.Electricity.P1Y3C2,5)="","",INDEX(I.Electricity.P1Y3C2,5))</f>
        <v/>
      </c>
      <c r="G1624" s="25"/>
      <c r="H1624" s="1" t="str">
        <f t="shared" si="57"/>
        <v>Complete</v>
      </c>
      <c r="I1624" s="48" t="s">
        <v>1434</v>
      </c>
    </row>
    <row r="1625" spans="2:9" ht="15" customHeight="1" x14ac:dyDescent="0.25">
      <c r="B1625" s="26" t="s">
        <v>1211</v>
      </c>
      <c r="C1625" s="1">
        <v>6</v>
      </c>
      <c r="D1625" s="27" t="s">
        <v>3228</v>
      </c>
      <c r="E1625" s="25"/>
      <c r="F1625" s="25" t="str">
        <f>IF(INDEX(I.Electricity.P1Y3C2,6)="","",INDEX(I.Electricity.P1Y3C2,6))</f>
        <v/>
      </c>
      <c r="G1625" s="25"/>
      <c r="H1625" s="1" t="str">
        <f t="shared" si="57"/>
        <v>Complete</v>
      </c>
      <c r="I1625" s="48" t="s">
        <v>1435</v>
      </c>
    </row>
    <row r="1626" spans="2:9" ht="15" customHeight="1" x14ac:dyDescent="0.25">
      <c r="B1626" s="26" t="s">
        <v>1211</v>
      </c>
      <c r="C1626" s="1">
        <v>7</v>
      </c>
      <c r="D1626" s="27" t="s">
        <v>3228</v>
      </c>
      <c r="E1626" s="25"/>
      <c r="F1626" s="25" t="str">
        <f>IF(INDEX(I.Electricity.P1Y3C2,7)="","",INDEX(I.Electricity.P1Y3C2,7))</f>
        <v/>
      </c>
      <c r="G1626" s="25"/>
      <c r="H1626" s="1" t="str">
        <f t="shared" si="57"/>
        <v>Complete</v>
      </c>
      <c r="I1626" s="48" t="s">
        <v>1436</v>
      </c>
    </row>
    <row r="1627" spans="2:9" ht="15" customHeight="1" x14ac:dyDescent="0.25">
      <c r="B1627" s="26" t="s">
        <v>1211</v>
      </c>
      <c r="C1627" s="1">
        <v>8</v>
      </c>
      <c r="D1627" s="27" t="s">
        <v>3228</v>
      </c>
      <c r="E1627" s="25"/>
      <c r="F1627" s="25" t="str">
        <f>IF(INDEX(I.Electricity.P1Y3C2,8)="","",INDEX(I.Electricity.P1Y3C2,8))</f>
        <v/>
      </c>
      <c r="G1627" s="25"/>
      <c r="H1627" s="1" t="str">
        <f t="shared" si="57"/>
        <v>Complete</v>
      </c>
      <c r="I1627" s="48" t="s">
        <v>1437</v>
      </c>
    </row>
    <row r="1628" spans="2:9" ht="15" customHeight="1" x14ac:dyDescent="0.25">
      <c r="B1628" s="26" t="s">
        <v>1211</v>
      </c>
      <c r="C1628" s="1">
        <v>9</v>
      </c>
      <c r="D1628" s="27" t="s">
        <v>3228</v>
      </c>
      <c r="E1628" s="25"/>
      <c r="F1628" s="25" t="str">
        <f>IF(INDEX(I.Electricity.P1Y3C2,9)="","",INDEX(I.Electricity.P1Y3C2,9))</f>
        <v/>
      </c>
      <c r="G1628" s="25"/>
      <c r="H1628" s="1" t="str">
        <f t="shared" si="57"/>
        <v>Complete</v>
      </c>
      <c r="I1628" s="48" t="s">
        <v>1438</v>
      </c>
    </row>
    <row r="1629" spans="2:9" ht="15" customHeight="1" x14ac:dyDescent="0.25">
      <c r="B1629" s="26" t="s">
        <v>1211</v>
      </c>
      <c r="C1629" s="1">
        <v>10</v>
      </c>
      <c r="D1629" s="27" t="s">
        <v>3228</v>
      </c>
      <c r="E1629" s="25"/>
      <c r="F1629" s="25" t="str">
        <f>IF(INDEX(I.Electricity.P1Y3C2,10)="","",INDEX(I.Electricity.P1Y3C2,10))</f>
        <v/>
      </c>
      <c r="G1629" s="25"/>
      <c r="H1629" s="1" t="str">
        <f t="shared" si="57"/>
        <v>Complete</v>
      </c>
      <c r="I1629" s="48" t="s">
        <v>1439</v>
      </c>
    </row>
    <row r="1630" spans="2:9" ht="15" customHeight="1" x14ac:dyDescent="0.25">
      <c r="B1630" s="26" t="s">
        <v>1211</v>
      </c>
      <c r="C1630" s="1">
        <v>11</v>
      </c>
      <c r="D1630" s="27" t="s">
        <v>3228</v>
      </c>
      <c r="E1630" s="25"/>
      <c r="F1630" s="25" t="str">
        <f>IF(INDEX(I.Electricity.P1Y3C2,11)="","",INDEX(I.Electricity.P1Y3C2,11))</f>
        <v/>
      </c>
      <c r="G1630" s="25"/>
      <c r="H1630" s="1" t="str">
        <f t="shared" si="57"/>
        <v>Complete</v>
      </c>
      <c r="I1630" s="48" t="s">
        <v>1440</v>
      </c>
    </row>
    <row r="1631" spans="2:9" ht="15" customHeight="1" x14ac:dyDescent="0.25">
      <c r="B1631" s="26" t="s">
        <v>1211</v>
      </c>
      <c r="C1631" s="1">
        <v>12</v>
      </c>
      <c r="D1631" s="27" t="s">
        <v>3228</v>
      </c>
      <c r="E1631" s="25"/>
      <c r="F1631" s="25" t="str">
        <f>IF(INDEX(I.Electricity.P1Y3C2,12)="","",INDEX(I.Electricity.P1Y3C2,12))</f>
        <v/>
      </c>
      <c r="G1631" s="25"/>
      <c r="H1631" s="1" t="str">
        <f t="shared" si="57"/>
        <v>Complete</v>
      </c>
      <c r="I1631" s="48" t="s">
        <v>1441</v>
      </c>
    </row>
    <row r="1632" spans="2:9" ht="15" customHeight="1" x14ac:dyDescent="0.25">
      <c r="B1632" s="26" t="s">
        <v>1211</v>
      </c>
      <c r="C1632" s="1">
        <v>13</v>
      </c>
      <c r="D1632" s="27" t="s">
        <v>3228</v>
      </c>
      <c r="E1632" s="25"/>
      <c r="F1632" s="25" t="str">
        <f>IF(INDEX(I.Electricity.P1Y3C2,13)="","",INDEX(I.Electricity.P1Y3C2,13))</f>
        <v/>
      </c>
      <c r="G1632" s="25"/>
      <c r="H1632" s="1" t="str">
        <f t="shared" si="57"/>
        <v>Complete</v>
      </c>
      <c r="I1632" s="48" t="s">
        <v>1442</v>
      </c>
    </row>
    <row r="1633" spans="2:9" ht="15" customHeight="1" x14ac:dyDescent="0.25">
      <c r="B1633" s="26" t="s">
        <v>1211</v>
      </c>
      <c r="C1633" s="1">
        <v>14</v>
      </c>
      <c r="D1633" s="27" t="s">
        <v>3228</v>
      </c>
      <c r="E1633" s="25"/>
      <c r="F1633" s="25" t="str">
        <f>IF(INDEX(I.Electricity.P1Y3C2,14)="","",INDEX(I.Electricity.P1Y3C2,14))</f>
        <v/>
      </c>
      <c r="G1633" s="25"/>
      <c r="H1633" s="1" t="str">
        <f t="shared" si="57"/>
        <v>Complete</v>
      </c>
      <c r="I1633" s="48" t="s">
        <v>1443</v>
      </c>
    </row>
    <row r="1634" spans="2:9" ht="15" customHeight="1" x14ac:dyDescent="0.25">
      <c r="B1634" s="26" t="s">
        <v>1211</v>
      </c>
      <c r="C1634" s="1">
        <v>15</v>
      </c>
      <c r="D1634" s="27" t="s">
        <v>3228</v>
      </c>
      <c r="E1634" s="25"/>
      <c r="F1634" s="25" t="str">
        <f>IF(INDEX(I.Electricity.P1Y3C2,15)="","",INDEX(I.Electricity.P1Y3C2,15))</f>
        <v/>
      </c>
      <c r="G1634" s="25"/>
      <c r="H1634" s="1" t="str">
        <f t="shared" si="57"/>
        <v>Complete</v>
      </c>
      <c r="I1634" s="48" t="s">
        <v>1444</v>
      </c>
    </row>
    <row r="1635" spans="2:9" ht="15" customHeight="1" x14ac:dyDescent="0.25">
      <c r="B1635" s="26" t="s">
        <v>1211</v>
      </c>
      <c r="C1635" s="1">
        <v>16</v>
      </c>
      <c r="D1635" s="27" t="s">
        <v>3228</v>
      </c>
      <c r="E1635" s="25"/>
      <c r="F1635" s="25" t="str">
        <f>IF(INDEX(I.Electricity.P1Y3C2,16)="","",INDEX(I.Electricity.P1Y3C2,16))</f>
        <v/>
      </c>
      <c r="G1635" s="25"/>
      <c r="H1635" s="1" t="str">
        <f t="shared" si="57"/>
        <v>Complete</v>
      </c>
      <c r="I1635" s="48" t="s">
        <v>1445</v>
      </c>
    </row>
    <row r="1636" spans="2:9" ht="15" customHeight="1" x14ac:dyDescent="0.25">
      <c r="B1636" s="26" t="s">
        <v>1211</v>
      </c>
      <c r="C1636" s="1">
        <v>17</v>
      </c>
      <c r="D1636" s="27" t="s">
        <v>3228</v>
      </c>
      <c r="E1636" s="25"/>
      <c r="F1636" s="25" t="str">
        <f>IF(INDEX(I.Electricity.P1Y3C2,17)="","",INDEX(I.Electricity.P1Y3C2,17))</f>
        <v/>
      </c>
      <c r="G1636" s="25"/>
      <c r="H1636" s="1" t="str">
        <f t="shared" si="57"/>
        <v>Complete</v>
      </c>
      <c r="I1636" s="48" t="s">
        <v>1446</v>
      </c>
    </row>
    <row r="1637" spans="2:9" ht="15" customHeight="1" x14ac:dyDescent="0.25">
      <c r="B1637" s="26" t="s">
        <v>1211</v>
      </c>
      <c r="C1637" s="1">
        <v>18</v>
      </c>
      <c r="D1637" s="27" t="s">
        <v>3228</v>
      </c>
      <c r="E1637" s="25"/>
      <c r="F1637" s="25" t="str">
        <f>IF(INDEX(I.Electricity.P1Y3C2,18)="","",INDEX(I.Electricity.P1Y3C2,18))</f>
        <v/>
      </c>
      <c r="G1637" s="25"/>
      <c r="H1637" s="1" t="str">
        <f t="shared" si="57"/>
        <v>Complete</v>
      </c>
      <c r="I1637" s="48" t="s">
        <v>1447</v>
      </c>
    </row>
    <row r="1638" spans="2:9" ht="15" customHeight="1" x14ac:dyDescent="0.25">
      <c r="B1638" s="26" t="s">
        <v>1211</v>
      </c>
      <c r="C1638" s="1">
        <v>19</v>
      </c>
      <c r="D1638" s="27" t="s">
        <v>3228</v>
      </c>
      <c r="E1638" s="25"/>
      <c r="F1638" s="25" t="str">
        <f>IF(INDEX(I.Electricity.P1Y3C2,19)="","",INDEX(I.Electricity.P1Y3C2,19))</f>
        <v/>
      </c>
      <c r="G1638" s="25"/>
      <c r="H1638" s="1" t="str">
        <f t="shared" si="57"/>
        <v>Complete</v>
      </c>
      <c r="I1638" s="48" t="s">
        <v>1448</v>
      </c>
    </row>
    <row r="1639" spans="2:9" ht="15" customHeight="1" x14ac:dyDescent="0.25">
      <c r="B1639" s="26" t="s">
        <v>1211</v>
      </c>
      <c r="C1639" s="1">
        <v>20</v>
      </c>
      <c r="D1639" s="27" t="s">
        <v>3228</v>
      </c>
      <c r="E1639" s="25"/>
      <c r="F1639" s="25" t="str">
        <f>IF(INDEX(I.Electricity.P1Y3C2,20)="","",INDEX(I.Electricity.P1Y3C2,20))</f>
        <v/>
      </c>
      <c r="G1639" s="25"/>
      <c r="H1639" s="1" t="str">
        <f t="shared" si="57"/>
        <v>Complete</v>
      </c>
      <c r="I1639" s="48" t="s">
        <v>1449</v>
      </c>
    </row>
    <row r="1640" spans="2:9" ht="15" customHeight="1" x14ac:dyDescent="0.25">
      <c r="B1640" s="26" t="s">
        <v>1211</v>
      </c>
      <c r="C1640" s="1">
        <v>21</v>
      </c>
      <c r="D1640" s="27" t="s">
        <v>3228</v>
      </c>
      <c r="E1640" s="25"/>
      <c r="F1640" s="25" t="str">
        <f>IF(INDEX(I.Electricity.P1Y3C2,21)="","",INDEX(I.Electricity.P1Y3C2,21))</f>
        <v/>
      </c>
      <c r="G1640" s="25"/>
      <c r="H1640" s="1" t="str">
        <f t="shared" si="57"/>
        <v>Complete</v>
      </c>
      <c r="I1640" s="48" t="s">
        <v>1450</v>
      </c>
    </row>
    <row r="1641" spans="2:9" ht="15" customHeight="1" x14ac:dyDescent="0.25">
      <c r="B1641" s="26" t="s">
        <v>1211</v>
      </c>
      <c r="C1641" s="1">
        <v>22</v>
      </c>
      <c r="D1641" s="27" t="s">
        <v>3228</v>
      </c>
      <c r="E1641" s="25"/>
      <c r="F1641" s="25" t="str">
        <f>IF(INDEX(I.Electricity.P1Y3C2,22)="","",INDEX(I.Electricity.P1Y3C2,22))</f>
        <v/>
      </c>
      <c r="G1641" s="25"/>
      <c r="H1641" s="1" t="str">
        <f t="shared" si="57"/>
        <v>Complete</v>
      </c>
      <c r="I1641" s="48" t="s">
        <v>1451</v>
      </c>
    </row>
    <row r="1642" spans="2:9" ht="15" customHeight="1" x14ac:dyDescent="0.25">
      <c r="B1642" s="26" t="s">
        <v>1211</v>
      </c>
      <c r="C1642" s="1">
        <v>23</v>
      </c>
      <c r="D1642" s="27" t="s">
        <v>3228</v>
      </c>
      <c r="E1642" s="25"/>
      <c r="F1642" s="25" t="str">
        <f>IF(INDEX(I.Electricity.P1Y3C2,23)="","",INDEX(I.Electricity.P1Y3C2,23))</f>
        <v/>
      </c>
      <c r="G1642" s="25"/>
      <c r="H1642" s="1" t="str">
        <f t="shared" si="57"/>
        <v>Complete</v>
      </c>
      <c r="I1642" s="48" t="s">
        <v>1452</v>
      </c>
    </row>
    <row r="1643" spans="2:9" ht="15" customHeight="1" x14ac:dyDescent="0.25">
      <c r="B1643" s="34" t="s">
        <v>1211</v>
      </c>
      <c r="C1643" s="35">
        <v>24</v>
      </c>
      <c r="D1643" s="46" t="s">
        <v>3228</v>
      </c>
      <c r="E1643" s="45"/>
      <c r="F1643" s="45" t="str">
        <f>IF(INDEX(I.Electricity.P1Y3C2,24)="","",INDEX(I.Electricity.P1Y3C2,24))</f>
        <v/>
      </c>
      <c r="G1643" s="45"/>
      <c r="H1643" s="35" t="str">
        <f t="shared" si="57"/>
        <v>Complete</v>
      </c>
      <c r="I1643" s="49" t="s">
        <v>1453</v>
      </c>
    </row>
    <row r="1644" spans="2:9" ht="15" customHeight="1" x14ac:dyDescent="0.25">
      <c r="B1644" s="26" t="s">
        <v>1212</v>
      </c>
      <c r="C1644" s="1">
        <v>1</v>
      </c>
      <c r="D1644" s="27" t="s">
        <v>3229</v>
      </c>
      <c r="E1644" s="25"/>
      <c r="F1644" s="25" t="str">
        <f>IF(INDEX(I.Electricity.P1Y1C3,1)="","",INDEX(I.Electricity.P1Y1C3,1))</f>
        <v/>
      </c>
      <c r="G1644" s="25"/>
      <c r="H1644" s="1" t="str">
        <f t="shared" ref="H1644:H1685" si="58">IF(AND(I.Facility.ProductCount&gt;=1,I.Product.P1Electricity="Yes",I.Developer.P1C3=TRUE,F1644=""),"Incomplete","Complete")</f>
        <v>Complete</v>
      </c>
      <c r="I1644" s="48" t="s">
        <v>1454</v>
      </c>
    </row>
    <row r="1645" spans="2:9" ht="15" customHeight="1" x14ac:dyDescent="0.25">
      <c r="B1645" s="26" t="s">
        <v>1212</v>
      </c>
      <c r="C1645" s="1">
        <v>2</v>
      </c>
      <c r="D1645" s="27" t="s">
        <v>3229</v>
      </c>
      <c r="E1645" s="25"/>
      <c r="F1645" s="25" t="str">
        <f>IF(INDEX(I.Electricity.P1Y1C3,2)="","",INDEX(I.Electricity.P1Y1C3,2))</f>
        <v/>
      </c>
      <c r="G1645" s="25"/>
      <c r="H1645" s="1" t="str">
        <f t="shared" si="58"/>
        <v>Complete</v>
      </c>
      <c r="I1645" s="48" t="s">
        <v>1455</v>
      </c>
    </row>
    <row r="1646" spans="2:9" ht="15" customHeight="1" x14ac:dyDescent="0.25">
      <c r="B1646" s="26" t="s">
        <v>1212</v>
      </c>
      <c r="C1646" s="1">
        <v>3</v>
      </c>
      <c r="D1646" s="27" t="s">
        <v>3229</v>
      </c>
      <c r="E1646" s="25"/>
      <c r="F1646" s="25" t="str">
        <f>IF(INDEX(I.Electricity.P1Y1C3,3)="","",INDEX(I.Electricity.P1Y1C3,3))</f>
        <v/>
      </c>
      <c r="G1646" s="25"/>
      <c r="H1646" s="1" t="str">
        <f t="shared" si="58"/>
        <v>Complete</v>
      </c>
      <c r="I1646" s="48" t="s">
        <v>1456</v>
      </c>
    </row>
    <row r="1647" spans="2:9" ht="15" customHeight="1" x14ac:dyDescent="0.25">
      <c r="B1647" s="26" t="s">
        <v>1212</v>
      </c>
      <c r="C1647" s="1">
        <v>4</v>
      </c>
      <c r="D1647" s="27" t="s">
        <v>3229</v>
      </c>
      <c r="E1647" s="25"/>
      <c r="F1647" s="25" t="str">
        <f>IF(INDEX(I.Electricity.P1Y1C3,4)="","",INDEX(I.Electricity.P1Y1C3,4))</f>
        <v/>
      </c>
      <c r="G1647" s="25"/>
      <c r="H1647" s="1" t="str">
        <f t="shared" si="58"/>
        <v>Complete</v>
      </c>
      <c r="I1647" s="48" t="s">
        <v>1457</v>
      </c>
    </row>
    <row r="1648" spans="2:9" ht="15" customHeight="1" x14ac:dyDescent="0.25">
      <c r="B1648" s="26" t="s">
        <v>1212</v>
      </c>
      <c r="C1648" s="1">
        <v>5</v>
      </c>
      <c r="D1648" s="27" t="s">
        <v>3229</v>
      </c>
      <c r="E1648" s="25"/>
      <c r="F1648" s="25" t="str">
        <f>IF(INDEX(I.Electricity.P1Y1C3,5)="","",INDEX(I.Electricity.P1Y1C3,5))</f>
        <v/>
      </c>
      <c r="G1648" s="25"/>
      <c r="H1648" s="1" t="str">
        <f t="shared" si="58"/>
        <v>Complete</v>
      </c>
      <c r="I1648" s="48" t="s">
        <v>1458</v>
      </c>
    </row>
    <row r="1649" spans="2:9" ht="15" customHeight="1" x14ac:dyDescent="0.25">
      <c r="B1649" s="26" t="s">
        <v>1212</v>
      </c>
      <c r="C1649" s="1">
        <v>6</v>
      </c>
      <c r="D1649" s="27" t="s">
        <v>3229</v>
      </c>
      <c r="E1649" s="25"/>
      <c r="F1649" s="25" t="str">
        <f>IF(INDEX(I.Electricity.P1Y1C3,6)="","",INDEX(I.Electricity.P1Y1C3,6))</f>
        <v/>
      </c>
      <c r="G1649" s="25"/>
      <c r="H1649" s="1" t="str">
        <f t="shared" si="58"/>
        <v>Complete</v>
      </c>
      <c r="I1649" s="48" t="s">
        <v>1459</v>
      </c>
    </row>
    <row r="1650" spans="2:9" ht="15" customHeight="1" x14ac:dyDescent="0.25">
      <c r="B1650" s="26" t="s">
        <v>1212</v>
      </c>
      <c r="C1650" s="1">
        <v>7</v>
      </c>
      <c r="D1650" s="27" t="s">
        <v>3229</v>
      </c>
      <c r="E1650" s="25"/>
      <c r="F1650" s="25" t="str">
        <f>IF(INDEX(I.Electricity.P1Y1C3,7)="","",INDEX(I.Electricity.P1Y1C3,7))</f>
        <v/>
      </c>
      <c r="G1650" s="25"/>
      <c r="H1650" s="1" t="str">
        <f t="shared" si="58"/>
        <v>Complete</v>
      </c>
      <c r="I1650" s="48" t="s">
        <v>1460</v>
      </c>
    </row>
    <row r="1651" spans="2:9" ht="15" customHeight="1" x14ac:dyDescent="0.25">
      <c r="B1651" s="26" t="s">
        <v>1212</v>
      </c>
      <c r="C1651" s="1">
        <v>8</v>
      </c>
      <c r="D1651" s="27" t="s">
        <v>3229</v>
      </c>
      <c r="E1651" s="25"/>
      <c r="F1651" s="25" t="str">
        <f>IF(INDEX(I.Electricity.P1Y1C3,8)="","",INDEX(I.Electricity.P1Y1C3,8))</f>
        <v/>
      </c>
      <c r="G1651" s="25"/>
      <c r="H1651" s="1" t="str">
        <f t="shared" si="58"/>
        <v>Complete</v>
      </c>
      <c r="I1651" s="48" t="s">
        <v>1461</v>
      </c>
    </row>
    <row r="1652" spans="2:9" ht="15" customHeight="1" x14ac:dyDescent="0.25">
      <c r="B1652" s="26" t="s">
        <v>1212</v>
      </c>
      <c r="C1652" s="1">
        <v>9</v>
      </c>
      <c r="D1652" s="27" t="s">
        <v>3229</v>
      </c>
      <c r="E1652" s="25"/>
      <c r="F1652" s="25" t="str">
        <f>IF(INDEX(I.Electricity.P1Y1C3,9)="","",INDEX(I.Electricity.P1Y1C3,9))</f>
        <v/>
      </c>
      <c r="G1652" s="25"/>
      <c r="H1652" s="1" t="str">
        <f t="shared" si="58"/>
        <v>Complete</v>
      </c>
      <c r="I1652" s="48" t="s">
        <v>1462</v>
      </c>
    </row>
    <row r="1653" spans="2:9" ht="15" customHeight="1" x14ac:dyDescent="0.25">
      <c r="B1653" s="26" t="s">
        <v>1212</v>
      </c>
      <c r="C1653" s="1">
        <v>10</v>
      </c>
      <c r="D1653" s="27" t="s">
        <v>3229</v>
      </c>
      <c r="E1653" s="25"/>
      <c r="F1653" s="25" t="str">
        <f>IF(INDEX(I.Electricity.P1Y1C3,10)="","",INDEX(I.Electricity.P1Y1C3,10))</f>
        <v/>
      </c>
      <c r="G1653" s="25"/>
      <c r="H1653" s="1" t="str">
        <f t="shared" si="58"/>
        <v>Complete</v>
      </c>
      <c r="I1653" s="48" t="s">
        <v>1463</v>
      </c>
    </row>
    <row r="1654" spans="2:9" ht="15" customHeight="1" x14ac:dyDescent="0.25">
      <c r="B1654" s="26" t="s">
        <v>1212</v>
      </c>
      <c r="C1654" s="1">
        <v>11</v>
      </c>
      <c r="D1654" s="27" t="s">
        <v>3229</v>
      </c>
      <c r="E1654" s="25"/>
      <c r="F1654" s="25" t="str">
        <f>IF(INDEX(I.Electricity.P1Y1C3,11)="","",INDEX(I.Electricity.P1Y1C3,11))</f>
        <v/>
      </c>
      <c r="G1654" s="25"/>
      <c r="H1654" s="1" t="str">
        <f t="shared" si="58"/>
        <v>Complete</v>
      </c>
      <c r="I1654" s="48" t="s">
        <v>1464</v>
      </c>
    </row>
    <row r="1655" spans="2:9" ht="15" customHeight="1" x14ac:dyDescent="0.25">
      <c r="B1655" s="26" t="s">
        <v>1212</v>
      </c>
      <c r="C1655" s="1">
        <v>12</v>
      </c>
      <c r="D1655" s="27" t="s">
        <v>3229</v>
      </c>
      <c r="E1655" s="25"/>
      <c r="F1655" s="25" t="str">
        <f>IF(INDEX(I.Electricity.P1Y1C3,12)="","",INDEX(I.Electricity.P1Y1C3,12))</f>
        <v/>
      </c>
      <c r="G1655" s="25"/>
      <c r="H1655" s="1" t="str">
        <f t="shared" si="58"/>
        <v>Complete</v>
      </c>
      <c r="I1655" s="48" t="s">
        <v>1465</v>
      </c>
    </row>
    <row r="1656" spans="2:9" ht="15" customHeight="1" x14ac:dyDescent="0.25">
      <c r="B1656" s="26" t="s">
        <v>1212</v>
      </c>
      <c r="C1656" s="1">
        <v>13</v>
      </c>
      <c r="D1656" s="27" t="s">
        <v>3229</v>
      </c>
      <c r="E1656" s="25"/>
      <c r="F1656" s="25" t="str">
        <f>IF(INDEX(I.Electricity.P1Y1C3,13)="","",INDEX(I.Electricity.P1Y1C3,13))</f>
        <v/>
      </c>
      <c r="G1656" s="25"/>
      <c r="H1656" s="1" t="str">
        <f t="shared" si="58"/>
        <v>Complete</v>
      </c>
      <c r="I1656" s="48" t="s">
        <v>1466</v>
      </c>
    </row>
    <row r="1657" spans="2:9" ht="15" customHeight="1" x14ac:dyDescent="0.25">
      <c r="B1657" s="26" t="s">
        <v>1212</v>
      </c>
      <c r="C1657" s="1">
        <v>14</v>
      </c>
      <c r="D1657" s="27" t="s">
        <v>3229</v>
      </c>
      <c r="E1657" s="25"/>
      <c r="F1657" s="25" t="str">
        <f>IF(INDEX(I.Electricity.P1Y1C3,14)="","",INDEX(I.Electricity.P1Y1C3,14))</f>
        <v/>
      </c>
      <c r="G1657" s="25"/>
      <c r="H1657" s="1" t="str">
        <f t="shared" si="58"/>
        <v>Complete</v>
      </c>
      <c r="I1657" s="48" t="s">
        <v>1467</v>
      </c>
    </row>
    <row r="1658" spans="2:9" ht="15" customHeight="1" x14ac:dyDescent="0.25">
      <c r="B1658" s="26" t="s">
        <v>1212</v>
      </c>
      <c r="C1658" s="1">
        <v>15</v>
      </c>
      <c r="D1658" s="27" t="s">
        <v>3229</v>
      </c>
      <c r="E1658" s="25"/>
      <c r="F1658" s="25" t="str">
        <f>IF(INDEX(I.Electricity.P1Y1C3,15)="","",INDEX(I.Electricity.P1Y1C3,15))</f>
        <v/>
      </c>
      <c r="G1658" s="25"/>
      <c r="H1658" s="1" t="str">
        <f t="shared" si="58"/>
        <v>Complete</v>
      </c>
      <c r="I1658" s="48" t="s">
        <v>1468</v>
      </c>
    </row>
    <row r="1659" spans="2:9" ht="15" customHeight="1" x14ac:dyDescent="0.25">
      <c r="B1659" s="26" t="s">
        <v>1212</v>
      </c>
      <c r="C1659" s="1">
        <v>16</v>
      </c>
      <c r="D1659" s="27" t="s">
        <v>3229</v>
      </c>
      <c r="E1659" s="25"/>
      <c r="F1659" s="25" t="str">
        <f>IF(INDEX(I.Electricity.P1Y1C3,16)="","",INDEX(I.Electricity.P1Y1C3,16))</f>
        <v/>
      </c>
      <c r="G1659" s="25"/>
      <c r="H1659" s="1" t="str">
        <f t="shared" si="58"/>
        <v>Complete</v>
      </c>
      <c r="I1659" s="48" t="s">
        <v>1469</v>
      </c>
    </row>
    <row r="1660" spans="2:9" ht="15" customHeight="1" x14ac:dyDescent="0.25">
      <c r="B1660" s="26" t="s">
        <v>1212</v>
      </c>
      <c r="C1660" s="1">
        <v>17</v>
      </c>
      <c r="D1660" s="27" t="s">
        <v>3229</v>
      </c>
      <c r="E1660" s="25"/>
      <c r="F1660" s="25" t="str">
        <f>IF(INDEX(I.Electricity.P1Y1C3,17)="","",INDEX(I.Electricity.P1Y1C3,17))</f>
        <v/>
      </c>
      <c r="G1660" s="25"/>
      <c r="H1660" s="1" t="str">
        <f t="shared" si="58"/>
        <v>Complete</v>
      </c>
      <c r="I1660" s="48" t="s">
        <v>1470</v>
      </c>
    </row>
    <row r="1661" spans="2:9" ht="15" customHeight="1" x14ac:dyDescent="0.25">
      <c r="B1661" s="26" t="s">
        <v>1212</v>
      </c>
      <c r="C1661" s="1">
        <v>18</v>
      </c>
      <c r="D1661" s="27" t="s">
        <v>3229</v>
      </c>
      <c r="E1661" s="25"/>
      <c r="F1661" s="25" t="str">
        <f>IF(INDEX(I.Electricity.P1Y1C3,18)="","",INDEX(I.Electricity.P1Y1C3,18))</f>
        <v/>
      </c>
      <c r="G1661" s="25"/>
      <c r="H1661" s="1" t="str">
        <f t="shared" si="58"/>
        <v>Complete</v>
      </c>
      <c r="I1661" s="48" t="s">
        <v>1471</v>
      </c>
    </row>
    <row r="1662" spans="2:9" ht="15" customHeight="1" x14ac:dyDescent="0.25">
      <c r="B1662" s="26" t="s">
        <v>1212</v>
      </c>
      <c r="C1662" s="1">
        <v>19</v>
      </c>
      <c r="D1662" s="27" t="s">
        <v>3229</v>
      </c>
      <c r="E1662" s="25"/>
      <c r="F1662" s="25" t="str">
        <f>IF(INDEX(I.Electricity.P1Y1C3,19)="","",INDEX(I.Electricity.P1Y1C3,19))</f>
        <v/>
      </c>
      <c r="G1662" s="25"/>
      <c r="H1662" s="1" t="str">
        <f t="shared" si="58"/>
        <v>Complete</v>
      </c>
      <c r="I1662" s="48" t="s">
        <v>1472</v>
      </c>
    </row>
    <row r="1663" spans="2:9" ht="15" customHeight="1" x14ac:dyDescent="0.25">
      <c r="B1663" s="26" t="s">
        <v>1212</v>
      </c>
      <c r="C1663" s="1">
        <v>20</v>
      </c>
      <c r="D1663" s="27" t="s">
        <v>3229</v>
      </c>
      <c r="E1663" s="25"/>
      <c r="F1663" s="25" t="str">
        <f>IF(INDEX(I.Electricity.P1Y1C3,20)="","",INDEX(I.Electricity.P1Y1C3,20))</f>
        <v/>
      </c>
      <c r="G1663" s="25"/>
      <c r="H1663" s="1" t="str">
        <f t="shared" si="58"/>
        <v>Complete</v>
      </c>
      <c r="I1663" s="48" t="s">
        <v>1473</v>
      </c>
    </row>
    <row r="1664" spans="2:9" ht="15" customHeight="1" x14ac:dyDescent="0.25">
      <c r="B1664" s="34" t="s">
        <v>1212</v>
      </c>
      <c r="C1664" s="35">
        <v>21</v>
      </c>
      <c r="D1664" s="46" t="s">
        <v>3229</v>
      </c>
      <c r="E1664" s="45"/>
      <c r="F1664" s="45" t="str">
        <f>IF(INDEX(I.Electricity.P1Y1C3,21)="","",INDEX(I.Electricity.P1Y1C3,21))</f>
        <v/>
      </c>
      <c r="G1664" s="45"/>
      <c r="H1664" s="35" t="str">
        <f t="shared" si="58"/>
        <v>Complete</v>
      </c>
      <c r="I1664" s="49" t="s">
        <v>1474</v>
      </c>
    </row>
    <row r="1665" spans="2:9" ht="15" customHeight="1" x14ac:dyDescent="0.25">
      <c r="B1665" s="26" t="s">
        <v>1213</v>
      </c>
      <c r="C1665" s="1">
        <v>1</v>
      </c>
      <c r="D1665" s="27" t="s">
        <v>3230</v>
      </c>
      <c r="E1665" s="25"/>
      <c r="F1665" s="25" t="str">
        <f>IF(INDEX(I.Electricity.P1Y2C3,1)="","",INDEX(I.Electricity.P1Y2C3,1))</f>
        <v/>
      </c>
      <c r="G1665" s="25"/>
      <c r="H1665" s="1" t="str">
        <f t="shared" si="58"/>
        <v>Complete</v>
      </c>
      <c r="I1665" s="48" t="s">
        <v>1475</v>
      </c>
    </row>
    <row r="1666" spans="2:9" ht="15" customHeight="1" x14ac:dyDescent="0.25">
      <c r="B1666" s="26" t="s">
        <v>1213</v>
      </c>
      <c r="C1666" s="1">
        <v>2</v>
      </c>
      <c r="D1666" s="27" t="s">
        <v>3230</v>
      </c>
      <c r="E1666" s="25"/>
      <c r="F1666" s="25" t="str">
        <f>IF(INDEX(I.Electricity.P1Y2C3,2)="","",INDEX(I.Electricity.P1Y2C3,2))</f>
        <v/>
      </c>
      <c r="G1666" s="25"/>
      <c r="H1666" s="1" t="str">
        <f t="shared" si="58"/>
        <v>Complete</v>
      </c>
      <c r="I1666" s="48" t="s">
        <v>1476</v>
      </c>
    </row>
    <row r="1667" spans="2:9" ht="15" customHeight="1" x14ac:dyDescent="0.25">
      <c r="B1667" s="26" t="s">
        <v>1213</v>
      </c>
      <c r="C1667" s="1">
        <v>3</v>
      </c>
      <c r="D1667" s="27" t="s">
        <v>3230</v>
      </c>
      <c r="E1667" s="25"/>
      <c r="F1667" s="25" t="str">
        <f>IF(INDEX(I.Electricity.P1Y2C3,3)="","",INDEX(I.Electricity.P1Y2C3,3))</f>
        <v/>
      </c>
      <c r="G1667" s="25"/>
      <c r="H1667" s="1" t="str">
        <f t="shared" si="58"/>
        <v>Complete</v>
      </c>
      <c r="I1667" s="48" t="s">
        <v>1477</v>
      </c>
    </row>
    <row r="1668" spans="2:9" ht="15" customHeight="1" x14ac:dyDescent="0.25">
      <c r="B1668" s="26" t="s">
        <v>1213</v>
      </c>
      <c r="C1668" s="1">
        <v>4</v>
      </c>
      <c r="D1668" s="27" t="s">
        <v>3230</v>
      </c>
      <c r="E1668" s="25"/>
      <c r="F1668" s="25" t="str">
        <f>IF(INDEX(I.Electricity.P1Y2C3,4)="","",INDEX(I.Electricity.P1Y2C3,4))</f>
        <v/>
      </c>
      <c r="G1668" s="25"/>
      <c r="H1668" s="1" t="str">
        <f t="shared" si="58"/>
        <v>Complete</v>
      </c>
      <c r="I1668" s="48" t="s">
        <v>1478</v>
      </c>
    </row>
    <row r="1669" spans="2:9" ht="15" customHeight="1" x14ac:dyDescent="0.25">
      <c r="B1669" s="26" t="s">
        <v>1213</v>
      </c>
      <c r="C1669" s="1">
        <v>5</v>
      </c>
      <c r="D1669" s="27" t="s">
        <v>3230</v>
      </c>
      <c r="E1669" s="25"/>
      <c r="F1669" s="25" t="str">
        <f>IF(INDEX(I.Electricity.P1Y2C3,5)="","",INDEX(I.Electricity.P1Y2C3,5))</f>
        <v/>
      </c>
      <c r="G1669" s="25"/>
      <c r="H1669" s="1" t="str">
        <f t="shared" si="58"/>
        <v>Complete</v>
      </c>
      <c r="I1669" s="48" t="s">
        <v>1479</v>
      </c>
    </row>
    <row r="1670" spans="2:9" ht="15" customHeight="1" x14ac:dyDescent="0.25">
      <c r="B1670" s="26" t="s">
        <v>1213</v>
      </c>
      <c r="C1670" s="1">
        <v>6</v>
      </c>
      <c r="D1670" s="27" t="s">
        <v>3230</v>
      </c>
      <c r="E1670" s="25"/>
      <c r="F1670" s="25" t="str">
        <f>IF(INDEX(I.Electricity.P1Y2C3,6)="","",INDEX(I.Electricity.P1Y2C3,6))</f>
        <v/>
      </c>
      <c r="G1670" s="25"/>
      <c r="H1670" s="1" t="str">
        <f t="shared" si="58"/>
        <v>Complete</v>
      </c>
      <c r="I1670" s="48" t="s">
        <v>1480</v>
      </c>
    </row>
    <row r="1671" spans="2:9" ht="15" customHeight="1" x14ac:dyDescent="0.25">
      <c r="B1671" s="26" t="s">
        <v>1213</v>
      </c>
      <c r="C1671" s="1">
        <v>7</v>
      </c>
      <c r="D1671" s="27" t="s">
        <v>3230</v>
      </c>
      <c r="E1671" s="25"/>
      <c r="F1671" s="25" t="str">
        <f>IF(INDEX(I.Electricity.P1Y2C3,7)="","",INDEX(I.Electricity.P1Y2C3,7))</f>
        <v/>
      </c>
      <c r="G1671" s="25"/>
      <c r="H1671" s="1" t="str">
        <f t="shared" si="58"/>
        <v>Complete</v>
      </c>
      <c r="I1671" s="48" t="s">
        <v>1481</v>
      </c>
    </row>
    <row r="1672" spans="2:9" ht="15" customHeight="1" x14ac:dyDescent="0.25">
      <c r="B1672" s="26" t="s">
        <v>1213</v>
      </c>
      <c r="C1672" s="1">
        <v>8</v>
      </c>
      <c r="D1672" s="27" t="s">
        <v>3230</v>
      </c>
      <c r="E1672" s="25"/>
      <c r="F1672" s="25" t="str">
        <f>IF(INDEX(I.Electricity.P1Y2C3,8)="","",INDEX(I.Electricity.P1Y2C3,8))</f>
        <v/>
      </c>
      <c r="G1672" s="25"/>
      <c r="H1672" s="1" t="str">
        <f t="shared" si="58"/>
        <v>Complete</v>
      </c>
      <c r="I1672" s="48" t="s">
        <v>1482</v>
      </c>
    </row>
    <row r="1673" spans="2:9" ht="15" customHeight="1" x14ac:dyDescent="0.25">
      <c r="B1673" s="26" t="s">
        <v>1213</v>
      </c>
      <c r="C1673" s="1">
        <v>9</v>
      </c>
      <c r="D1673" s="27" t="s">
        <v>3230</v>
      </c>
      <c r="E1673" s="25"/>
      <c r="F1673" s="25" t="str">
        <f>IF(INDEX(I.Electricity.P1Y2C3,9)="","",INDEX(I.Electricity.P1Y2C3,9))</f>
        <v/>
      </c>
      <c r="G1673" s="25"/>
      <c r="H1673" s="1" t="str">
        <f t="shared" si="58"/>
        <v>Complete</v>
      </c>
      <c r="I1673" s="48" t="s">
        <v>1483</v>
      </c>
    </row>
    <row r="1674" spans="2:9" ht="15" customHeight="1" x14ac:dyDescent="0.25">
      <c r="B1674" s="26" t="s">
        <v>1213</v>
      </c>
      <c r="C1674" s="1">
        <v>10</v>
      </c>
      <c r="D1674" s="27" t="s">
        <v>3230</v>
      </c>
      <c r="E1674" s="25"/>
      <c r="F1674" s="25" t="str">
        <f>IF(INDEX(I.Electricity.P1Y2C3,10)="","",INDEX(I.Electricity.P1Y2C3,10))</f>
        <v/>
      </c>
      <c r="G1674" s="25"/>
      <c r="H1674" s="1" t="str">
        <f t="shared" si="58"/>
        <v>Complete</v>
      </c>
      <c r="I1674" s="48" t="s">
        <v>1484</v>
      </c>
    </row>
    <row r="1675" spans="2:9" ht="15" customHeight="1" x14ac:dyDescent="0.25">
      <c r="B1675" s="26" t="s">
        <v>1213</v>
      </c>
      <c r="C1675" s="1">
        <v>11</v>
      </c>
      <c r="D1675" s="27" t="s">
        <v>3230</v>
      </c>
      <c r="E1675" s="25"/>
      <c r="F1675" s="25" t="str">
        <f>IF(INDEX(I.Electricity.P1Y2C3,11)="","",INDEX(I.Electricity.P1Y2C3,11))</f>
        <v/>
      </c>
      <c r="G1675" s="25"/>
      <c r="H1675" s="1" t="str">
        <f t="shared" si="58"/>
        <v>Complete</v>
      </c>
      <c r="I1675" s="48" t="s">
        <v>1485</v>
      </c>
    </row>
    <row r="1676" spans="2:9" ht="15" customHeight="1" x14ac:dyDescent="0.25">
      <c r="B1676" s="26" t="s">
        <v>1213</v>
      </c>
      <c r="C1676" s="1">
        <v>12</v>
      </c>
      <c r="D1676" s="27" t="s">
        <v>3230</v>
      </c>
      <c r="E1676" s="25"/>
      <c r="F1676" s="25" t="str">
        <f>IF(INDEX(I.Electricity.P1Y2C3,12)="","",INDEX(I.Electricity.P1Y2C3,12))</f>
        <v/>
      </c>
      <c r="G1676" s="25"/>
      <c r="H1676" s="1" t="str">
        <f t="shared" si="58"/>
        <v>Complete</v>
      </c>
      <c r="I1676" s="48" t="s">
        <v>1486</v>
      </c>
    </row>
    <row r="1677" spans="2:9" ht="15" customHeight="1" x14ac:dyDescent="0.25">
      <c r="B1677" s="26" t="s">
        <v>1213</v>
      </c>
      <c r="C1677" s="1">
        <v>13</v>
      </c>
      <c r="D1677" s="27" t="s">
        <v>3230</v>
      </c>
      <c r="E1677" s="25"/>
      <c r="F1677" s="25" t="str">
        <f>IF(INDEX(I.Electricity.P1Y2C3,13)="","",INDEX(I.Electricity.P1Y2C3,13))</f>
        <v/>
      </c>
      <c r="G1677" s="25"/>
      <c r="H1677" s="1" t="str">
        <f t="shared" si="58"/>
        <v>Complete</v>
      </c>
      <c r="I1677" s="48" t="s">
        <v>1487</v>
      </c>
    </row>
    <row r="1678" spans="2:9" ht="15" customHeight="1" x14ac:dyDescent="0.25">
      <c r="B1678" s="26" t="s">
        <v>1213</v>
      </c>
      <c r="C1678" s="1">
        <v>14</v>
      </c>
      <c r="D1678" s="27" t="s">
        <v>3230</v>
      </c>
      <c r="E1678" s="25"/>
      <c r="F1678" s="25" t="str">
        <f>IF(INDEX(I.Electricity.P1Y2C3,14)="","",INDEX(I.Electricity.P1Y2C3,14))</f>
        <v/>
      </c>
      <c r="G1678" s="25"/>
      <c r="H1678" s="1" t="str">
        <f t="shared" si="58"/>
        <v>Complete</v>
      </c>
      <c r="I1678" s="48" t="s">
        <v>1488</v>
      </c>
    </row>
    <row r="1679" spans="2:9" ht="15" customHeight="1" x14ac:dyDescent="0.25">
      <c r="B1679" s="26" t="s">
        <v>1213</v>
      </c>
      <c r="C1679" s="1">
        <v>15</v>
      </c>
      <c r="D1679" s="27" t="s">
        <v>3230</v>
      </c>
      <c r="E1679" s="25"/>
      <c r="F1679" s="25" t="str">
        <f>IF(INDEX(I.Electricity.P1Y2C3,15)="","",INDEX(I.Electricity.P1Y2C3,15))</f>
        <v/>
      </c>
      <c r="G1679" s="25"/>
      <c r="H1679" s="1" t="str">
        <f t="shared" si="58"/>
        <v>Complete</v>
      </c>
      <c r="I1679" s="48" t="s">
        <v>1489</v>
      </c>
    </row>
    <row r="1680" spans="2:9" ht="15" customHeight="1" x14ac:dyDescent="0.25">
      <c r="B1680" s="26" t="s">
        <v>1213</v>
      </c>
      <c r="C1680" s="1">
        <v>16</v>
      </c>
      <c r="D1680" s="27" t="s">
        <v>3230</v>
      </c>
      <c r="E1680" s="25"/>
      <c r="F1680" s="25" t="str">
        <f>IF(INDEX(I.Electricity.P1Y2C3,16)="","",INDEX(I.Electricity.P1Y2C3,16))</f>
        <v/>
      </c>
      <c r="G1680" s="25"/>
      <c r="H1680" s="1" t="str">
        <f t="shared" si="58"/>
        <v>Complete</v>
      </c>
      <c r="I1680" s="48" t="s">
        <v>1490</v>
      </c>
    </row>
    <row r="1681" spans="2:9" ht="15" customHeight="1" x14ac:dyDescent="0.25">
      <c r="B1681" s="26" t="s">
        <v>1213</v>
      </c>
      <c r="C1681" s="1">
        <v>17</v>
      </c>
      <c r="D1681" s="27" t="s">
        <v>3230</v>
      </c>
      <c r="E1681" s="25"/>
      <c r="F1681" s="25" t="str">
        <f>IF(INDEX(I.Electricity.P1Y2C3,17)="","",INDEX(I.Electricity.P1Y2C3,17))</f>
        <v/>
      </c>
      <c r="G1681" s="25"/>
      <c r="H1681" s="1" t="str">
        <f t="shared" si="58"/>
        <v>Complete</v>
      </c>
      <c r="I1681" s="48" t="s">
        <v>1491</v>
      </c>
    </row>
    <row r="1682" spans="2:9" ht="15" customHeight="1" x14ac:dyDescent="0.25">
      <c r="B1682" s="26" t="s">
        <v>1213</v>
      </c>
      <c r="C1682" s="1">
        <v>18</v>
      </c>
      <c r="D1682" s="27" t="s">
        <v>3230</v>
      </c>
      <c r="E1682" s="25"/>
      <c r="F1682" s="25" t="str">
        <f>IF(INDEX(I.Electricity.P1Y2C3,18)="","",INDEX(I.Electricity.P1Y2C3,18))</f>
        <v/>
      </c>
      <c r="G1682" s="25"/>
      <c r="H1682" s="1" t="str">
        <f t="shared" si="58"/>
        <v>Complete</v>
      </c>
      <c r="I1682" s="48" t="s">
        <v>1492</v>
      </c>
    </row>
    <row r="1683" spans="2:9" ht="15" customHeight="1" x14ac:dyDescent="0.25">
      <c r="B1683" s="26" t="s">
        <v>1213</v>
      </c>
      <c r="C1683" s="1">
        <v>19</v>
      </c>
      <c r="D1683" s="27" t="s">
        <v>3230</v>
      </c>
      <c r="E1683" s="25"/>
      <c r="F1683" s="25" t="str">
        <f>IF(INDEX(I.Electricity.P1Y2C3,19)="","",INDEX(I.Electricity.P1Y2C3,19))</f>
        <v/>
      </c>
      <c r="G1683" s="25"/>
      <c r="H1683" s="1" t="str">
        <f t="shared" si="58"/>
        <v>Complete</v>
      </c>
      <c r="I1683" s="48" t="s">
        <v>1493</v>
      </c>
    </row>
    <row r="1684" spans="2:9" ht="15" customHeight="1" x14ac:dyDescent="0.25">
      <c r="B1684" s="26" t="s">
        <v>1213</v>
      </c>
      <c r="C1684" s="1">
        <v>20</v>
      </c>
      <c r="D1684" s="27" t="s">
        <v>3230</v>
      </c>
      <c r="E1684" s="25"/>
      <c r="F1684" s="25" t="str">
        <f>IF(INDEX(I.Electricity.P1Y2C3,20)="","",INDEX(I.Electricity.P1Y2C3,20))</f>
        <v/>
      </c>
      <c r="G1684" s="25"/>
      <c r="H1684" s="1" t="str">
        <f t="shared" si="58"/>
        <v>Complete</v>
      </c>
      <c r="I1684" s="48" t="s">
        <v>1494</v>
      </c>
    </row>
    <row r="1685" spans="2:9" ht="15" customHeight="1" x14ac:dyDescent="0.25">
      <c r="B1685" s="34" t="s">
        <v>1213</v>
      </c>
      <c r="C1685" s="35">
        <v>21</v>
      </c>
      <c r="D1685" s="46" t="s">
        <v>3230</v>
      </c>
      <c r="E1685" s="45"/>
      <c r="F1685" s="45" t="str">
        <f>IF(INDEX(I.Electricity.P1Y2C3,21)="","",INDEX(I.Electricity.P1Y2C3,21))</f>
        <v/>
      </c>
      <c r="G1685" s="45"/>
      <c r="H1685" s="35" t="str">
        <f t="shared" si="58"/>
        <v>Complete</v>
      </c>
      <c r="I1685" s="49" t="s">
        <v>1495</v>
      </c>
    </row>
    <row r="1686" spans="2:9" ht="15" customHeight="1" x14ac:dyDescent="0.25">
      <c r="B1686" s="26" t="s">
        <v>1214</v>
      </c>
      <c r="C1686" s="1">
        <v>1</v>
      </c>
      <c r="D1686" s="27" t="s">
        <v>3231</v>
      </c>
      <c r="E1686" s="25"/>
      <c r="F1686" s="25" t="str">
        <f>IF(INDEX(I.Electricity.P1Y3C3,1)="","",INDEX(I.Electricity.P1Y3C3,1))</f>
        <v/>
      </c>
      <c r="G1686" s="25"/>
      <c r="H1686" s="1" t="str">
        <f t="shared" ref="H1686:H1706" si="59">IF(AND(I.Facility.ProductCount&gt;=1,I.Product.P1Electricity="Yes",I.Developer.P1C3=TRUE,I.Product.P1Status&lt;&gt;"Yes",F1686=""),"Incomplete","Complete")</f>
        <v>Complete</v>
      </c>
      <c r="I1686" s="48" t="s">
        <v>1496</v>
      </c>
    </row>
    <row r="1687" spans="2:9" ht="15" customHeight="1" x14ac:dyDescent="0.25">
      <c r="B1687" s="26" t="s">
        <v>1214</v>
      </c>
      <c r="C1687" s="1">
        <v>2</v>
      </c>
      <c r="D1687" s="27" t="s">
        <v>3231</v>
      </c>
      <c r="E1687" s="25"/>
      <c r="F1687" s="25" t="str">
        <f>IF(INDEX(I.Electricity.P1Y3C3,2)="","",INDEX(I.Electricity.P1Y3C3,2))</f>
        <v/>
      </c>
      <c r="G1687" s="25"/>
      <c r="H1687" s="1" t="str">
        <f t="shared" si="59"/>
        <v>Complete</v>
      </c>
      <c r="I1687" s="48" t="s">
        <v>1497</v>
      </c>
    </row>
    <row r="1688" spans="2:9" ht="15" customHeight="1" x14ac:dyDescent="0.25">
      <c r="B1688" s="26" t="s">
        <v>1214</v>
      </c>
      <c r="C1688" s="1">
        <v>3</v>
      </c>
      <c r="D1688" s="27" t="s">
        <v>3231</v>
      </c>
      <c r="E1688" s="25"/>
      <c r="F1688" s="25" t="str">
        <f>IF(INDEX(I.Electricity.P1Y3C3,3)="","",INDEX(I.Electricity.P1Y3C3,3))</f>
        <v/>
      </c>
      <c r="G1688" s="25"/>
      <c r="H1688" s="1" t="str">
        <f t="shared" si="59"/>
        <v>Complete</v>
      </c>
      <c r="I1688" s="48" t="s">
        <v>1498</v>
      </c>
    </row>
    <row r="1689" spans="2:9" ht="15" customHeight="1" x14ac:dyDescent="0.25">
      <c r="B1689" s="26" t="s">
        <v>1214</v>
      </c>
      <c r="C1689" s="1">
        <v>4</v>
      </c>
      <c r="D1689" s="27" t="s">
        <v>3231</v>
      </c>
      <c r="E1689" s="25"/>
      <c r="F1689" s="25" t="str">
        <f>IF(INDEX(I.Electricity.P1Y3C3,4)="","",INDEX(I.Electricity.P1Y3C3,4))</f>
        <v/>
      </c>
      <c r="G1689" s="25"/>
      <c r="H1689" s="1" t="str">
        <f t="shared" si="59"/>
        <v>Complete</v>
      </c>
      <c r="I1689" s="48" t="s">
        <v>1499</v>
      </c>
    </row>
    <row r="1690" spans="2:9" ht="15" customHeight="1" x14ac:dyDescent="0.25">
      <c r="B1690" s="26" t="s">
        <v>1214</v>
      </c>
      <c r="C1690" s="1">
        <v>5</v>
      </c>
      <c r="D1690" s="27" t="s">
        <v>3231</v>
      </c>
      <c r="E1690" s="25"/>
      <c r="F1690" s="25" t="str">
        <f>IF(INDEX(I.Electricity.P1Y3C3,5)="","",INDEX(I.Electricity.P1Y3C3,5))</f>
        <v/>
      </c>
      <c r="G1690" s="25"/>
      <c r="H1690" s="1" t="str">
        <f t="shared" si="59"/>
        <v>Complete</v>
      </c>
      <c r="I1690" s="48" t="s">
        <v>1500</v>
      </c>
    </row>
    <row r="1691" spans="2:9" ht="15" customHeight="1" x14ac:dyDescent="0.25">
      <c r="B1691" s="26" t="s">
        <v>1214</v>
      </c>
      <c r="C1691" s="1">
        <v>6</v>
      </c>
      <c r="D1691" s="27" t="s">
        <v>3231</v>
      </c>
      <c r="E1691" s="25"/>
      <c r="F1691" s="25" t="str">
        <f>IF(INDEX(I.Electricity.P1Y3C3,6)="","",INDEX(I.Electricity.P1Y3C3,6))</f>
        <v/>
      </c>
      <c r="G1691" s="25"/>
      <c r="H1691" s="1" t="str">
        <f t="shared" si="59"/>
        <v>Complete</v>
      </c>
      <c r="I1691" s="48" t="s">
        <v>1501</v>
      </c>
    </row>
    <row r="1692" spans="2:9" ht="15" customHeight="1" x14ac:dyDescent="0.25">
      <c r="B1692" s="26" t="s">
        <v>1214</v>
      </c>
      <c r="C1692" s="1">
        <v>7</v>
      </c>
      <c r="D1692" s="27" t="s">
        <v>3231</v>
      </c>
      <c r="E1692" s="25"/>
      <c r="F1692" s="25" t="str">
        <f>IF(INDEX(I.Electricity.P1Y3C3,7)="","",INDEX(I.Electricity.P1Y3C3,7))</f>
        <v/>
      </c>
      <c r="G1692" s="25"/>
      <c r="H1692" s="1" t="str">
        <f t="shared" si="59"/>
        <v>Complete</v>
      </c>
      <c r="I1692" s="48" t="s">
        <v>1502</v>
      </c>
    </row>
    <row r="1693" spans="2:9" ht="15" customHeight="1" x14ac:dyDescent="0.25">
      <c r="B1693" s="26" t="s">
        <v>1214</v>
      </c>
      <c r="C1693" s="1">
        <v>8</v>
      </c>
      <c r="D1693" s="27" t="s">
        <v>3231</v>
      </c>
      <c r="E1693" s="25"/>
      <c r="F1693" s="25" t="str">
        <f>IF(INDEX(I.Electricity.P1Y3C3,8)="","",INDEX(I.Electricity.P1Y3C3,8))</f>
        <v/>
      </c>
      <c r="G1693" s="25"/>
      <c r="H1693" s="1" t="str">
        <f t="shared" si="59"/>
        <v>Complete</v>
      </c>
      <c r="I1693" s="48" t="s">
        <v>1503</v>
      </c>
    </row>
    <row r="1694" spans="2:9" ht="15" customHeight="1" x14ac:dyDescent="0.25">
      <c r="B1694" s="26" t="s">
        <v>1214</v>
      </c>
      <c r="C1694" s="1">
        <v>9</v>
      </c>
      <c r="D1694" s="27" t="s">
        <v>3231</v>
      </c>
      <c r="E1694" s="25"/>
      <c r="F1694" s="25" t="str">
        <f>IF(INDEX(I.Electricity.P1Y3C3,9)="","",INDEX(I.Electricity.P1Y3C3,9))</f>
        <v/>
      </c>
      <c r="G1694" s="25"/>
      <c r="H1694" s="1" t="str">
        <f t="shared" si="59"/>
        <v>Complete</v>
      </c>
      <c r="I1694" s="48" t="s">
        <v>1504</v>
      </c>
    </row>
    <row r="1695" spans="2:9" ht="15" customHeight="1" x14ac:dyDescent="0.25">
      <c r="B1695" s="26" t="s">
        <v>1214</v>
      </c>
      <c r="C1695" s="1">
        <v>10</v>
      </c>
      <c r="D1695" s="27" t="s">
        <v>3231</v>
      </c>
      <c r="E1695" s="25"/>
      <c r="F1695" s="25" t="str">
        <f>IF(INDEX(I.Electricity.P1Y3C3,10)="","",INDEX(I.Electricity.P1Y3C3,10))</f>
        <v/>
      </c>
      <c r="G1695" s="25"/>
      <c r="H1695" s="1" t="str">
        <f t="shared" si="59"/>
        <v>Complete</v>
      </c>
      <c r="I1695" s="48" t="s">
        <v>1505</v>
      </c>
    </row>
    <row r="1696" spans="2:9" ht="15" customHeight="1" x14ac:dyDescent="0.25">
      <c r="B1696" s="26" t="s">
        <v>1214</v>
      </c>
      <c r="C1696" s="1">
        <v>11</v>
      </c>
      <c r="D1696" s="27" t="s">
        <v>3231</v>
      </c>
      <c r="E1696" s="25"/>
      <c r="F1696" s="25" t="str">
        <f>IF(INDEX(I.Electricity.P1Y3C3,11)="","",INDEX(I.Electricity.P1Y3C3,11))</f>
        <v/>
      </c>
      <c r="G1696" s="25"/>
      <c r="H1696" s="1" t="str">
        <f t="shared" si="59"/>
        <v>Complete</v>
      </c>
      <c r="I1696" s="48" t="s">
        <v>1506</v>
      </c>
    </row>
    <row r="1697" spans="2:9" ht="15" customHeight="1" x14ac:dyDescent="0.25">
      <c r="B1697" s="26" t="s">
        <v>1214</v>
      </c>
      <c r="C1697" s="1">
        <v>12</v>
      </c>
      <c r="D1697" s="27" t="s">
        <v>3231</v>
      </c>
      <c r="E1697" s="25"/>
      <c r="F1697" s="25" t="str">
        <f>IF(INDEX(I.Electricity.P1Y3C3,12)="","",INDEX(I.Electricity.P1Y3C3,12))</f>
        <v/>
      </c>
      <c r="G1697" s="25"/>
      <c r="H1697" s="1" t="str">
        <f t="shared" si="59"/>
        <v>Complete</v>
      </c>
      <c r="I1697" s="48" t="s">
        <v>1507</v>
      </c>
    </row>
    <row r="1698" spans="2:9" ht="15" customHeight="1" x14ac:dyDescent="0.25">
      <c r="B1698" s="26" t="s">
        <v>1214</v>
      </c>
      <c r="C1698" s="1">
        <v>13</v>
      </c>
      <c r="D1698" s="27" t="s">
        <v>3231</v>
      </c>
      <c r="E1698" s="25"/>
      <c r="F1698" s="25" t="str">
        <f>IF(INDEX(I.Electricity.P1Y3C3,13)="","",INDEX(I.Electricity.P1Y3C3,13))</f>
        <v/>
      </c>
      <c r="G1698" s="25"/>
      <c r="H1698" s="1" t="str">
        <f t="shared" si="59"/>
        <v>Complete</v>
      </c>
      <c r="I1698" s="48" t="s">
        <v>1508</v>
      </c>
    </row>
    <row r="1699" spans="2:9" ht="15" customHeight="1" x14ac:dyDescent="0.25">
      <c r="B1699" s="26" t="s">
        <v>1214</v>
      </c>
      <c r="C1699" s="1">
        <v>14</v>
      </c>
      <c r="D1699" s="27" t="s">
        <v>3231</v>
      </c>
      <c r="E1699" s="25"/>
      <c r="F1699" s="25" t="str">
        <f>IF(INDEX(I.Electricity.P1Y3C3,14)="","",INDEX(I.Electricity.P1Y3C3,14))</f>
        <v/>
      </c>
      <c r="G1699" s="25"/>
      <c r="H1699" s="1" t="str">
        <f t="shared" si="59"/>
        <v>Complete</v>
      </c>
      <c r="I1699" s="48" t="s">
        <v>1509</v>
      </c>
    </row>
    <row r="1700" spans="2:9" ht="15" customHeight="1" x14ac:dyDescent="0.25">
      <c r="B1700" s="26" t="s">
        <v>1214</v>
      </c>
      <c r="C1700" s="1">
        <v>15</v>
      </c>
      <c r="D1700" s="27" t="s">
        <v>3231</v>
      </c>
      <c r="E1700" s="25"/>
      <c r="F1700" s="25" t="str">
        <f>IF(INDEX(I.Electricity.P1Y3C3,15)="","",INDEX(I.Electricity.P1Y3C3,15))</f>
        <v/>
      </c>
      <c r="G1700" s="25"/>
      <c r="H1700" s="1" t="str">
        <f t="shared" si="59"/>
        <v>Complete</v>
      </c>
      <c r="I1700" s="48" t="s">
        <v>1510</v>
      </c>
    </row>
    <row r="1701" spans="2:9" ht="15" customHeight="1" x14ac:dyDescent="0.25">
      <c r="B1701" s="26" t="s">
        <v>1214</v>
      </c>
      <c r="C1701" s="1">
        <v>16</v>
      </c>
      <c r="D1701" s="27" t="s">
        <v>3231</v>
      </c>
      <c r="E1701" s="25"/>
      <c r="F1701" s="25" t="str">
        <f>IF(INDEX(I.Electricity.P1Y3C3,16)="","",INDEX(I.Electricity.P1Y3C3,16))</f>
        <v/>
      </c>
      <c r="G1701" s="25"/>
      <c r="H1701" s="1" t="str">
        <f t="shared" si="59"/>
        <v>Complete</v>
      </c>
      <c r="I1701" s="48" t="s">
        <v>1511</v>
      </c>
    </row>
    <row r="1702" spans="2:9" ht="15" customHeight="1" x14ac:dyDescent="0.25">
      <c r="B1702" s="26" t="s">
        <v>1214</v>
      </c>
      <c r="C1702" s="1">
        <v>17</v>
      </c>
      <c r="D1702" s="27" t="s">
        <v>3231</v>
      </c>
      <c r="E1702" s="25"/>
      <c r="F1702" s="25" t="str">
        <f>IF(INDEX(I.Electricity.P1Y3C3,17)="","",INDEX(I.Electricity.P1Y3C3,17))</f>
        <v/>
      </c>
      <c r="G1702" s="25"/>
      <c r="H1702" s="1" t="str">
        <f t="shared" si="59"/>
        <v>Complete</v>
      </c>
      <c r="I1702" s="48" t="s">
        <v>1512</v>
      </c>
    </row>
    <row r="1703" spans="2:9" ht="15" customHeight="1" x14ac:dyDescent="0.25">
      <c r="B1703" s="26" t="s">
        <v>1214</v>
      </c>
      <c r="C1703" s="1">
        <v>18</v>
      </c>
      <c r="D1703" s="27" t="s">
        <v>3231</v>
      </c>
      <c r="E1703" s="25"/>
      <c r="F1703" s="25" t="str">
        <f>IF(INDEX(I.Electricity.P1Y3C3,18)="","",INDEX(I.Electricity.P1Y3C3,18))</f>
        <v/>
      </c>
      <c r="G1703" s="25"/>
      <c r="H1703" s="1" t="str">
        <f t="shared" si="59"/>
        <v>Complete</v>
      </c>
      <c r="I1703" s="48" t="s">
        <v>1513</v>
      </c>
    </row>
    <row r="1704" spans="2:9" ht="15" customHeight="1" x14ac:dyDescent="0.25">
      <c r="B1704" s="26" t="s">
        <v>1214</v>
      </c>
      <c r="C1704" s="1">
        <v>19</v>
      </c>
      <c r="D1704" s="27" t="s">
        <v>3231</v>
      </c>
      <c r="E1704" s="25"/>
      <c r="F1704" s="25" t="str">
        <f>IF(INDEX(I.Electricity.P1Y3C3,19)="","",INDEX(I.Electricity.P1Y3C3,19))</f>
        <v/>
      </c>
      <c r="G1704" s="25"/>
      <c r="H1704" s="1" t="str">
        <f t="shared" si="59"/>
        <v>Complete</v>
      </c>
      <c r="I1704" s="48" t="s">
        <v>1514</v>
      </c>
    </row>
    <row r="1705" spans="2:9" ht="15" customHeight="1" x14ac:dyDescent="0.25">
      <c r="B1705" s="26" t="s">
        <v>1214</v>
      </c>
      <c r="C1705" s="1">
        <v>20</v>
      </c>
      <c r="D1705" s="27" t="s">
        <v>3231</v>
      </c>
      <c r="E1705" s="25"/>
      <c r="F1705" s="25" t="str">
        <f>IF(INDEX(I.Electricity.P1Y3C3,20)="","",INDEX(I.Electricity.P1Y3C3,20))</f>
        <v/>
      </c>
      <c r="G1705" s="25"/>
      <c r="H1705" s="1" t="str">
        <f t="shared" si="59"/>
        <v>Complete</v>
      </c>
      <c r="I1705" s="48" t="s">
        <v>1515</v>
      </c>
    </row>
    <row r="1706" spans="2:9" ht="15" customHeight="1" x14ac:dyDescent="0.25">
      <c r="B1706" s="34" t="s">
        <v>1214</v>
      </c>
      <c r="C1706" s="35">
        <v>21</v>
      </c>
      <c r="D1706" s="46" t="s">
        <v>3231</v>
      </c>
      <c r="E1706" s="45"/>
      <c r="F1706" s="45" t="str">
        <f>IF(INDEX(I.Electricity.P1Y3C3,21)="","",INDEX(I.Electricity.P1Y3C3,21))</f>
        <v/>
      </c>
      <c r="G1706" s="45"/>
      <c r="H1706" s="35" t="str">
        <f t="shared" si="59"/>
        <v>Complete</v>
      </c>
      <c r="I1706" s="49" t="s">
        <v>1516</v>
      </c>
    </row>
    <row r="1707" spans="2:9" ht="15" customHeight="1" x14ac:dyDescent="0.25">
      <c r="B1707" s="26" t="s">
        <v>1215</v>
      </c>
      <c r="C1707" s="1">
        <v>1</v>
      </c>
      <c r="D1707" s="27" t="s">
        <v>3232</v>
      </c>
      <c r="E1707" s="25"/>
      <c r="F1707" s="25" t="str">
        <f>IF(INDEX(I.Electricity.P1Y1C4,1)="","",INDEX(I.Electricity.P1Y1C4,1))</f>
        <v/>
      </c>
      <c r="G1707" s="25"/>
      <c r="H1707" s="1" t="str">
        <f t="shared" ref="H1707:H1712" si="60">IF(AND(I.Facility.ProductCount&gt;=1,I.Product.P1Electricity="Yes",I.Developer.P1C4=TRUE,F1707=""),"Incomplete","Complete")</f>
        <v>Complete</v>
      </c>
      <c r="I1707" s="48" t="s">
        <v>1517</v>
      </c>
    </row>
    <row r="1708" spans="2:9" ht="15" customHeight="1" x14ac:dyDescent="0.25">
      <c r="B1708" s="26" t="s">
        <v>1215</v>
      </c>
      <c r="C1708" s="1">
        <v>2</v>
      </c>
      <c r="D1708" s="27" t="s">
        <v>3232</v>
      </c>
      <c r="E1708" s="25"/>
      <c r="F1708" s="25" t="str">
        <f>IF(INDEX(I.Electricity.P1Y1C4,2)="","",INDEX(I.Electricity.P1Y1C4,2))</f>
        <v/>
      </c>
      <c r="G1708" s="25"/>
      <c r="H1708" s="1" t="str">
        <f t="shared" si="60"/>
        <v>Complete</v>
      </c>
      <c r="I1708" s="48" t="s">
        <v>1518</v>
      </c>
    </row>
    <row r="1709" spans="2:9" ht="15" customHeight="1" x14ac:dyDescent="0.25">
      <c r="B1709" s="34" t="s">
        <v>1215</v>
      </c>
      <c r="C1709" s="35">
        <v>3</v>
      </c>
      <c r="D1709" s="46" t="s">
        <v>3232</v>
      </c>
      <c r="E1709" s="45"/>
      <c r="F1709" s="45" t="str">
        <f>IF(INDEX(I.Electricity.P1Y1C4,3)="","",INDEX(I.Electricity.P1Y1C4,3))</f>
        <v/>
      </c>
      <c r="G1709" s="45"/>
      <c r="H1709" s="35" t="str">
        <f t="shared" si="60"/>
        <v>Complete</v>
      </c>
      <c r="I1709" s="49" t="s">
        <v>1519</v>
      </c>
    </row>
    <row r="1710" spans="2:9" ht="15" customHeight="1" x14ac:dyDescent="0.25">
      <c r="B1710" s="26" t="s">
        <v>1216</v>
      </c>
      <c r="C1710" s="1">
        <v>1</v>
      </c>
      <c r="D1710" s="27" t="s">
        <v>3233</v>
      </c>
      <c r="E1710" s="25"/>
      <c r="F1710" s="25" t="str">
        <f>IF(INDEX(I.Electricity.P1Y2C4,1)="","",INDEX(I.Electricity.P1Y2C4,1))</f>
        <v/>
      </c>
      <c r="G1710" s="25"/>
      <c r="H1710" s="1" t="str">
        <f t="shared" si="60"/>
        <v>Complete</v>
      </c>
      <c r="I1710" s="48" t="s">
        <v>1520</v>
      </c>
    </row>
    <row r="1711" spans="2:9" ht="15" customHeight="1" x14ac:dyDescent="0.25">
      <c r="B1711" s="26" t="s">
        <v>1216</v>
      </c>
      <c r="C1711" s="1">
        <v>2</v>
      </c>
      <c r="D1711" s="27" t="s">
        <v>3233</v>
      </c>
      <c r="E1711" s="25"/>
      <c r="F1711" s="25" t="str">
        <f>IF(INDEX(I.Electricity.P1Y2C4,2)="","",INDEX(I.Electricity.P1Y2C4,2))</f>
        <v/>
      </c>
      <c r="G1711" s="25"/>
      <c r="H1711" s="1" t="str">
        <f t="shared" si="60"/>
        <v>Complete</v>
      </c>
      <c r="I1711" s="48" t="s">
        <v>1521</v>
      </c>
    </row>
    <row r="1712" spans="2:9" ht="15" customHeight="1" x14ac:dyDescent="0.25">
      <c r="B1712" s="34" t="s">
        <v>1216</v>
      </c>
      <c r="C1712" s="35">
        <v>3</v>
      </c>
      <c r="D1712" s="46" t="s">
        <v>3233</v>
      </c>
      <c r="E1712" s="45"/>
      <c r="F1712" s="45" t="str">
        <f>IF(INDEX(I.Electricity.P1Y2C4,3)="","",INDEX(I.Electricity.P1Y2C4,3))</f>
        <v/>
      </c>
      <c r="G1712" s="45"/>
      <c r="H1712" s="35" t="str">
        <f t="shared" si="60"/>
        <v>Complete</v>
      </c>
      <c r="I1712" s="49" t="s">
        <v>1522</v>
      </c>
    </row>
    <row r="1713" spans="2:9" ht="15" customHeight="1" x14ac:dyDescent="0.25">
      <c r="B1713" s="26" t="s">
        <v>1217</v>
      </c>
      <c r="C1713" s="1">
        <v>1</v>
      </c>
      <c r="D1713" s="27" t="s">
        <v>3234</v>
      </c>
      <c r="E1713" s="25"/>
      <c r="F1713" s="25" t="str">
        <f>IF(INDEX(I.Electricity.P1Y3C4,1)="","",INDEX(I.Electricity.P1Y3C4,1))</f>
        <v/>
      </c>
      <c r="G1713" s="25"/>
      <c r="H1713" s="1" t="str">
        <f>IF(AND(I.Facility.ProductCount&gt;=1,I.Product.P1Electricity="Yes",I.Developer.P1C4=TRUE,I.Product.P1Status&lt;&gt;"Yes",F1713=""),"Incomplete","Complete")</f>
        <v>Complete</v>
      </c>
      <c r="I1713" s="48" t="s">
        <v>1523</v>
      </c>
    </row>
    <row r="1714" spans="2:9" ht="15" customHeight="1" x14ac:dyDescent="0.25">
      <c r="B1714" s="26" t="s">
        <v>1217</v>
      </c>
      <c r="C1714" s="1">
        <v>2</v>
      </c>
      <c r="D1714" s="27" t="s">
        <v>3234</v>
      </c>
      <c r="E1714" s="25"/>
      <c r="F1714" s="25" t="str">
        <f>IF(INDEX(I.Electricity.P1Y3C4,2)="","",INDEX(I.Electricity.P1Y3C4,2))</f>
        <v/>
      </c>
      <c r="G1714" s="25"/>
      <c r="H1714" s="1" t="str">
        <f>IF(AND(I.Facility.ProductCount&gt;=1,I.Product.P1Electricity="Yes",I.Developer.P1C4=TRUE,I.Product.P1Status&lt;&gt;"Yes",F1714=""),"Incomplete","Complete")</f>
        <v>Complete</v>
      </c>
      <c r="I1714" s="48" t="s">
        <v>1524</v>
      </c>
    </row>
    <row r="1715" spans="2:9" ht="15" customHeight="1" x14ac:dyDescent="0.25">
      <c r="B1715" s="34" t="s">
        <v>1217</v>
      </c>
      <c r="C1715" s="35">
        <v>3</v>
      </c>
      <c r="D1715" s="46" t="s">
        <v>3234</v>
      </c>
      <c r="E1715" s="45"/>
      <c r="F1715" s="45" t="str">
        <f>IF(INDEX(I.Electricity.P1Y3C4,3)="","",INDEX(I.Electricity.P1Y3C4,3))</f>
        <v/>
      </c>
      <c r="G1715" s="45"/>
      <c r="H1715" s="35" t="str">
        <f>IF(AND(I.Facility.ProductCount&gt;=1,I.Product.P1Electricity="Yes",I.Developer.P1C4=TRUE,I.Product.P1Status&lt;&gt;"Yes",F1715=""),"Incomplete","Complete")</f>
        <v>Complete</v>
      </c>
      <c r="I1715" s="49" t="s">
        <v>1525</v>
      </c>
    </row>
    <row r="1716" spans="2:9" ht="15" customHeight="1" x14ac:dyDescent="0.25">
      <c r="B1716" s="26" t="s">
        <v>1218</v>
      </c>
      <c r="C1716" s="1">
        <v>1</v>
      </c>
      <c r="D1716" s="27" t="s">
        <v>3235</v>
      </c>
      <c r="E1716" s="25"/>
      <c r="F1716" s="25" t="str">
        <f>IF(INDEX(I.Electricity.P1Y1C5,1)="","",INDEX(I.Electricity.P1Y1C5,1))</f>
        <v/>
      </c>
      <c r="G1716" s="25"/>
      <c r="H1716" s="1" t="str">
        <f t="shared" ref="H1716:H1721" si="61">IF(AND(I.Facility.ProductCount&gt;=1,I.Product.P1Electricity="Yes",I.Developer.P1C5=TRUE,F1716=""),"Incomplete","Complete")</f>
        <v>Complete</v>
      </c>
      <c r="I1716" s="48" t="s">
        <v>1526</v>
      </c>
    </row>
    <row r="1717" spans="2:9" ht="15" customHeight="1" x14ac:dyDescent="0.25">
      <c r="B1717" s="26" t="s">
        <v>1218</v>
      </c>
      <c r="C1717" s="1">
        <v>2</v>
      </c>
      <c r="D1717" s="27" t="s">
        <v>3235</v>
      </c>
      <c r="E1717" s="25"/>
      <c r="F1717" s="25" t="str">
        <f>IF(INDEX(I.Electricity.P1Y1C5,2)="","",INDEX(I.Electricity.P1Y1C5,2))</f>
        <v/>
      </c>
      <c r="G1717" s="25"/>
      <c r="H1717" s="1" t="str">
        <f t="shared" si="61"/>
        <v>Complete</v>
      </c>
      <c r="I1717" s="48" t="s">
        <v>1527</v>
      </c>
    </row>
    <row r="1718" spans="2:9" ht="15" customHeight="1" x14ac:dyDescent="0.25">
      <c r="B1718" s="34" t="s">
        <v>1218</v>
      </c>
      <c r="C1718" s="35">
        <v>3</v>
      </c>
      <c r="D1718" s="46" t="s">
        <v>3235</v>
      </c>
      <c r="E1718" s="45"/>
      <c r="F1718" s="45" t="str">
        <f>IF(INDEX(I.Electricity.P1Y1C5,3)="","",INDEX(I.Electricity.P1Y1C5,3))</f>
        <v/>
      </c>
      <c r="G1718" s="45"/>
      <c r="H1718" s="35" t="str">
        <f t="shared" si="61"/>
        <v>Complete</v>
      </c>
      <c r="I1718" s="49" t="s">
        <v>1528</v>
      </c>
    </row>
    <row r="1719" spans="2:9" ht="15" customHeight="1" x14ac:dyDescent="0.25">
      <c r="B1719" s="26" t="s">
        <v>1219</v>
      </c>
      <c r="C1719" s="1">
        <v>1</v>
      </c>
      <c r="D1719" s="27" t="s">
        <v>3236</v>
      </c>
      <c r="E1719" s="25"/>
      <c r="F1719" s="25" t="str">
        <f>IF(INDEX(I.Electricity.P1Y2C5,1)="","",INDEX(I.Electricity.P1Y2C5,1))</f>
        <v/>
      </c>
      <c r="G1719" s="25"/>
      <c r="H1719" s="1" t="str">
        <f t="shared" si="61"/>
        <v>Complete</v>
      </c>
      <c r="I1719" s="48" t="s">
        <v>1529</v>
      </c>
    </row>
    <row r="1720" spans="2:9" ht="15" customHeight="1" x14ac:dyDescent="0.25">
      <c r="B1720" s="26" t="s">
        <v>1219</v>
      </c>
      <c r="C1720" s="1">
        <v>2</v>
      </c>
      <c r="D1720" s="27" t="s">
        <v>3236</v>
      </c>
      <c r="E1720" s="25"/>
      <c r="F1720" s="25" t="str">
        <f>IF(INDEX(I.Electricity.P1Y2C5,2)="","",INDEX(I.Electricity.P1Y2C5,2))</f>
        <v/>
      </c>
      <c r="G1720" s="25"/>
      <c r="H1720" s="1" t="str">
        <f t="shared" si="61"/>
        <v>Complete</v>
      </c>
      <c r="I1720" s="48" t="s">
        <v>1530</v>
      </c>
    </row>
    <row r="1721" spans="2:9" ht="15" customHeight="1" x14ac:dyDescent="0.25">
      <c r="B1721" s="34" t="s">
        <v>1219</v>
      </c>
      <c r="C1721" s="35">
        <v>3</v>
      </c>
      <c r="D1721" s="46" t="s">
        <v>3236</v>
      </c>
      <c r="E1721" s="45"/>
      <c r="F1721" s="45" t="str">
        <f>IF(INDEX(I.Electricity.P1Y2C5,3)="","",INDEX(I.Electricity.P1Y2C5,3))</f>
        <v/>
      </c>
      <c r="G1721" s="45"/>
      <c r="H1721" s="35" t="str">
        <f t="shared" si="61"/>
        <v>Complete</v>
      </c>
      <c r="I1721" s="49" t="s">
        <v>1531</v>
      </c>
    </row>
    <row r="1722" spans="2:9" ht="15" customHeight="1" x14ac:dyDescent="0.25">
      <c r="B1722" s="26" t="s">
        <v>1220</v>
      </c>
      <c r="C1722" s="1">
        <v>1</v>
      </c>
      <c r="D1722" s="27" t="s">
        <v>3237</v>
      </c>
      <c r="E1722" s="25"/>
      <c r="F1722" s="25" t="str">
        <f>IF(INDEX(I.Electricity.P1Y3C5,1)="","",INDEX(I.Electricity.P1Y3C5,1))</f>
        <v/>
      </c>
      <c r="G1722" s="25"/>
      <c r="H1722" s="1" t="str">
        <f>IF(AND(I.Facility.ProductCount&gt;=1,I.Product.P1Electricity="Yes",I.Developer.P1C5=TRUE,I.Product.P1Status&lt;&gt;"Yes",F1722=""),"Incomplete","Complete")</f>
        <v>Complete</v>
      </c>
      <c r="I1722" s="48" t="s">
        <v>1532</v>
      </c>
    </row>
    <row r="1723" spans="2:9" ht="15" customHeight="1" x14ac:dyDescent="0.25">
      <c r="B1723" s="26" t="s">
        <v>1220</v>
      </c>
      <c r="C1723" s="1">
        <v>2</v>
      </c>
      <c r="D1723" s="27" t="s">
        <v>3237</v>
      </c>
      <c r="E1723" s="25"/>
      <c r="F1723" s="25" t="str">
        <f>IF(INDEX(I.Electricity.P1Y3C5,2)="","",INDEX(I.Electricity.P1Y3C5,2))</f>
        <v/>
      </c>
      <c r="G1723" s="25"/>
      <c r="H1723" s="1" t="str">
        <f>IF(AND(I.Facility.ProductCount&gt;=1,I.Product.P1Electricity="Yes",I.Developer.P1C5=TRUE,I.Product.P1Status&lt;&gt;"Yes",F1723=""),"Incomplete","Complete")</f>
        <v>Complete</v>
      </c>
      <c r="I1723" s="48" t="s">
        <v>1533</v>
      </c>
    </row>
    <row r="1724" spans="2:9" ht="15" customHeight="1" x14ac:dyDescent="0.25">
      <c r="B1724" s="34" t="s">
        <v>1220</v>
      </c>
      <c r="C1724" s="35">
        <v>3</v>
      </c>
      <c r="D1724" s="46" t="s">
        <v>3237</v>
      </c>
      <c r="E1724" s="45"/>
      <c r="F1724" s="45" t="str">
        <f>IF(INDEX(I.Electricity.P1Y3C5,3)="","",INDEX(I.Electricity.P1Y3C5,3))</f>
        <v/>
      </c>
      <c r="G1724" s="45"/>
      <c r="H1724" s="35" t="str">
        <f>IF(AND(I.Facility.ProductCount&gt;=1,I.Product.P1Electricity="Yes",I.Developer.P1C5=TRUE,I.Product.P1Status&lt;&gt;"Yes",F1724=""),"Incomplete","Complete")</f>
        <v>Complete</v>
      </c>
      <c r="I1724" s="49" t="s">
        <v>1534</v>
      </c>
    </row>
    <row r="1725" spans="2:9" ht="15" customHeight="1" x14ac:dyDescent="0.25">
      <c r="B1725" s="26" t="s">
        <v>1221</v>
      </c>
      <c r="C1725" s="1">
        <v>1</v>
      </c>
      <c r="D1725" s="27" t="s">
        <v>3238</v>
      </c>
      <c r="E1725" s="25"/>
      <c r="F1725" s="25" t="str">
        <f>IF(INDEX(I.Electricity.P1Y1C6,1)="","",INDEX(I.Electricity.P1Y1C6,1))</f>
        <v/>
      </c>
      <c r="G1725" s="25"/>
      <c r="H1725" s="1" t="str">
        <f t="shared" ref="H1725:H1730" si="62">IF(AND(I.Facility.ProductCount&gt;=1,I.Product.P1Electricity="Yes",I.Developer.P1C6=TRUE,F1725=""),"Incomplete","Complete")</f>
        <v>Complete</v>
      </c>
      <c r="I1725" s="48" t="s">
        <v>1535</v>
      </c>
    </row>
    <row r="1726" spans="2:9" ht="15" customHeight="1" x14ac:dyDescent="0.25">
      <c r="B1726" s="26" t="s">
        <v>1221</v>
      </c>
      <c r="C1726" s="1">
        <v>2</v>
      </c>
      <c r="D1726" s="27" t="s">
        <v>3238</v>
      </c>
      <c r="E1726" s="25"/>
      <c r="F1726" s="25" t="str">
        <f>IF(INDEX(I.Electricity.P1Y1C6,2)="","",INDEX(I.Electricity.P1Y1C6,2))</f>
        <v/>
      </c>
      <c r="G1726" s="25"/>
      <c r="H1726" s="1" t="str">
        <f t="shared" si="62"/>
        <v>Complete</v>
      </c>
      <c r="I1726" s="48" t="s">
        <v>1536</v>
      </c>
    </row>
    <row r="1727" spans="2:9" ht="15" customHeight="1" x14ac:dyDescent="0.25">
      <c r="B1727" s="34" t="s">
        <v>1221</v>
      </c>
      <c r="C1727" s="35">
        <v>3</v>
      </c>
      <c r="D1727" s="46" t="s">
        <v>3238</v>
      </c>
      <c r="E1727" s="45"/>
      <c r="F1727" s="45" t="str">
        <f>IF(INDEX(I.Electricity.P1Y1C6,3)="","",INDEX(I.Electricity.P1Y1C6,3))</f>
        <v/>
      </c>
      <c r="G1727" s="45"/>
      <c r="H1727" s="35" t="str">
        <f t="shared" si="62"/>
        <v>Complete</v>
      </c>
      <c r="I1727" s="49" t="s">
        <v>1537</v>
      </c>
    </row>
    <row r="1728" spans="2:9" ht="15" customHeight="1" x14ac:dyDescent="0.25">
      <c r="B1728" s="26" t="s">
        <v>1222</v>
      </c>
      <c r="C1728" s="1">
        <v>1</v>
      </c>
      <c r="D1728" s="27" t="s">
        <v>3239</v>
      </c>
      <c r="E1728" s="25"/>
      <c r="F1728" s="25" t="str">
        <f>IF(INDEX(I.Electricity.P1Y2C6,1)="","",INDEX(I.Electricity.P1Y2C6,1))</f>
        <v/>
      </c>
      <c r="G1728" s="25"/>
      <c r="H1728" s="1" t="str">
        <f t="shared" si="62"/>
        <v>Complete</v>
      </c>
      <c r="I1728" s="48" t="s">
        <v>1538</v>
      </c>
    </row>
    <row r="1729" spans="2:9" ht="15" customHeight="1" x14ac:dyDescent="0.25">
      <c r="B1729" s="26" t="s">
        <v>1222</v>
      </c>
      <c r="C1729" s="1">
        <v>2</v>
      </c>
      <c r="D1729" s="27" t="s">
        <v>3239</v>
      </c>
      <c r="E1729" s="25"/>
      <c r="F1729" s="25" t="str">
        <f>IF(INDEX(I.Electricity.P1Y2C6,2)="","",INDEX(I.Electricity.P1Y2C6,2))</f>
        <v/>
      </c>
      <c r="G1729" s="25"/>
      <c r="H1729" s="1" t="str">
        <f t="shared" si="62"/>
        <v>Complete</v>
      </c>
      <c r="I1729" s="48" t="s">
        <v>1539</v>
      </c>
    </row>
    <row r="1730" spans="2:9" ht="15" customHeight="1" x14ac:dyDescent="0.25">
      <c r="B1730" s="34" t="s">
        <v>1222</v>
      </c>
      <c r="C1730" s="35">
        <v>3</v>
      </c>
      <c r="D1730" s="46" t="s">
        <v>3239</v>
      </c>
      <c r="E1730" s="45"/>
      <c r="F1730" s="45" t="str">
        <f>IF(INDEX(I.Electricity.P1Y2C6,3)="","",INDEX(I.Electricity.P1Y2C6,3))</f>
        <v/>
      </c>
      <c r="G1730" s="45"/>
      <c r="H1730" s="35" t="str">
        <f t="shared" si="62"/>
        <v>Complete</v>
      </c>
      <c r="I1730" s="49" t="s">
        <v>1540</v>
      </c>
    </row>
    <row r="1731" spans="2:9" ht="15" customHeight="1" x14ac:dyDescent="0.25">
      <c r="B1731" s="26" t="s">
        <v>1223</v>
      </c>
      <c r="C1731" s="1">
        <v>1</v>
      </c>
      <c r="D1731" s="27" t="s">
        <v>3240</v>
      </c>
      <c r="E1731" s="25"/>
      <c r="F1731" s="25" t="str">
        <f>IF(INDEX(I.Electricity.P1Y3C6,1)="","",INDEX(I.Electricity.P1Y3C6,1))</f>
        <v/>
      </c>
      <c r="G1731" s="25"/>
      <c r="H1731" s="1" t="str">
        <f>IF(AND(I.Facility.ProductCount&gt;=1,I.Product.P1Electricity="Yes",I.Developer.P1C6=TRUE,I.Product.P1Status&lt;&gt;"Yes",F1731=""),"Incomplete","Complete")</f>
        <v>Complete</v>
      </c>
      <c r="I1731" s="48" t="s">
        <v>1541</v>
      </c>
    </row>
    <row r="1732" spans="2:9" ht="15" customHeight="1" x14ac:dyDescent="0.25">
      <c r="B1732" s="26" t="s">
        <v>1223</v>
      </c>
      <c r="C1732" s="1">
        <v>2</v>
      </c>
      <c r="D1732" s="27" t="s">
        <v>3240</v>
      </c>
      <c r="E1732" s="25"/>
      <c r="F1732" s="25" t="str">
        <f>IF(INDEX(I.Electricity.P1Y3C6,2)="","",INDEX(I.Electricity.P1Y3C6,2))</f>
        <v/>
      </c>
      <c r="G1732" s="25"/>
      <c r="H1732" s="1" t="str">
        <f>IF(AND(I.Facility.ProductCount&gt;=1,I.Product.P1Electricity="Yes",I.Developer.P1C6=TRUE,I.Product.P1Status&lt;&gt;"Yes",F1732=""),"Incomplete","Complete")</f>
        <v>Complete</v>
      </c>
      <c r="I1732" s="48" t="s">
        <v>1542</v>
      </c>
    </row>
    <row r="1733" spans="2:9" ht="15" customHeight="1" x14ac:dyDescent="0.25">
      <c r="B1733" s="34" t="s">
        <v>1223</v>
      </c>
      <c r="C1733" s="35">
        <v>3</v>
      </c>
      <c r="D1733" s="46" t="s">
        <v>3240</v>
      </c>
      <c r="E1733" s="45"/>
      <c r="F1733" s="45" t="str">
        <f>IF(INDEX(I.Electricity.P1Y3C6,3)="","",INDEX(I.Electricity.P1Y3C6,3))</f>
        <v/>
      </c>
      <c r="G1733" s="45"/>
      <c r="H1733" s="35" t="str">
        <f>IF(AND(I.Facility.ProductCount&gt;=1,I.Product.P1Electricity="Yes",I.Developer.P1C6=TRUE,I.Product.P1Status&lt;&gt;"Yes",F1733=""),"Incomplete","Complete")</f>
        <v>Complete</v>
      </c>
      <c r="I1733" s="49" t="s">
        <v>1543</v>
      </c>
    </row>
    <row r="1734" spans="2:9" ht="15" customHeight="1" x14ac:dyDescent="0.25">
      <c r="B1734" s="26" t="s">
        <v>1224</v>
      </c>
      <c r="C1734" s="1">
        <v>1</v>
      </c>
      <c r="D1734" s="27" t="s">
        <v>3241</v>
      </c>
      <c r="E1734" s="25"/>
      <c r="F1734" s="25" t="str">
        <f>IF(INDEX(I.Electricity.P1Y1C7,1)="","",INDEX(I.Electricity.P1Y1C7,1))</f>
        <v/>
      </c>
      <c r="G1734" s="25"/>
      <c r="H1734" s="1" t="str">
        <f t="shared" ref="H1734:H1739" si="63">IF(AND(I.Facility.ProductCount&gt;=1,I.Product.P1Electricity="Yes",I.Developer.P1C7=TRUE,F1734=""),"Incomplete","Complete")</f>
        <v>Complete</v>
      </c>
      <c r="I1734" s="48" t="s">
        <v>1544</v>
      </c>
    </row>
    <row r="1735" spans="2:9" ht="15" customHeight="1" x14ac:dyDescent="0.25">
      <c r="B1735" s="26" t="s">
        <v>1224</v>
      </c>
      <c r="C1735" s="1">
        <v>2</v>
      </c>
      <c r="D1735" s="27" t="s">
        <v>3241</v>
      </c>
      <c r="E1735" s="25"/>
      <c r="F1735" s="25" t="str">
        <f>IF(INDEX(I.Electricity.P1Y1C7,2)="","",INDEX(I.Electricity.P1Y1C7,2))</f>
        <v/>
      </c>
      <c r="G1735" s="25"/>
      <c r="H1735" s="1" t="str">
        <f t="shared" si="63"/>
        <v>Complete</v>
      </c>
      <c r="I1735" s="48" t="s">
        <v>1545</v>
      </c>
    </row>
    <row r="1736" spans="2:9" ht="15" customHeight="1" x14ac:dyDescent="0.25">
      <c r="B1736" s="34" t="s">
        <v>1224</v>
      </c>
      <c r="C1736" s="35">
        <v>3</v>
      </c>
      <c r="D1736" s="46" t="s">
        <v>3241</v>
      </c>
      <c r="E1736" s="45"/>
      <c r="F1736" s="45" t="str">
        <f>IF(INDEX(I.Electricity.P1Y1C7,3)="","",INDEX(I.Electricity.P1Y1C7,3))</f>
        <v/>
      </c>
      <c r="G1736" s="45"/>
      <c r="H1736" s="35" t="str">
        <f t="shared" si="63"/>
        <v>Complete</v>
      </c>
      <c r="I1736" s="49" t="s">
        <v>1546</v>
      </c>
    </row>
    <row r="1737" spans="2:9" ht="15" customHeight="1" x14ac:dyDescent="0.25">
      <c r="B1737" s="26" t="s">
        <v>1225</v>
      </c>
      <c r="C1737" s="1">
        <v>1</v>
      </c>
      <c r="D1737" s="27" t="s">
        <v>3242</v>
      </c>
      <c r="E1737" s="25"/>
      <c r="F1737" s="25" t="str">
        <f>IF(INDEX(I.Electricity.P1Y2C7,1)="","",INDEX(I.Electricity.P1Y2C7,1))</f>
        <v/>
      </c>
      <c r="G1737" s="25"/>
      <c r="H1737" s="1" t="str">
        <f t="shared" si="63"/>
        <v>Complete</v>
      </c>
      <c r="I1737" s="48" t="s">
        <v>1547</v>
      </c>
    </row>
    <row r="1738" spans="2:9" ht="15" customHeight="1" x14ac:dyDescent="0.25">
      <c r="B1738" s="26" t="s">
        <v>1225</v>
      </c>
      <c r="C1738" s="1">
        <v>2</v>
      </c>
      <c r="D1738" s="27" t="s">
        <v>3242</v>
      </c>
      <c r="E1738" s="25"/>
      <c r="F1738" s="25" t="str">
        <f>IF(INDEX(I.Electricity.P1Y2C7,2)="","",INDEX(I.Electricity.P1Y2C7,2))</f>
        <v/>
      </c>
      <c r="G1738" s="25"/>
      <c r="H1738" s="1" t="str">
        <f t="shared" si="63"/>
        <v>Complete</v>
      </c>
      <c r="I1738" s="48" t="s">
        <v>1548</v>
      </c>
    </row>
    <row r="1739" spans="2:9" ht="15" customHeight="1" x14ac:dyDescent="0.25">
      <c r="B1739" s="34" t="s">
        <v>1225</v>
      </c>
      <c r="C1739" s="35">
        <v>3</v>
      </c>
      <c r="D1739" s="46" t="s">
        <v>3242</v>
      </c>
      <c r="E1739" s="45"/>
      <c r="F1739" s="45" t="str">
        <f>IF(INDEX(I.Electricity.P1Y2C7,3)="","",INDEX(I.Electricity.P1Y2C7,3))</f>
        <v/>
      </c>
      <c r="G1739" s="45"/>
      <c r="H1739" s="35" t="str">
        <f t="shared" si="63"/>
        <v>Complete</v>
      </c>
      <c r="I1739" s="49" t="s">
        <v>1549</v>
      </c>
    </row>
    <row r="1740" spans="2:9" ht="15" customHeight="1" x14ac:dyDescent="0.25">
      <c r="B1740" s="26" t="s">
        <v>1226</v>
      </c>
      <c r="C1740" s="1">
        <v>1</v>
      </c>
      <c r="D1740" s="27" t="s">
        <v>3243</v>
      </c>
      <c r="E1740" s="25"/>
      <c r="F1740" s="25" t="str">
        <f>IF(INDEX(I.Electricity.P1Y3C7,1)="","",INDEX(I.Electricity.P1Y3C7,1))</f>
        <v/>
      </c>
      <c r="G1740" s="25"/>
      <c r="H1740" s="1" t="str">
        <f>IF(AND(I.Facility.ProductCount&gt;=1,I.Product.P1Electricity="Yes",I.Developer.P1C7=TRUE,I.Product.P1Status&lt;&gt;"Yes",F1740=""),"Incomplete","Complete")</f>
        <v>Complete</v>
      </c>
      <c r="I1740" s="48" t="s">
        <v>1550</v>
      </c>
    </row>
    <row r="1741" spans="2:9" ht="15" customHeight="1" x14ac:dyDescent="0.25">
      <c r="B1741" s="26" t="s">
        <v>1226</v>
      </c>
      <c r="C1741" s="1">
        <v>2</v>
      </c>
      <c r="D1741" s="27" t="s">
        <v>3243</v>
      </c>
      <c r="E1741" s="25"/>
      <c r="F1741" s="25" t="str">
        <f>IF(INDEX(I.Electricity.P1Y3C7,2)="","",INDEX(I.Electricity.P1Y3C7,2))</f>
        <v/>
      </c>
      <c r="G1741" s="25"/>
      <c r="H1741" s="1" t="str">
        <f>IF(AND(I.Facility.ProductCount&gt;=1,I.Product.P1Electricity="Yes",I.Developer.P1C7=TRUE,I.Product.P1Status&lt;&gt;"Yes",F1741=""),"Incomplete","Complete")</f>
        <v>Complete</v>
      </c>
      <c r="I1741" s="48" t="s">
        <v>1551</v>
      </c>
    </row>
    <row r="1742" spans="2:9" ht="15" customHeight="1" x14ac:dyDescent="0.25">
      <c r="B1742" s="34" t="s">
        <v>1226</v>
      </c>
      <c r="C1742" s="35">
        <v>3</v>
      </c>
      <c r="D1742" s="46" t="s">
        <v>3243</v>
      </c>
      <c r="E1742" s="45"/>
      <c r="F1742" s="45" t="str">
        <f>IF(INDEX(I.Electricity.P1Y3C7,3)="","",INDEX(I.Electricity.P1Y3C7,3))</f>
        <v/>
      </c>
      <c r="G1742" s="45"/>
      <c r="H1742" s="35" t="str">
        <f>IF(AND(I.Facility.ProductCount&gt;=1,I.Product.P1Electricity="Yes",I.Developer.P1C7=TRUE,I.Product.P1Status&lt;&gt;"Yes",F1742=""),"Incomplete","Complete")</f>
        <v>Complete</v>
      </c>
      <c r="I1742" s="49" t="s">
        <v>1552</v>
      </c>
    </row>
    <row r="1743" spans="2:9" ht="15" customHeight="1" x14ac:dyDescent="0.25">
      <c r="B1743" s="26" t="s">
        <v>1227</v>
      </c>
      <c r="C1743" s="1">
        <v>1</v>
      </c>
      <c r="D1743" s="27" t="s">
        <v>3244</v>
      </c>
      <c r="E1743" s="25"/>
      <c r="F1743" s="25" t="str">
        <f>IF(INDEX(I.Electricity.P1Y1C8,1)="","",INDEX(I.Electricity.P1Y1C8,1))</f>
        <v/>
      </c>
      <c r="G1743" s="25"/>
      <c r="H1743" s="1" t="str">
        <f t="shared" ref="H1743:H1748" si="64">IF(AND(I.Facility.ProductCount&gt;=1,I.Product.P1Electricity="Yes",I.Developer.P1C8=TRUE,F1743=""),"Incomplete","Complete")</f>
        <v>Complete</v>
      </c>
      <c r="I1743" s="48" t="s">
        <v>1553</v>
      </c>
    </row>
    <row r="1744" spans="2:9" ht="15" customHeight="1" x14ac:dyDescent="0.25">
      <c r="B1744" s="26" t="s">
        <v>1227</v>
      </c>
      <c r="C1744" s="1">
        <v>2</v>
      </c>
      <c r="D1744" s="27" t="s">
        <v>3244</v>
      </c>
      <c r="E1744" s="25"/>
      <c r="F1744" s="25" t="str">
        <f>IF(INDEX(I.Electricity.P1Y1C8,2)="","",INDEX(I.Electricity.P1Y1C8,2))</f>
        <v/>
      </c>
      <c r="G1744" s="25"/>
      <c r="H1744" s="1" t="str">
        <f t="shared" si="64"/>
        <v>Complete</v>
      </c>
      <c r="I1744" s="48" t="s">
        <v>1554</v>
      </c>
    </row>
    <row r="1745" spans="2:9" ht="15" customHeight="1" x14ac:dyDescent="0.25">
      <c r="B1745" s="34" t="s">
        <v>1227</v>
      </c>
      <c r="C1745" s="35">
        <v>3</v>
      </c>
      <c r="D1745" s="46" t="s">
        <v>3244</v>
      </c>
      <c r="E1745" s="45"/>
      <c r="F1745" s="45" t="str">
        <f>IF(INDEX(I.Electricity.P1Y1C8,3)="","",INDEX(I.Electricity.P1Y1C8,3))</f>
        <v/>
      </c>
      <c r="G1745" s="45"/>
      <c r="H1745" s="35" t="str">
        <f t="shared" si="64"/>
        <v>Complete</v>
      </c>
      <c r="I1745" s="49" t="s">
        <v>1555</v>
      </c>
    </row>
    <row r="1746" spans="2:9" ht="15" customHeight="1" x14ac:dyDescent="0.25">
      <c r="B1746" s="26" t="s">
        <v>1228</v>
      </c>
      <c r="C1746" s="1">
        <v>1</v>
      </c>
      <c r="D1746" s="27" t="s">
        <v>3245</v>
      </c>
      <c r="E1746" s="25"/>
      <c r="F1746" s="25" t="str">
        <f>IF(INDEX(I.Electricity.P1Y2C8,1)="","",INDEX(I.Electricity.P1Y2C8,1))</f>
        <v/>
      </c>
      <c r="G1746" s="25"/>
      <c r="H1746" s="1" t="str">
        <f t="shared" si="64"/>
        <v>Complete</v>
      </c>
      <c r="I1746" s="48" t="s">
        <v>1556</v>
      </c>
    </row>
    <row r="1747" spans="2:9" ht="15" customHeight="1" x14ac:dyDescent="0.25">
      <c r="B1747" s="26" t="s">
        <v>1228</v>
      </c>
      <c r="C1747" s="1">
        <v>2</v>
      </c>
      <c r="D1747" s="27" t="s">
        <v>3245</v>
      </c>
      <c r="E1747" s="25"/>
      <c r="F1747" s="25" t="str">
        <f>IF(INDEX(I.Electricity.P1Y2C8,2)="","",INDEX(I.Electricity.P1Y2C8,2))</f>
        <v/>
      </c>
      <c r="G1747" s="25"/>
      <c r="H1747" s="1" t="str">
        <f t="shared" si="64"/>
        <v>Complete</v>
      </c>
      <c r="I1747" s="48" t="s">
        <v>1557</v>
      </c>
    </row>
    <row r="1748" spans="2:9" ht="15" customHeight="1" x14ac:dyDescent="0.25">
      <c r="B1748" s="34" t="s">
        <v>1228</v>
      </c>
      <c r="C1748" s="35">
        <v>3</v>
      </c>
      <c r="D1748" s="46" t="s">
        <v>3245</v>
      </c>
      <c r="E1748" s="45"/>
      <c r="F1748" s="45" t="str">
        <f>IF(INDEX(I.Electricity.P1Y2C8,3)="","",INDEX(I.Electricity.P1Y2C8,3))</f>
        <v/>
      </c>
      <c r="G1748" s="45"/>
      <c r="H1748" s="35" t="str">
        <f t="shared" si="64"/>
        <v>Complete</v>
      </c>
      <c r="I1748" s="49" t="s">
        <v>1558</v>
      </c>
    </row>
    <row r="1749" spans="2:9" ht="15" customHeight="1" x14ac:dyDescent="0.25">
      <c r="B1749" s="26" t="s">
        <v>1229</v>
      </c>
      <c r="C1749" s="1">
        <v>1</v>
      </c>
      <c r="D1749" s="27" t="s">
        <v>3246</v>
      </c>
      <c r="E1749" s="25"/>
      <c r="F1749" s="25" t="str">
        <f>IF(INDEX(I.Electricity.P1Y3C8,1)="","",INDEX(I.Electricity.P1Y3C8,1))</f>
        <v/>
      </c>
      <c r="G1749" s="25"/>
      <c r="H1749" s="1" t="str">
        <f>IF(AND(I.Facility.ProductCount&gt;=1,I.Product.P1Electricity="Yes",I.Developer.P1C8=TRUE,I.Product.P1Status&lt;&gt;"Yes",F1749=""),"Incomplete","Complete")</f>
        <v>Complete</v>
      </c>
      <c r="I1749" s="48" t="s">
        <v>1559</v>
      </c>
    </row>
    <row r="1750" spans="2:9" ht="15" customHeight="1" x14ac:dyDescent="0.25">
      <c r="B1750" s="26" t="s">
        <v>1229</v>
      </c>
      <c r="C1750" s="1">
        <v>2</v>
      </c>
      <c r="D1750" s="27" t="s">
        <v>3246</v>
      </c>
      <c r="E1750" s="25"/>
      <c r="F1750" s="25" t="str">
        <f>IF(INDEX(I.Electricity.P1Y3C8,2)="","",INDEX(I.Electricity.P1Y3C8,2))</f>
        <v/>
      </c>
      <c r="G1750" s="25"/>
      <c r="H1750" s="1" t="str">
        <f>IF(AND(I.Facility.ProductCount&gt;=1,I.Product.P1Electricity="Yes",I.Developer.P1C8=TRUE,I.Product.P1Status&lt;&gt;"Yes",F1750=""),"Incomplete","Complete")</f>
        <v>Complete</v>
      </c>
      <c r="I1750" s="48" t="s">
        <v>1560</v>
      </c>
    </row>
    <row r="1751" spans="2:9" ht="15" customHeight="1" x14ac:dyDescent="0.25">
      <c r="B1751" s="34" t="s">
        <v>1229</v>
      </c>
      <c r="C1751" s="35">
        <v>3</v>
      </c>
      <c r="D1751" s="46" t="s">
        <v>3246</v>
      </c>
      <c r="E1751" s="45"/>
      <c r="F1751" s="45" t="str">
        <f>IF(INDEX(I.Electricity.P1Y3C8,3)="","",INDEX(I.Electricity.P1Y3C8,3))</f>
        <v/>
      </c>
      <c r="G1751" s="45"/>
      <c r="H1751" s="35" t="str">
        <f>IF(AND(I.Facility.ProductCount&gt;=1,I.Product.P1Electricity="Yes",I.Developer.P1C8=TRUE,I.Product.P1Status&lt;&gt;"Yes",F1751=""),"Incomplete","Complete")</f>
        <v>Complete</v>
      </c>
      <c r="I1751" s="49" t="s">
        <v>1561</v>
      </c>
    </row>
    <row r="1752" spans="2:9" ht="15" customHeight="1" x14ac:dyDescent="0.25">
      <c r="B1752" s="26" t="s">
        <v>1230</v>
      </c>
      <c r="C1752" s="1">
        <v>1</v>
      </c>
      <c r="D1752" s="27" t="s">
        <v>3247</v>
      </c>
      <c r="E1752" s="25"/>
      <c r="F1752" s="25" t="str">
        <f>IF(INDEX(I.Electricity.P1Y1C9,1)="","",INDEX(I.Electricity.P1Y1C9,1))</f>
        <v/>
      </c>
      <c r="G1752" s="25"/>
      <c r="H1752" s="1" t="str">
        <f t="shared" ref="H1752:H1757" si="65">IF(AND(I.Facility.ProductCount&gt;=1,I.Product.P1Electricity="Yes",I.Developer.P1C9=TRUE,F1752=""),"Incomplete","Complete")</f>
        <v>Complete</v>
      </c>
      <c r="I1752" s="48" t="s">
        <v>1562</v>
      </c>
    </row>
    <row r="1753" spans="2:9" ht="15" customHeight="1" x14ac:dyDescent="0.25">
      <c r="B1753" s="26" t="s">
        <v>1230</v>
      </c>
      <c r="C1753" s="1">
        <v>2</v>
      </c>
      <c r="D1753" s="27" t="s">
        <v>3247</v>
      </c>
      <c r="E1753" s="25"/>
      <c r="F1753" s="25" t="str">
        <f>IF(INDEX(I.Electricity.P1Y1C9,2)="","",INDEX(I.Electricity.P1Y1C9,2))</f>
        <v/>
      </c>
      <c r="G1753" s="25"/>
      <c r="H1753" s="1" t="str">
        <f t="shared" si="65"/>
        <v>Complete</v>
      </c>
      <c r="I1753" s="48" t="s">
        <v>1563</v>
      </c>
    </row>
    <row r="1754" spans="2:9" ht="15" customHeight="1" x14ac:dyDescent="0.25">
      <c r="B1754" s="34" t="s">
        <v>1230</v>
      </c>
      <c r="C1754" s="35">
        <v>3</v>
      </c>
      <c r="D1754" s="46" t="s">
        <v>3247</v>
      </c>
      <c r="E1754" s="45"/>
      <c r="F1754" s="45" t="str">
        <f>IF(INDEX(I.Electricity.P1Y1C9,3)="","",INDEX(I.Electricity.P1Y1C9,3))</f>
        <v/>
      </c>
      <c r="G1754" s="45"/>
      <c r="H1754" s="35" t="str">
        <f t="shared" si="65"/>
        <v>Complete</v>
      </c>
      <c r="I1754" s="49" t="s">
        <v>1564</v>
      </c>
    </row>
    <row r="1755" spans="2:9" ht="15" customHeight="1" x14ac:dyDescent="0.25">
      <c r="B1755" s="26" t="s">
        <v>1231</v>
      </c>
      <c r="C1755" s="1">
        <v>1</v>
      </c>
      <c r="D1755" s="27" t="s">
        <v>3248</v>
      </c>
      <c r="E1755" s="25"/>
      <c r="F1755" s="25" t="str">
        <f>IF(INDEX(I.Electricity.P1Y2C9,1)="","",INDEX(I.Electricity.P1Y2C9,1))</f>
        <v/>
      </c>
      <c r="G1755" s="25"/>
      <c r="H1755" s="1" t="str">
        <f t="shared" si="65"/>
        <v>Complete</v>
      </c>
      <c r="I1755" s="48" t="s">
        <v>1565</v>
      </c>
    </row>
    <row r="1756" spans="2:9" ht="15" customHeight="1" x14ac:dyDescent="0.25">
      <c r="B1756" s="26" t="s">
        <v>1231</v>
      </c>
      <c r="C1756" s="1">
        <v>2</v>
      </c>
      <c r="D1756" s="27" t="s">
        <v>3248</v>
      </c>
      <c r="E1756" s="25"/>
      <c r="F1756" s="25" t="str">
        <f>IF(INDEX(I.Electricity.P1Y2C9,2)="","",INDEX(I.Electricity.P1Y2C9,2))</f>
        <v/>
      </c>
      <c r="G1756" s="25"/>
      <c r="H1756" s="1" t="str">
        <f t="shared" si="65"/>
        <v>Complete</v>
      </c>
      <c r="I1756" s="48" t="s">
        <v>1566</v>
      </c>
    </row>
    <row r="1757" spans="2:9" ht="15" customHeight="1" x14ac:dyDescent="0.25">
      <c r="B1757" s="34" t="s">
        <v>1231</v>
      </c>
      <c r="C1757" s="35">
        <v>3</v>
      </c>
      <c r="D1757" s="46" t="s">
        <v>3248</v>
      </c>
      <c r="E1757" s="45"/>
      <c r="F1757" s="45" t="str">
        <f>IF(INDEX(I.Electricity.P1Y2C9,3)="","",INDEX(I.Electricity.P1Y2C9,3))</f>
        <v/>
      </c>
      <c r="G1757" s="45"/>
      <c r="H1757" s="35" t="str">
        <f t="shared" si="65"/>
        <v>Complete</v>
      </c>
      <c r="I1757" s="49" t="s">
        <v>1567</v>
      </c>
    </row>
    <row r="1758" spans="2:9" ht="15" customHeight="1" x14ac:dyDescent="0.25">
      <c r="B1758" s="26" t="s">
        <v>1232</v>
      </c>
      <c r="C1758" s="1">
        <v>1</v>
      </c>
      <c r="D1758" s="27" t="s">
        <v>3249</v>
      </c>
      <c r="E1758" s="25"/>
      <c r="F1758" s="25" t="str">
        <f>IF(INDEX(I.Electricity.P1Y3C9,1)="","",INDEX(I.Electricity.P1Y3C9,1))</f>
        <v/>
      </c>
      <c r="G1758" s="25"/>
      <c r="H1758" s="1" t="str">
        <f>IF(AND(I.Facility.ProductCount&gt;=1,I.Product.P1Electricity="Yes",I.Developer.P1C9=TRUE,I.Product.P1Status&lt;&gt;"Yes",F1758=""),"Incomplete","Complete")</f>
        <v>Complete</v>
      </c>
      <c r="I1758" s="48" t="s">
        <v>1568</v>
      </c>
    </row>
    <row r="1759" spans="2:9" ht="15" customHeight="1" x14ac:dyDescent="0.25">
      <c r="B1759" s="26" t="s">
        <v>1232</v>
      </c>
      <c r="C1759" s="1">
        <v>2</v>
      </c>
      <c r="D1759" s="27" t="s">
        <v>3249</v>
      </c>
      <c r="E1759" s="25"/>
      <c r="F1759" s="25" t="str">
        <f>IF(INDEX(I.Electricity.P1Y3C9,2)="","",INDEX(I.Electricity.P1Y3C9,2))</f>
        <v/>
      </c>
      <c r="G1759" s="25"/>
      <c r="H1759" s="1" t="str">
        <f>IF(AND(I.Facility.ProductCount&gt;=1,I.Product.P1Electricity="Yes",I.Developer.P1C9=TRUE,I.Product.P1Status&lt;&gt;"Yes",F1759=""),"Incomplete","Complete")</f>
        <v>Complete</v>
      </c>
      <c r="I1759" s="48" t="s">
        <v>1569</v>
      </c>
    </row>
    <row r="1760" spans="2:9" ht="15" customHeight="1" x14ac:dyDescent="0.25">
      <c r="B1760" s="34" t="s">
        <v>1232</v>
      </c>
      <c r="C1760" s="35">
        <v>3</v>
      </c>
      <c r="D1760" s="46" t="s">
        <v>3249</v>
      </c>
      <c r="E1760" s="45"/>
      <c r="F1760" s="45" t="str">
        <f>IF(INDEX(I.Electricity.P1Y3C9,3)="","",INDEX(I.Electricity.P1Y3C9,3))</f>
        <v/>
      </c>
      <c r="G1760" s="45"/>
      <c r="H1760" s="35" t="str">
        <f>IF(AND(I.Facility.ProductCount&gt;=1,I.Product.P1Electricity="Yes",I.Developer.P1C9=TRUE,I.Product.P1Status&lt;&gt;"Yes",F1760=""),"Incomplete","Complete")</f>
        <v>Complete</v>
      </c>
      <c r="I1760" s="49" t="s">
        <v>1570</v>
      </c>
    </row>
    <row r="1761" spans="2:9" ht="15" customHeight="1" x14ac:dyDescent="0.25">
      <c r="B1761" s="26" t="s">
        <v>1233</v>
      </c>
      <c r="C1761" s="1">
        <v>1</v>
      </c>
      <c r="D1761" s="27" t="s">
        <v>3250</v>
      </c>
      <c r="E1761" s="25"/>
      <c r="F1761" s="25" t="str">
        <f>IF(INDEX(I.Electricity.P2Y1C1,1)="","",INDEX(I.Electricity.P2Y1C1,1))</f>
        <v/>
      </c>
      <c r="G1761" s="25"/>
      <c r="H1761" s="1" t="str">
        <f t="shared" ref="H1761:H1766" si="66">IF(AND(I.Facility.ProductCount&gt;=2,I.Product.P2Electricity="Yes",I.Developer.P2C1=TRUE,F1761=""),"Incomplete","Complete")</f>
        <v>Complete</v>
      </c>
      <c r="I1761" s="48" t="s">
        <v>1572</v>
      </c>
    </row>
    <row r="1762" spans="2:9" ht="15" customHeight="1" x14ac:dyDescent="0.25">
      <c r="B1762" s="26" t="s">
        <v>1233</v>
      </c>
      <c r="C1762" s="1">
        <v>2</v>
      </c>
      <c r="D1762" s="27" t="s">
        <v>3250</v>
      </c>
      <c r="E1762" s="25"/>
      <c r="F1762" s="25" t="str">
        <f>IF(INDEX(I.Electricity.P2Y1C1,2)="","",INDEX(I.Electricity.P2Y1C1,2))</f>
        <v/>
      </c>
      <c r="G1762" s="25"/>
      <c r="H1762" s="1" t="str">
        <f t="shared" si="66"/>
        <v>Complete</v>
      </c>
      <c r="I1762" s="48" t="s">
        <v>1573</v>
      </c>
    </row>
    <row r="1763" spans="2:9" ht="15" customHeight="1" x14ac:dyDescent="0.25">
      <c r="B1763" s="34" t="s">
        <v>1233</v>
      </c>
      <c r="C1763" s="35">
        <v>3</v>
      </c>
      <c r="D1763" s="46" t="s">
        <v>3250</v>
      </c>
      <c r="E1763" s="45"/>
      <c r="F1763" s="45" t="str">
        <f>IF(INDEX(I.Electricity.P2Y1C1,3)="","",INDEX(I.Electricity.P2Y1C1,3))</f>
        <v/>
      </c>
      <c r="G1763" s="45"/>
      <c r="H1763" s="35" t="str">
        <f t="shared" si="66"/>
        <v>Complete</v>
      </c>
      <c r="I1763" s="49" t="s">
        <v>1574</v>
      </c>
    </row>
    <row r="1764" spans="2:9" ht="15" customHeight="1" x14ac:dyDescent="0.25">
      <c r="B1764" s="26" t="s">
        <v>1234</v>
      </c>
      <c r="C1764" s="1">
        <v>1</v>
      </c>
      <c r="D1764" s="27" t="s">
        <v>3251</v>
      </c>
      <c r="E1764" s="25"/>
      <c r="F1764" s="25" t="str">
        <f>IF(INDEX(I.Electricity.P2Y2C1,1)="","",INDEX(I.Electricity.P2Y2C1,1))</f>
        <v/>
      </c>
      <c r="G1764" s="25"/>
      <c r="H1764" s="1" t="str">
        <f t="shared" si="66"/>
        <v>Complete</v>
      </c>
      <c r="I1764" s="48" t="s">
        <v>1575</v>
      </c>
    </row>
    <row r="1765" spans="2:9" ht="15" customHeight="1" x14ac:dyDescent="0.25">
      <c r="B1765" s="26" t="s">
        <v>1234</v>
      </c>
      <c r="C1765" s="1">
        <v>2</v>
      </c>
      <c r="D1765" s="27" t="s">
        <v>3251</v>
      </c>
      <c r="E1765" s="25"/>
      <c r="F1765" s="25" t="str">
        <f>IF(INDEX(I.Electricity.P2Y2C1,2)="","",INDEX(I.Electricity.P2Y2C1,2))</f>
        <v/>
      </c>
      <c r="G1765" s="25"/>
      <c r="H1765" s="1" t="str">
        <f t="shared" si="66"/>
        <v>Complete</v>
      </c>
      <c r="I1765" s="48" t="s">
        <v>1576</v>
      </c>
    </row>
    <row r="1766" spans="2:9" ht="15" customHeight="1" x14ac:dyDescent="0.25">
      <c r="B1766" s="34" t="s">
        <v>1234</v>
      </c>
      <c r="C1766" s="35">
        <v>3</v>
      </c>
      <c r="D1766" s="46" t="s">
        <v>3251</v>
      </c>
      <c r="E1766" s="45"/>
      <c r="F1766" s="45" t="str">
        <f>IF(INDEX(I.Electricity.P2Y2C1,3)="","",INDEX(I.Electricity.P2Y2C1,3))</f>
        <v/>
      </c>
      <c r="G1766" s="45"/>
      <c r="H1766" s="35" t="str">
        <f t="shared" si="66"/>
        <v>Complete</v>
      </c>
      <c r="I1766" s="49" t="s">
        <v>1577</v>
      </c>
    </row>
    <row r="1767" spans="2:9" ht="15" customHeight="1" x14ac:dyDescent="0.25">
      <c r="B1767" s="26" t="s">
        <v>1235</v>
      </c>
      <c r="C1767" s="1">
        <v>1</v>
      </c>
      <c r="D1767" s="27" t="s">
        <v>3252</v>
      </c>
      <c r="E1767" s="25"/>
      <c r="F1767" s="25" t="str">
        <f>IF(INDEX(I.Electricity.P2Y3C1,1)="","",INDEX(I.Electricity.P2Y3C1,1))</f>
        <v/>
      </c>
      <c r="G1767" s="25"/>
      <c r="H1767" s="1" t="str">
        <f>IF(AND(I.Facility.ProductCount&gt;=2,I.Product.P2Electricity="Yes",I.Developer.P2C1=TRUE,I.Product.P2Status&lt;&gt;"Yes",F1767=""),"Incomplete","Complete")</f>
        <v>Complete</v>
      </c>
      <c r="I1767" s="48" t="s">
        <v>1578</v>
      </c>
    </row>
    <row r="1768" spans="2:9" ht="15" customHeight="1" x14ac:dyDescent="0.25">
      <c r="B1768" s="26" t="s">
        <v>1235</v>
      </c>
      <c r="C1768" s="1">
        <v>2</v>
      </c>
      <c r="D1768" s="27" t="s">
        <v>3252</v>
      </c>
      <c r="E1768" s="25"/>
      <c r="F1768" s="25" t="str">
        <f>IF(INDEX(I.Electricity.P2Y3C1,2)="","",INDEX(I.Electricity.P2Y3C1,2))</f>
        <v/>
      </c>
      <c r="G1768" s="25"/>
      <c r="H1768" s="1" t="str">
        <f>IF(AND(I.Facility.ProductCount&gt;=2,I.Product.P2Electricity="Yes",I.Developer.P2C1=TRUE,I.Product.P2Status&lt;&gt;"Yes",F1768=""),"Incomplete","Complete")</f>
        <v>Complete</v>
      </c>
      <c r="I1768" s="48" t="s">
        <v>1579</v>
      </c>
    </row>
    <row r="1769" spans="2:9" ht="15" customHeight="1" x14ac:dyDescent="0.25">
      <c r="B1769" s="34" t="s">
        <v>1235</v>
      </c>
      <c r="C1769" s="35">
        <v>3</v>
      </c>
      <c r="D1769" s="46" t="s">
        <v>3252</v>
      </c>
      <c r="E1769" s="45"/>
      <c r="F1769" s="45" t="str">
        <f>IF(INDEX(I.Electricity.P2Y3C1,3)="","",INDEX(I.Electricity.P2Y3C1,3))</f>
        <v/>
      </c>
      <c r="G1769" s="45"/>
      <c r="H1769" s="35" t="str">
        <f>IF(AND(I.Facility.ProductCount&gt;=2,I.Product.P2Electricity="Yes",I.Developer.P2C1=TRUE,I.Product.P2Status&lt;&gt;"Yes",F1769=""),"Incomplete","Complete")</f>
        <v>Complete</v>
      </c>
      <c r="I1769" s="49" t="s">
        <v>1580</v>
      </c>
    </row>
    <row r="1770" spans="2:9" ht="15" customHeight="1" x14ac:dyDescent="0.25">
      <c r="B1770" s="26" t="s">
        <v>1236</v>
      </c>
      <c r="C1770" s="1">
        <v>1</v>
      </c>
      <c r="D1770" s="27" t="s">
        <v>3253</v>
      </c>
      <c r="E1770" s="25"/>
      <c r="F1770" s="25" t="str">
        <f>IF(INDEX(I.Electricity.P2Y1C2,1)="","",INDEX(I.Electricity.P2Y1C2,1))</f>
        <v/>
      </c>
      <c r="G1770" s="25"/>
      <c r="H1770" s="1" t="str">
        <f t="shared" ref="H1770:H1817" si="67">IF(AND(I.Facility.ProductCount&gt;=2,I.Product.P2Electricity="Yes",I.Developer.P2C2=TRUE,F1770=""),"Incomplete","Complete")</f>
        <v>Complete</v>
      </c>
      <c r="I1770" s="48" t="s">
        <v>1581</v>
      </c>
    </row>
    <row r="1771" spans="2:9" ht="15" customHeight="1" x14ac:dyDescent="0.25">
      <c r="B1771" s="26" t="s">
        <v>1236</v>
      </c>
      <c r="C1771" s="1">
        <v>2</v>
      </c>
      <c r="D1771" s="27" t="s">
        <v>3253</v>
      </c>
      <c r="E1771" s="25"/>
      <c r="F1771" s="25" t="str">
        <f>IF(INDEX(I.Electricity.P2Y1C2,2)="","",INDEX(I.Electricity.P2Y1C2,2))</f>
        <v/>
      </c>
      <c r="G1771" s="25"/>
      <c r="H1771" s="1" t="str">
        <f t="shared" si="67"/>
        <v>Complete</v>
      </c>
      <c r="I1771" s="48" t="s">
        <v>1582</v>
      </c>
    </row>
    <row r="1772" spans="2:9" ht="15" customHeight="1" x14ac:dyDescent="0.25">
      <c r="B1772" s="26" t="s">
        <v>1236</v>
      </c>
      <c r="C1772" s="1">
        <v>3</v>
      </c>
      <c r="D1772" s="27" t="s">
        <v>3253</v>
      </c>
      <c r="E1772" s="25"/>
      <c r="F1772" s="25" t="str">
        <f>IF(INDEX(I.Electricity.P2Y1C2,3)="","",INDEX(I.Electricity.P2Y1C2,3))</f>
        <v/>
      </c>
      <c r="G1772" s="25"/>
      <c r="H1772" s="1" t="str">
        <f t="shared" si="67"/>
        <v>Complete</v>
      </c>
      <c r="I1772" s="48" t="s">
        <v>1583</v>
      </c>
    </row>
    <row r="1773" spans="2:9" ht="15" customHeight="1" x14ac:dyDescent="0.25">
      <c r="B1773" s="26" t="s">
        <v>1236</v>
      </c>
      <c r="C1773" s="1">
        <v>4</v>
      </c>
      <c r="D1773" s="27" t="s">
        <v>3253</v>
      </c>
      <c r="E1773" s="25"/>
      <c r="F1773" s="25" t="str">
        <f>IF(INDEX(I.Electricity.P2Y1C2,4)="","",INDEX(I.Electricity.P2Y1C2,4))</f>
        <v/>
      </c>
      <c r="G1773" s="25"/>
      <c r="H1773" s="1" t="str">
        <f t="shared" si="67"/>
        <v>Complete</v>
      </c>
      <c r="I1773" s="48" t="s">
        <v>1584</v>
      </c>
    </row>
    <row r="1774" spans="2:9" ht="15" customHeight="1" x14ac:dyDescent="0.25">
      <c r="B1774" s="26" t="s">
        <v>1236</v>
      </c>
      <c r="C1774" s="1">
        <v>5</v>
      </c>
      <c r="D1774" s="27" t="s">
        <v>3253</v>
      </c>
      <c r="E1774" s="25"/>
      <c r="F1774" s="25" t="str">
        <f>IF(INDEX(I.Electricity.P2Y1C2,5)="","",INDEX(I.Electricity.P2Y1C2,5))</f>
        <v/>
      </c>
      <c r="G1774" s="25"/>
      <c r="H1774" s="1" t="str">
        <f t="shared" si="67"/>
        <v>Complete</v>
      </c>
      <c r="I1774" s="48" t="s">
        <v>1585</v>
      </c>
    </row>
    <row r="1775" spans="2:9" ht="15" customHeight="1" x14ac:dyDescent="0.25">
      <c r="B1775" s="26" t="s">
        <v>1236</v>
      </c>
      <c r="C1775" s="1">
        <v>6</v>
      </c>
      <c r="D1775" s="27" t="s">
        <v>3253</v>
      </c>
      <c r="E1775" s="25"/>
      <c r="F1775" s="25" t="str">
        <f>IF(INDEX(I.Electricity.P2Y1C2,6)="","",INDEX(I.Electricity.P2Y1C2,6))</f>
        <v/>
      </c>
      <c r="G1775" s="25"/>
      <c r="H1775" s="1" t="str">
        <f t="shared" si="67"/>
        <v>Complete</v>
      </c>
      <c r="I1775" s="48" t="s">
        <v>1586</v>
      </c>
    </row>
    <row r="1776" spans="2:9" ht="15" customHeight="1" x14ac:dyDescent="0.25">
      <c r="B1776" s="26" t="s">
        <v>1236</v>
      </c>
      <c r="C1776" s="1">
        <v>7</v>
      </c>
      <c r="D1776" s="27" t="s">
        <v>3253</v>
      </c>
      <c r="E1776" s="25"/>
      <c r="F1776" s="25" t="str">
        <f>IF(INDEX(I.Electricity.P2Y1C2,7)="","",INDEX(I.Electricity.P2Y1C2,7))</f>
        <v/>
      </c>
      <c r="G1776" s="25"/>
      <c r="H1776" s="1" t="str">
        <f t="shared" si="67"/>
        <v>Complete</v>
      </c>
      <c r="I1776" s="48" t="s">
        <v>1587</v>
      </c>
    </row>
    <row r="1777" spans="2:9" ht="15" customHeight="1" x14ac:dyDescent="0.25">
      <c r="B1777" s="26" t="s">
        <v>1236</v>
      </c>
      <c r="C1777" s="1">
        <v>8</v>
      </c>
      <c r="D1777" s="27" t="s">
        <v>3253</v>
      </c>
      <c r="E1777" s="25"/>
      <c r="F1777" s="25" t="str">
        <f>IF(INDEX(I.Electricity.P2Y1C2,8)="","",INDEX(I.Electricity.P2Y1C2,8))</f>
        <v/>
      </c>
      <c r="G1777" s="25"/>
      <c r="H1777" s="1" t="str">
        <f t="shared" si="67"/>
        <v>Complete</v>
      </c>
      <c r="I1777" s="48" t="s">
        <v>1588</v>
      </c>
    </row>
    <row r="1778" spans="2:9" ht="15" customHeight="1" x14ac:dyDescent="0.25">
      <c r="B1778" s="26" t="s">
        <v>1236</v>
      </c>
      <c r="C1778" s="1">
        <v>9</v>
      </c>
      <c r="D1778" s="27" t="s">
        <v>3253</v>
      </c>
      <c r="E1778" s="25"/>
      <c r="F1778" s="25" t="str">
        <f>IF(INDEX(I.Electricity.P2Y1C2,9)="","",INDEX(I.Electricity.P2Y1C2,9))</f>
        <v/>
      </c>
      <c r="G1778" s="25"/>
      <c r="H1778" s="1" t="str">
        <f t="shared" si="67"/>
        <v>Complete</v>
      </c>
      <c r="I1778" s="48" t="s">
        <v>1589</v>
      </c>
    </row>
    <row r="1779" spans="2:9" ht="15" customHeight="1" x14ac:dyDescent="0.25">
      <c r="B1779" s="26" t="s">
        <v>1236</v>
      </c>
      <c r="C1779" s="1">
        <v>10</v>
      </c>
      <c r="D1779" s="27" t="s">
        <v>3253</v>
      </c>
      <c r="E1779" s="25"/>
      <c r="F1779" s="25" t="str">
        <f>IF(INDEX(I.Electricity.P2Y1C2,10)="","",INDEX(I.Electricity.P2Y1C2,10))</f>
        <v/>
      </c>
      <c r="G1779" s="25"/>
      <c r="H1779" s="1" t="str">
        <f t="shared" si="67"/>
        <v>Complete</v>
      </c>
      <c r="I1779" s="48" t="s">
        <v>1590</v>
      </c>
    </row>
    <row r="1780" spans="2:9" ht="15" customHeight="1" x14ac:dyDescent="0.25">
      <c r="B1780" s="26" t="s">
        <v>1236</v>
      </c>
      <c r="C1780" s="1">
        <v>11</v>
      </c>
      <c r="D1780" s="27" t="s">
        <v>3253</v>
      </c>
      <c r="E1780" s="25"/>
      <c r="F1780" s="25" t="str">
        <f>IF(INDEX(I.Electricity.P2Y1C2,11)="","",INDEX(I.Electricity.P2Y1C2,11))</f>
        <v/>
      </c>
      <c r="G1780" s="25"/>
      <c r="H1780" s="1" t="str">
        <f t="shared" si="67"/>
        <v>Complete</v>
      </c>
      <c r="I1780" s="48" t="s">
        <v>1591</v>
      </c>
    </row>
    <row r="1781" spans="2:9" ht="15" customHeight="1" x14ac:dyDescent="0.25">
      <c r="B1781" s="26" t="s">
        <v>1236</v>
      </c>
      <c r="C1781" s="1">
        <v>12</v>
      </c>
      <c r="D1781" s="27" t="s">
        <v>3253</v>
      </c>
      <c r="E1781" s="25"/>
      <c r="F1781" s="25" t="str">
        <f>IF(INDEX(I.Electricity.P2Y1C2,12)="","",INDEX(I.Electricity.P2Y1C2,12))</f>
        <v/>
      </c>
      <c r="G1781" s="25"/>
      <c r="H1781" s="1" t="str">
        <f t="shared" si="67"/>
        <v>Complete</v>
      </c>
      <c r="I1781" s="48" t="s">
        <v>1592</v>
      </c>
    </row>
    <row r="1782" spans="2:9" ht="15" customHeight="1" x14ac:dyDescent="0.25">
      <c r="B1782" s="26" t="s">
        <v>1236</v>
      </c>
      <c r="C1782" s="1">
        <v>13</v>
      </c>
      <c r="D1782" s="27" t="s">
        <v>3253</v>
      </c>
      <c r="E1782" s="25"/>
      <c r="F1782" s="25" t="str">
        <f>IF(INDEX(I.Electricity.P2Y1C2,13)="","",INDEX(I.Electricity.P2Y1C2,13))</f>
        <v/>
      </c>
      <c r="G1782" s="25"/>
      <c r="H1782" s="1" t="str">
        <f t="shared" si="67"/>
        <v>Complete</v>
      </c>
      <c r="I1782" s="48" t="s">
        <v>1593</v>
      </c>
    </row>
    <row r="1783" spans="2:9" ht="15" customHeight="1" x14ac:dyDescent="0.25">
      <c r="B1783" s="26" t="s">
        <v>1236</v>
      </c>
      <c r="C1783" s="1">
        <v>14</v>
      </c>
      <c r="D1783" s="27" t="s">
        <v>3253</v>
      </c>
      <c r="E1783" s="25"/>
      <c r="F1783" s="25" t="str">
        <f>IF(INDEX(I.Electricity.P2Y1C2,14)="","",INDEX(I.Electricity.P2Y1C2,14))</f>
        <v/>
      </c>
      <c r="G1783" s="25"/>
      <c r="H1783" s="1" t="str">
        <f t="shared" si="67"/>
        <v>Complete</v>
      </c>
      <c r="I1783" s="48" t="s">
        <v>1594</v>
      </c>
    </row>
    <row r="1784" spans="2:9" ht="15" customHeight="1" x14ac:dyDescent="0.25">
      <c r="B1784" s="26" t="s">
        <v>1236</v>
      </c>
      <c r="C1784" s="1">
        <v>15</v>
      </c>
      <c r="D1784" s="27" t="s">
        <v>3253</v>
      </c>
      <c r="E1784" s="25"/>
      <c r="F1784" s="25" t="str">
        <f>IF(INDEX(I.Electricity.P2Y1C2,15)="","",INDEX(I.Electricity.P2Y1C2,15))</f>
        <v/>
      </c>
      <c r="G1784" s="25"/>
      <c r="H1784" s="1" t="str">
        <f t="shared" si="67"/>
        <v>Complete</v>
      </c>
      <c r="I1784" s="48" t="s">
        <v>1595</v>
      </c>
    </row>
    <row r="1785" spans="2:9" ht="15" customHeight="1" x14ac:dyDescent="0.25">
      <c r="B1785" s="26" t="s">
        <v>1236</v>
      </c>
      <c r="C1785" s="1">
        <v>16</v>
      </c>
      <c r="D1785" s="27" t="s">
        <v>3253</v>
      </c>
      <c r="E1785" s="25"/>
      <c r="F1785" s="25" t="str">
        <f>IF(INDEX(I.Electricity.P2Y1C2,16)="","",INDEX(I.Electricity.P2Y1C2,16))</f>
        <v/>
      </c>
      <c r="G1785" s="25"/>
      <c r="H1785" s="1" t="str">
        <f t="shared" si="67"/>
        <v>Complete</v>
      </c>
      <c r="I1785" s="48" t="s">
        <v>1596</v>
      </c>
    </row>
    <row r="1786" spans="2:9" ht="15" customHeight="1" x14ac:dyDescent="0.25">
      <c r="B1786" s="26" t="s">
        <v>1236</v>
      </c>
      <c r="C1786" s="1">
        <v>17</v>
      </c>
      <c r="D1786" s="27" t="s">
        <v>3253</v>
      </c>
      <c r="E1786" s="25"/>
      <c r="F1786" s="25" t="str">
        <f>IF(INDEX(I.Electricity.P2Y1C2,17)="","",INDEX(I.Electricity.P2Y1C2,17))</f>
        <v/>
      </c>
      <c r="G1786" s="25"/>
      <c r="H1786" s="1" t="str">
        <f t="shared" si="67"/>
        <v>Complete</v>
      </c>
      <c r="I1786" s="48" t="s">
        <v>1597</v>
      </c>
    </row>
    <row r="1787" spans="2:9" ht="15" customHeight="1" x14ac:dyDescent="0.25">
      <c r="B1787" s="26" t="s">
        <v>1236</v>
      </c>
      <c r="C1787" s="1">
        <v>18</v>
      </c>
      <c r="D1787" s="27" t="s">
        <v>3253</v>
      </c>
      <c r="E1787" s="25"/>
      <c r="F1787" s="25" t="str">
        <f>IF(INDEX(I.Electricity.P2Y1C2,18)="","",INDEX(I.Electricity.P2Y1C2,18))</f>
        <v/>
      </c>
      <c r="G1787" s="25"/>
      <c r="H1787" s="1" t="str">
        <f t="shared" si="67"/>
        <v>Complete</v>
      </c>
      <c r="I1787" s="48" t="s">
        <v>1598</v>
      </c>
    </row>
    <row r="1788" spans="2:9" ht="15" customHeight="1" x14ac:dyDescent="0.25">
      <c r="B1788" s="26" t="s">
        <v>1236</v>
      </c>
      <c r="C1788" s="1">
        <v>19</v>
      </c>
      <c r="D1788" s="27" t="s">
        <v>3253</v>
      </c>
      <c r="E1788" s="25"/>
      <c r="F1788" s="25" t="str">
        <f>IF(INDEX(I.Electricity.P2Y1C2,19)="","",INDEX(I.Electricity.P2Y1C2,19))</f>
        <v/>
      </c>
      <c r="G1788" s="25"/>
      <c r="H1788" s="1" t="str">
        <f t="shared" si="67"/>
        <v>Complete</v>
      </c>
      <c r="I1788" s="48" t="s">
        <v>1599</v>
      </c>
    </row>
    <row r="1789" spans="2:9" ht="15" customHeight="1" x14ac:dyDescent="0.25">
      <c r="B1789" s="26" t="s">
        <v>1236</v>
      </c>
      <c r="C1789" s="1">
        <v>20</v>
      </c>
      <c r="D1789" s="27" t="s">
        <v>3253</v>
      </c>
      <c r="E1789" s="25"/>
      <c r="F1789" s="25" t="str">
        <f>IF(INDEX(I.Electricity.P2Y1C2,20)="","",INDEX(I.Electricity.P2Y1C2,20))</f>
        <v/>
      </c>
      <c r="G1789" s="25"/>
      <c r="H1789" s="1" t="str">
        <f t="shared" si="67"/>
        <v>Complete</v>
      </c>
      <c r="I1789" s="48" t="s">
        <v>1600</v>
      </c>
    </row>
    <row r="1790" spans="2:9" ht="15" customHeight="1" x14ac:dyDescent="0.25">
      <c r="B1790" s="26" t="s">
        <v>1236</v>
      </c>
      <c r="C1790" s="1">
        <v>21</v>
      </c>
      <c r="D1790" s="27" t="s">
        <v>3253</v>
      </c>
      <c r="E1790" s="25"/>
      <c r="F1790" s="25" t="str">
        <f>IF(INDEX(I.Electricity.P2Y1C2,21)="","",INDEX(I.Electricity.P2Y1C2,21))</f>
        <v/>
      </c>
      <c r="G1790" s="25"/>
      <c r="H1790" s="1" t="str">
        <f t="shared" si="67"/>
        <v>Complete</v>
      </c>
      <c r="I1790" s="48" t="s">
        <v>1601</v>
      </c>
    </row>
    <row r="1791" spans="2:9" ht="15" customHeight="1" x14ac:dyDescent="0.25">
      <c r="B1791" s="26" t="s">
        <v>1236</v>
      </c>
      <c r="C1791" s="1">
        <v>22</v>
      </c>
      <c r="D1791" s="27" t="s">
        <v>3253</v>
      </c>
      <c r="E1791" s="25"/>
      <c r="F1791" s="25" t="str">
        <f>IF(INDEX(I.Electricity.P2Y1C2,22)="","",INDEX(I.Electricity.P2Y1C2,22))</f>
        <v/>
      </c>
      <c r="G1791" s="25"/>
      <c r="H1791" s="1" t="str">
        <f t="shared" si="67"/>
        <v>Complete</v>
      </c>
      <c r="I1791" s="48" t="s">
        <v>1602</v>
      </c>
    </row>
    <row r="1792" spans="2:9" ht="15" customHeight="1" x14ac:dyDescent="0.25">
      <c r="B1792" s="26" t="s">
        <v>1236</v>
      </c>
      <c r="C1792" s="1">
        <v>23</v>
      </c>
      <c r="D1792" s="27" t="s">
        <v>3253</v>
      </c>
      <c r="E1792" s="25"/>
      <c r="F1792" s="25" t="str">
        <f>IF(INDEX(I.Electricity.P2Y1C2,23)="","",INDEX(I.Electricity.P2Y1C2,23))</f>
        <v/>
      </c>
      <c r="G1792" s="25"/>
      <c r="H1792" s="1" t="str">
        <f t="shared" si="67"/>
        <v>Complete</v>
      </c>
      <c r="I1792" s="48" t="s">
        <v>1603</v>
      </c>
    </row>
    <row r="1793" spans="2:9" ht="15" customHeight="1" x14ac:dyDescent="0.25">
      <c r="B1793" s="34" t="s">
        <v>1236</v>
      </c>
      <c r="C1793" s="35">
        <v>24</v>
      </c>
      <c r="D1793" s="46" t="s">
        <v>3253</v>
      </c>
      <c r="E1793" s="45"/>
      <c r="F1793" s="45" t="str">
        <f>IF(INDEX(I.Electricity.P2Y1C2,24)="","",INDEX(I.Electricity.P2Y1C2,24))</f>
        <v/>
      </c>
      <c r="G1793" s="45"/>
      <c r="H1793" s="35" t="str">
        <f t="shared" si="67"/>
        <v>Complete</v>
      </c>
      <c r="I1793" s="49" t="s">
        <v>1604</v>
      </c>
    </row>
    <row r="1794" spans="2:9" ht="15" customHeight="1" x14ac:dyDescent="0.25">
      <c r="B1794" s="26" t="s">
        <v>1237</v>
      </c>
      <c r="C1794" s="1">
        <v>1</v>
      </c>
      <c r="D1794" s="27" t="s">
        <v>3254</v>
      </c>
      <c r="E1794" s="25"/>
      <c r="F1794" s="25" t="str">
        <f>IF(INDEX(I.Electricity.P2Y2C2,1)="","",INDEX(I.Electricity.P2Y2C2,1))</f>
        <v/>
      </c>
      <c r="G1794" s="25"/>
      <c r="H1794" s="1" t="str">
        <f t="shared" si="67"/>
        <v>Complete</v>
      </c>
      <c r="I1794" s="48" t="s">
        <v>1605</v>
      </c>
    </row>
    <row r="1795" spans="2:9" ht="15" customHeight="1" x14ac:dyDescent="0.25">
      <c r="B1795" s="26" t="s">
        <v>1237</v>
      </c>
      <c r="C1795" s="1">
        <v>2</v>
      </c>
      <c r="D1795" s="27" t="s">
        <v>3254</v>
      </c>
      <c r="E1795" s="25"/>
      <c r="F1795" s="25" t="str">
        <f>IF(INDEX(I.Electricity.P2Y2C2,2)="","",INDEX(I.Electricity.P2Y2C2,2))</f>
        <v/>
      </c>
      <c r="G1795" s="25"/>
      <c r="H1795" s="1" t="str">
        <f t="shared" si="67"/>
        <v>Complete</v>
      </c>
      <c r="I1795" s="48" t="s">
        <v>1606</v>
      </c>
    </row>
    <row r="1796" spans="2:9" ht="15" customHeight="1" x14ac:dyDescent="0.25">
      <c r="B1796" s="26" t="s">
        <v>1237</v>
      </c>
      <c r="C1796" s="1">
        <v>3</v>
      </c>
      <c r="D1796" s="27" t="s">
        <v>3254</v>
      </c>
      <c r="E1796" s="25"/>
      <c r="F1796" s="25" t="str">
        <f>IF(INDEX(I.Electricity.P2Y2C2,3)="","",INDEX(I.Electricity.P2Y2C2,3))</f>
        <v/>
      </c>
      <c r="G1796" s="25"/>
      <c r="H1796" s="1" t="str">
        <f t="shared" si="67"/>
        <v>Complete</v>
      </c>
      <c r="I1796" s="48" t="s">
        <v>1607</v>
      </c>
    </row>
    <row r="1797" spans="2:9" ht="15" customHeight="1" x14ac:dyDescent="0.25">
      <c r="B1797" s="26" t="s">
        <v>1237</v>
      </c>
      <c r="C1797" s="1">
        <v>4</v>
      </c>
      <c r="D1797" s="27" t="s">
        <v>3254</v>
      </c>
      <c r="E1797" s="25"/>
      <c r="F1797" s="25" t="str">
        <f>IF(INDEX(I.Electricity.P2Y2C2,4)="","",INDEX(I.Electricity.P2Y2C2,4))</f>
        <v/>
      </c>
      <c r="G1797" s="25"/>
      <c r="H1797" s="1" t="str">
        <f t="shared" si="67"/>
        <v>Complete</v>
      </c>
      <c r="I1797" s="48" t="s">
        <v>1608</v>
      </c>
    </row>
    <row r="1798" spans="2:9" ht="15" customHeight="1" x14ac:dyDescent="0.25">
      <c r="B1798" s="26" t="s">
        <v>1237</v>
      </c>
      <c r="C1798" s="1">
        <v>5</v>
      </c>
      <c r="D1798" s="27" t="s">
        <v>3254</v>
      </c>
      <c r="E1798" s="25"/>
      <c r="F1798" s="25" t="str">
        <f>IF(INDEX(I.Electricity.P2Y2C2,5)="","",INDEX(I.Electricity.P2Y2C2,5))</f>
        <v/>
      </c>
      <c r="G1798" s="25"/>
      <c r="H1798" s="1" t="str">
        <f t="shared" si="67"/>
        <v>Complete</v>
      </c>
      <c r="I1798" s="48" t="s">
        <v>1609</v>
      </c>
    </row>
    <row r="1799" spans="2:9" ht="15" customHeight="1" x14ac:dyDescent="0.25">
      <c r="B1799" s="26" t="s">
        <v>1237</v>
      </c>
      <c r="C1799" s="1">
        <v>6</v>
      </c>
      <c r="D1799" s="27" t="s">
        <v>3254</v>
      </c>
      <c r="E1799" s="25"/>
      <c r="F1799" s="25" t="str">
        <f>IF(INDEX(I.Electricity.P2Y2C2,6)="","",INDEX(I.Electricity.P2Y2C2,6))</f>
        <v/>
      </c>
      <c r="G1799" s="25"/>
      <c r="H1799" s="1" t="str">
        <f t="shared" si="67"/>
        <v>Complete</v>
      </c>
      <c r="I1799" s="48" t="s">
        <v>1610</v>
      </c>
    </row>
    <row r="1800" spans="2:9" ht="15" customHeight="1" x14ac:dyDescent="0.25">
      <c r="B1800" s="26" t="s">
        <v>1237</v>
      </c>
      <c r="C1800" s="1">
        <v>7</v>
      </c>
      <c r="D1800" s="27" t="s">
        <v>3254</v>
      </c>
      <c r="E1800" s="25"/>
      <c r="F1800" s="25" t="str">
        <f>IF(INDEX(I.Electricity.P2Y2C2,7)="","",INDEX(I.Electricity.P2Y2C2,7))</f>
        <v/>
      </c>
      <c r="G1800" s="25"/>
      <c r="H1800" s="1" t="str">
        <f t="shared" si="67"/>
        <v>Complete</v>
      </c>
      <c r="I1800" s="48" t="s">
        <v>1611</v>
      </c>
    </row>
    <row r="1801" spans="2:9" ht="15" customHeight="1" x14ac:dyDescent="0.25">
      <c r="B1801" s="26" t="s">
        <v>1237</v>
      </c>
      <c r="C1801" s="1">
        <v>8</v>
      </c>
      <c r="D1801" s="27" t="s">
        <v>3254</v>
      </c>
      <c r="E1801" s="25"/>
      <c r="F1801" s="25" t="str">
        <f>IF(INDEX(I.Electricity.P2Y2C2,8)="","",INDEX(I.Electricity.P2Y2C2,8))</f>
        <v/>
      </c>
      <c r="G1801" s="25"/>
      <c r="H1801" s="1" t="str">
        <f t="shared" si="67"/>
        <v>Complete</v>
      </c>
      <c r="I1801" s="48" t="s">
        <v>1612</v>
      </c>
    </row>
    <row r="1802" spans="2:9" ht="15" customHeight="1" x14ac:dyDescent="0.25">
      <c r="B1802" s="26" t="s">
        <v>1237</v>
      </c>
      <c r="C1802" s="1">
        <v>9</v>
      </c>
      <c r="D1802" s="27" t="s">
        <v>3254</v>
      </c>
      <c r="E1802" s="25"/>
      <c r="F1802" s="25" t="str">
        <f>IF(INDEX(I.Electricity.P2Y2C2,9)="","",INDEX(I.Electricity.P2Y2C2,9))</f>
        <v/>
      </c>
      <c r="G1802" s="25"/>
      <c r="H1802" s="1" t="str">
        <f t="shared" si="67"/>
        <v>Complete</v>
      </c>
      <c r="I1802" s="48" t="s">
        <v>1613</v>
      </c>
    </row>
    <row r="1803" spans="2:9" ht="15" customHeight="1" x14ac:dyDescent="0.25">
      <c r="B1803" s="26" t="s">
        <v>1237</v>
      </c>
      <c r="C1803" s="1">
        <v>10</v>
      </c>
      <c r="D1803" s="27" t="s">
        <v>3254</v>
      </c>
      <c r="E1803" s="25"/>
      <c r="F1803" s="25" t="str">
        <f>IF(INDEX(I.Electricity.P2Y2C2,10)="","",INDEX(I.Electricity.P2Y2C2,10))</f>
        <v/>
      </c>
      <c r="G1803" s="25"/>
      <c r="H1803" s="1" t="str">
        <f t="shared" si="67"/>
        <v>Complete</v>
      </c>
      <c r="I1803" s="48" t="s">
        <v>1614</v>
      </c>
    </row>
    <row r="1804" spans="2:9" ht="15" customHeight="1" x14ac:dyDescent="0.25">
      <c r="B1804" s="26" t="s">
        <v>1237</v>
      </c>
      <c r="C1804" s="1">
        <v>11</v>
      </c>
      <c r="D1804" s="27" t="s">
        <v>3254</v>
      </c>
      <c r="E1804" s="25"/>
      <c r="F1804" s="25" t="str">
        <f>IF(INDEX(I.Electricity.P2Y2C2,11)="","",INDEX(I.Electricity.P2Y2C2,11))</f>
        <v/>
      </c>
      <c r="G1804" s="25"/>
      <c r="H1804" s="1" t="str">
        <f t="shared" si="67"/>
        <v>Complete</v>
      </c>
      <c r="I1804" s="48" t="s">
        <v>1615</v>
      </c>
    </row>
    <row r="1805" spans="2:9" ht="15" customHeight="1" x14ac:dyDescent="0.25">
      <c r="B1805" s="26" t="s">
        <v>1237</v>
      </c>
      <c r="C1805" s="1">
        <v>12</v>
      </c>
      <c r="D1805" s="27" t="s">
        <v>3254</v>
      </c>
      <c r="E1805" s="25"/>
      <c r="F1805" s="25" t="str">
        <f>IF(INDEX(I.Electricity.P2Y2C2,12)="","",INDEX(I.Electricity.P2Y2C2,12))</f>
        <v/>
      </c>
      <c r="G1805" s="25"/>
      <c r="H1805" s="1" t="str">
        <f t="shared" si="67"/>
        <v>Complete</v>
      </c>
      <c r="I1805" s="48" t="s">
        <v>1616</v>
      </c>
    </row>
    <row r="1806" spans="2:9" ht="15" customHeight="1" x14ac:dyDescent="0.25">
      <c r="B1806" s="26" t="s">
        <v>1237</v>
      </c>
      <c r="C1806" s="1">
        <v>13</v>
      </c>
      <c r="D1806" s="27" t="s">
        <v>3254</v>
      </c>
      <c r="E1806" s="25"/>
      <c r="F1806" s="25" t="str">
        <f>IF(INDEX(I.Electricity.P2Y2C2,13)="","",INDEX(I.Electricity.P2Y2C2,13))</f>
        <v/>
      </c>
      <c r="G1806" s="25"/>
      <c r="H1806" s="1" t="str">
        <f t="shared" si="67"/>
        <v>Complete</v>
      </c>
      <c r="I1806" s="48" t="s">
        <v>1617</v>
      </c>
    </row>
    <row r="1807" spans="2:9" ht="15" customHeight="1" x14ac:dyDescent="0.25">
      <c r="B1807" s="26" t="s">
        <v>1237</v>
      </c>
      <c r="C1807" s="1">
        <v>14</v>
      </c>
      <c r="D1807" s="27" t="s">
        <v>3254</v>
      </c>
      <c r="E1807" s="25"/>
      <c r="F1807" s="25" t="str">
        <f>IF(INDEX(I.Electricity.P2Y2C2,14)="","",INDEX(I.Electricity.P2Y2C2,14))</f>
        <v/>
      </c>
      <c r="G1807" s="25"/>
      <c r="H1807" s="1" t="str">
        <f t="shared" si="67"/>
        <v>Complete</v>
      </c>
      <c r="I1807" s="48" t="s">
        <v>1618</v>
      </c>
    </row>
    <row r="1808" spans="2:9" ht="15" customHeight="1" x14ac:dyDescent="0.25">
      <c r="B1808" s="26" t="s">
        <v>1237</v>
      </c>
      <c r="C1808" s="1">
        <v>15</v>
      </c>
      <c r="D1808" s="27" t="s">
        <v>3254</v>
      </c>
      <c r="E1808" s="25"/>
      <c r="F1808" s="25" t="str">
        <f>IF(INDEX(I.Electricity.P2Y2C2,15)="","",INDEX(I.Electricity.P2Y2C2,15))</f>
        <v/>
      </c>
      <c r="G1808" s="25"/>
      <c r="H1808" s="1" t="str">
        <f t="shared" si="67"/>
        <v>Complete</v>
      </c>
      <c r="I1808" s="48" t="s">
        <v>1619</v>
      </c>
    </row>
    <row r="1809" spans="2:9" ht="15" customHeight="1" x14ac:dyDescent="0.25">
      <c r="B1809" s="26" t="s">
        <v>1237</v>
      </c>
      <c r="C1809" s="1">
        <v>16</v>
      </c>
      <c r="D1809" s="27" t="s">
        <v>3254</v>
      </c>
      <c r="E1809" s="25"/>
      <c r="F1809" s="25" t="str">
        <f>IF(INDEX(I.Electricity.P2Y2C2,16)="","",INDEX(I.Electricity.P2Y2C2,16))</f>
        <v/>
      </c>
      <c r="G1809" s="25"/>
      <c r="H1809" s="1" t="str">
        <f t="shared" si="67"/>
        <v>Complete</v>
      </c>
      <c r="I1809" s="48" t="s">
        <v>1620</v>
      </c>
    </row>
    <row r="1810" spans="2:9" ht="15" customHeight="1" x14ac:dyDescent="0.25">
      <c r="B1810" s="26" t="s">
        <v>1237</v>
      </c>
      <c r="C1810" s="1">
        <v>17</v>
      </c>
      <c r="D1810" s="27" t="s">
        <v>3254</v>
      </c>
      <c r="E1810" s="25"/>
      <c r="F1810" s="25" t="str">
        <f>IF(INDEX(I.Electricity.P2Y2C2,17)="","",INDEX(I.Electricity.P2Y2C2,17))</f>
        <v/>
      </c>
      <c r="G1810" s="25"/>
      <c r="H1810" s="1" t="str">
        <f t="shared" si="67"/>
        <v>Complete</v>
      </c>
      <c r="I1810" s="48" t="s">
        <v>1621</v>
      </c>
    </row>
    <row r="1811" spans="2:9" ht="15" customHeight="1" x14ac:dyDescent="0.25">
      <c r="B1811" s="26" t="s">
        <v>1237</v>
      </c>
      <c r="C1811" s="1">
        <v>18</v>
      </c>
      <c r="D1811" s="27" t="s">
        <v>3254</v>
      </c>
      <c r="E1811" s="25"/>
      <c r="F1811" s="25" t="str">
        <f>IF(INDEX(I.Electricity.P2Y2C2,18)="","",INDEX(I.Electricity.P2Y2C2,18))</f>
        <v/>
      </c>
      <c r="G1811" s="25"/>
      <c r="H1811" s="1" t="str">
        <f t="shared" si="67"/>
        <v>Complete</v>
      </c>
      <c r="I1811" s="48" t="s">
        <v>1622</v>
      </c>
    </row>
    <row r="1812" spans="2:9" ht="15" customHeight="1" x14ac:dyDescent="0.25">
      <c r="B1812" s="26" t="s">
        <v>1237</v>
      </c>
      <c r="C1812" s="1">
        <v>19</v>
      </c>
      <c r="D1812" s="27" t="s">
        <v>3254</v>
      </c>
      <c r="E1812" s="25"/>
      <c r="F1812" s="25" t="str">
        <f>IF(INDEX(I.Electricity.P2Y2C2,19)="","",INDEX(I.Electricity.P2Y2C2,19))</f>
        <v/>
      </c>
      <c r="G1812" s="25"/>
      <c r="H1812" s="1" t="str">
        <f t="shared" si="67"/>
        <v>Complete</v>
      </c>
      <c r="I1812" s="48" t="s">
        <v>1623</v>
      </c>
    </row>
    <row r="1813" spans="2:9" ht="15" customHeight="1" x14ac:dyDescent="0.25">
      <c r="B1813" s="26" t="s">
        <v>1237</v>
      </c>
      <c r="C1813" s="1">
        <v>20</v>
      </c>
      <c r="D1813" s="27" t="s">
        <v>3254</v>
      </c>
      <c r="E1813" s="25"/>
      <c r="F1813" s="25" t="str">
        <f>IF(INDEX(I.Electricity.P2Y2C2,20)="","",INDEX(I.Electricity.P2Y2C2,20))</f>
        <v/>
      </c>
      <c r="G1813" s="25"/>
      <c r="H1813" s="1" t="str">
        <f t="shared" si="67"/>
        <v>Complete</v>
      </c>
      <c r="I1813" s="48" t="s">
        <v>1624</v>
      </c>
    </row>
    <row r="1814" spans="2:9" ht="15" customHeight="1" x14ac:dyDescent="0.25">
      <c r="B1814" s="26" t="s">
        <v>1237</v>
      </c>
      <c r="C1814" s="1">
        <v>21</v>
      </c>
      <c r="D1814" s="27" t="s">
        <v>3254</v>
      </c>
      <c r="E1814" s="25"/>
      <c r="F1814" s="25" t="str">
        <f>IF(INDEX(I.Electricity.P2Y2C2,21)="","",INDEX(I.Electricity.P2Y2C2,21))</f>
        <v/>
      </c>
      <c r="G1814" s="25"/>
      <c r="H1814" s="1" t="str">
        <f t="shared" si="67"/>
        <v>Complete</v>
      </c>
      <c r="I1814" s="48" t="s">
        <v>1625</v>
      </c>
    </row>
    <row r="1815" spans="2:9" ht="15" customHeight="1" x14ac:dyDescent="0.25">
      <c r="B1815" s="26" t="s">
        <v>1237</v>
      </c>
      <c r="C1815" s="1">
        <v>22</v>
      </c>
      <c r="D1815" s="27" t="s">
        <v>3254</v>
      </c>
      <c r="E1815" s="25"/>
      <c r="F1815" s="25" t="str">
        <f>IF(INDEX(I.Electricity.P2Y2C2,22)="","",INDEX(I.Electricity.P2Y2C2,22))</f>
        <v/>
      </c>
      <c r="G1815" s="25"/>
      <c r="H1815" s="1" t="str">
        <f t="shared" si="67"/>
        <v>Complete</v>
      </c>
      <c r="I1815" s="48" t="s">
        <v>1626</v>
      </c>
    </row>
    <row r="1816" spans="2:9" ht="15" customHeight="1" x14ac:dyDescent="0.25">
      <c r="B1816" s="26" t="s">
        <v>1237</v>
      </c>
      <c r="C1816" s="1">
        <v>23</v>
      </c>
      <c r="D1816" s="27" t="s">
        <v>3254</v>
      </c>
      <c r="E1816" s="25"/>
      <c r="F1816" s="25" t="str">
        <f>IF(INDEX(I.Electricity.P2Y2C2,23)="","",INDEX(I.Electricity.P2Y2C2,23))</f>
        <v/>
      </c>
      <c r="G1816" s="25"/>
      <c r="H1816" s="1" t="str">
        <f t="shared" si="67"/>
        <v>Complete</v>
      </c>
      <c r="I1816" s="48" t="s">
        <v>1627</v>
      </c>
    </row>
    <row r="1817" spans="2:9" ht="15" customHeight="1" x14ac:dyDescent="0.25">
      <c r="B1817" s="34" t="s">
        <v>1237</v>
      </c>
      <c r="C1817" s="35">
        <v>24</v>
      </c>
      <c r="D1817" s="46" t="s">
        <v>3254</v>
      </c>
      <c r="E1817" s="45"/>
      <c r="F1817" s="45" t="str">
        <f>IF(INDEX(I.Electricity.P2Y2C2,24)="","",INDEX(I.Electricity.P2Y2C2,24))</f>
        <v/>
      </c>
      <c r="G1817" s="45"/>
      <c r="H1817" s="35" t="str">
        <f t="shared" si="67"/>
        <v>Complete</v>
      </c>
      <c r="I1817" s="49" t="s">
        <v>1628</v>
      </c>
    </row>
    <row r="1818" spans="2:9" ht="15" customHeight="1" x14ac:dyDescent="0.25">
      <c r="B1818" s="26" t="s">
        <v>1238</v>
      </c>
      <c r="C1818" s="1">
        <v>1</v>
      </c>
      <c r="D1818" s="27" t="s">
        <v>3255</v>
      </c>
      <c r="E1818" s="25"/>
      <c r="F1818" s="25" t="str">
        <f>IF(INDEX(I.Electricity.P2Y3C2,1)="","",INDEX(I.Electricity.P2Y3C2,1))</f>
        <v/>
      </c>
      <c r="G1818" s="25"/>
      <c r="H1818" s="1" t="str">
        <f t="shared" ref="H1818:H1841" si="68">IF(AND(I.Facility.ProductCount&gt;=2,I.Product.P2Electricity="Yes",I.Developer.P2C2=TRUE,I.Product.P2Status&lt;&gt;"Yes",F1818=""),"Incomplete","Complete")</f>
        <v>Complete</v>
      </c>
      <c r="I1818" s="48" t="s">
        <v>1629</v>
      </c>
    </row>
    <row r="1819" spans="2:9" ht="15" customHeight="1" x14ac:dyDescent="0.25">
      <c r="B1819" s="26" t="s">
        <v>1238</v>
      </c>
      <c r="C1819" s="1">
        <v>2</v>
      </c>
      <c r="D1819" s="27" t="s">
        <v>3255</v>
      </c>
      <c r="E1819" s="25"/>
      <c r="F1819" s="25" t="str">
        <f>IF(INDEX(I.Electricity.P2Y3C2,2)="","",INDEX(I.Electricity.P2Y3C2,2))</f>
        <v/>
      </c>
      <c r="G1819" s="25"/>
      <c r="H1819" s="1" t="str">
        <f t="shared" si="68"/>
        <v>Complete</v>
      </c>
      <c r="I1819" s="48" t="s">
        <v>1630</v>
      </c>
    </row>
    <row r="1820" spans="2:9" ht="15" customHeight="1" x14ac:dyDescent="0.25">
      <c r="B1820" s="26" t="s">
        <v>1238</v>
      </c>
      <c r="C1820" s="1">
        <v>3</v>
      </c>
      <c r="D1820" s="27" t="s">
        <v>3255</v>
      </c>
      <c r="E1820" s="25"/>
      <c r="F1820" s="25" t="str">
        <f>IF(INDEX(I.Electricity.P2Y3C2,3)="","",INDEX(I.Electricity.P2Y3C2,3))</f>
        <v/>
      </c>
      <c r="G1820" s="25"/>
      <c r="H1820" s="1" t="str">
        <f t="shared" si="68"/>
        <v>Complete</v>
      </c>
      <c r="I1820" s="48" t="s">
        <v>1631</v>
      </c>
    </row>
    <row r="1821" spans="2:9" ht="15" customHeight="1" x14ac:dyDescent="0.25">
      <c r="B1821" s="26" t="s">
        <v>1238</v>
      </c>
      <c r="C1821" s="1">
        <v>4</v>
      </c>
      <c r="D1821" s="27" t="s">
        <v>3255</v>
      </c>
      <c r="E1821" s="25"/>
      <c r="F1821" s="25" t="str">
        <f>IF(INDEX(I.Electricity.P2Y3C2,4)="","",INDEX(I.Electricity.P2Y3C2,4))</f>
        <v/>
      </c>
      <c r="G1821" s="25"/>
      <c r="H1821" s="1" t="str">
        <f t="shared" si="68"/>
        <v>Complete</v>
      </c>
      <c r="I1821" s="48" t="s">
        <v>1632</v>
      </c>
    </row>
    <row r="1822" spans="2:9" ht="15" customHeight="1" x14ac:dyDescent="0.25">
      <c r="B1822" s="26" t="s">
        <v>1238</v>
      </c>
      <c r="C1822" s="1">
        <v>5</v>
      </c>
      <c r="D1822" s="27" t="s">
        <v>3255</v>
      </c>
      <c r="E1822" s="25"/>
      <c r="F1822" s="25" t="str">
        <f>IF(INDEX(I.Electricity.P2Y3C2,5)="","",INDEX(I.Electricity.P2Y3C2,5))</f>
        <v/>
      </c>
      <c r="G1822" s="25"/>
      <c r="H1822" s="1" t="str">
        <f t="shared" si="68"/>
        <v>Complete</v>
      </c>
      <c r="I1822" s="48" t="s">
        <v>1633</v>
      </c>
    </row>
    <row r="1823" spans="2:9" ht="15" customHeight="1" x14ac:dyDescent="0.25">
      <c r="B1823" s="26" t="s">
        <v>1238</v>
      </c>
      <c r="C1823" s="1">
        <v>6</v>
      </c>
      <c r="D1823" s="27" t="s">
        <v>3255</v>
      </c>
      <c r="E1823" s="25"/>
      <c r="F1823" s="25" t="str">
        <f>IF(INDEX(I.Electricity.P2Y3C2,6)="","",INDEX(I.Electricity.P2Y3C2,6))</f>
        <v/>
      </c>
      <c r="G1823" s="25"/>
      <c r="H1823" s="1" t="str">
        <f t="shared" si="68"/>
        <v>Complete</v>
      </c>
      <c r="I1823" s="48" t="s">
        <v>1634</v>
      </c>
    </row>
    <row r="1824" spans="2:9" ht="15" customHeight="1" x14ac:dyDescent="0.25">
      <c r="B1824" s="26" t="s">
        <v>1238</v>
      </c>
      <c r="C1824" s="1">
        <v>7</v>
      </c>
      <c r="D1824" s="27" t="s">
        <v>3255</v>
      </c>
      <c r="E1824" s="25"/>
      <c r="F1824" s="25" t="str">
        <f>IF(INDEX(I.Electricity.P2Y3C2,7)="","",INDEX(I.Electricity.P2Y3C2,7))</f>
        <v/>
      </c>
      <c r="G1824" s="25"/>
      <c r="H1824" s="1" t="str">
        <f t="shared" si="68"/>
        <v>Complete</v>
      </c>
      <c r="I1824" s="48" t="s">
        <v>1635</v>
      </c>
    </row>
    <row r="1825" spans="2:9" ht="15" customHeight="1" x14ac:dyDescent="0.25">
      <c r="B1825" s="26" t="s">
        <v>1238</v>
      </c>
      <c r="C1825" s="1">
        <v>8</v>
      </c>
      <c r="D1825" s="27" t="s">
        <v>3255</v>
      </c>
      <c r="E1825" s="25"/>
      <c r="F1825" s="25" t="str">
        <f>IF(INDEX(I.Electricity.P2Y3C2,8)="","",INDEX(I.Electricity.P2Y3C2,8))</f>
        <v/>
      </c>
      <c r="G1825" s="25"/>
      <c r="H1825" s="1" t="str">
        <f t="shared" si="68"/>
        <v>Complete</v>
      </c>
      <c r="I1825" s="48" t="s">
        <v>1636</v>
      </c>
    </row>
    <row r="1826" spans="2:9" ht="15" customHeight="1" x14ac:dyDescent="0.25">
      <c r="B1826" s="26" t="s">
        <v>1238</v>
      </c>
      <c r="C1826" s="1">
        <v>9</v>
      </c>
      <c r="D1826" s="27" t="s">
        <v>3255</v>
      </c>
      <c r="E1826" s="25"/>
      <c r="F1826" s="25" t="str">
        <f>IF(INDEX(I.Electricity.P2Y3C2,9)="","",INDEX(I.Electricity.P2Y3C2,9))</f>
        <v/>
      </c>
      <c r="G1826" s="25"/>
      <c r="H1826" s="1" t="str">
        <f t="shared" si="68"/>
        <v>Complete</v>
      </c>
      <c r="I1826" s="48" t="s">
        <v>1637</v>
      </c>
    </row>
    <row r="1827" spans="2:9" ht="15" customHeight="1" x14ac:dyDescent="0.25">
      <c r="B1827" s="26" t="s">
        <v>1238</v>
      </c>
      <c r="C1827" s="1">
        <v>10</v>
      </c>
      <c r="D1827" s="27" t="s">
        <v>3255</v>
      </c>
      <c r="E1827" s="25"/>
      <c r="F1827" s="25" t="str">
        <f>IF(INDEX(I.Electricity.P2Y3C2,10)="","",INDEX(I.Electricity.P2Y3C2,10))</f>
        <v/>
      </c>
      <c r="G1827" s="25"/>
      <c r="H1827" s="1" t="str">
        <f t="shared" si="68"/>
        <v>Complete</v>
      </c>
      <c r="I1827" s="48" t="s">
        <v>1638</v>
      </c>
    </row>
    <row r="1828" spans="2:9" ht="15" customHeight="1" x14ac:dyDescent="0.25">
      <c r="B1828" s="26" t="s">
        <v>1238</v>
      </c>
      <c r="C1828" s="1">
        <v>11</v>
      </c>
      <c r="D1828" s="27" t="s">
        <v>3255</v>
      </c>
      <c r="E1828" s="25"/>
      <c r="F1828" s="25" t="str">
        <f>IF(INDEX(I.Electricity.P2Y3C2,11)="","",INDEX(I.Electricity.P2Y3C2,11))</f>
        <v/>
      </c>
      <c r="G1828" s="25"/>
      <c r="H1828" s="1" t="str">
        <f t="shared" si="68"/>
        <v>Complete</v>
      </c>
      <c r="I1828" s="48" t="s">
        <v>1639</v>
      </c>
    </row>
    <row r="1829" spans="2:9" ht="15" customHeight="1" x14ac:dyDescent="0.25">
      <c r="B1829" s="26" t="s">
        <v>1238</v>
      </c>
      <c r="C1829" s="1">
        <v>12</v>
      </c>
      <c r="D1829" s="27" t="s">
        <v>3255</v>
      </c>
      <c r="E1829" s="25"/>
      <c r="F1829" s="25" t="str">
        <f>IF(INDEX(I.Electricity.P2Y3C2,12)="","",INDEX(I.Electricity.P2Y3C2,12))</f>
        <v/>
      </c>
      <c r="G1829" s="25"/>
      <c r="H1829" s="1" t="str">
        <f t="shared" si="68"/>
        <v>Complete</v>
      </c>
      <c r="I1829" s="48" t="s">
        <v>1640</v>
      </c>
    </row>
    <row r="1830" spans="2:9" ht="15" customHeight="1" x14ac:dyDescent="0.25">
      <c r="B1830" s="26" t="s">
        <v>1238</v>
      </c>
      <c r="C1830" s="1">
        <v>13</v>
      </c>
      <c r="D1830" s="27" t="s">
        <v>3255</v>
      </c>
      <c r="E1830" s="25"/>
      <c r="F1830" s="25" t="str">
        <f>IF(INDEX(I.Electricity.P2Y3C2,13)="","",INDEX(I.Electricity.P2Y3C2,13))</f>
        <v/>
      </c>
      <c r="G1830" s="25"/>
      <c r="H1830" s="1" t="str">
        <f t="shared" si="68"/>
        <v>Complete</v>
      </c>
      <c r="I1830" s="48" t="s">
        <v>1641</v>
      </c>
    </row>
    <row r="1831" spans="2:9" ht="15" customHeight="1" x14ac:dyDescent="0.25">
      <c r="B1831" s="26" t="s">
        <v>1238</v>
      </c>
      <c r="C1831" s="1">
        <v>14</v>
      </c>
      <c r="D1831" s="27" t="s">
        <v>3255</v>
      </c>
      <c r="E1831" s="25"/>
      <c r="F1831" s="25" t="str">
        <f>IF(INDEX(I.Electricity.P2Y3C2,14)="","",INDEX(I.Electricity.P2Y3C2,14))</f>
        <v/>
      </c>
      <c r="G1831" s="25"/>
      <c r="H1831" s="1" t="str">
        <f t="shared" si="68"/>
        <v>Complete</v>
      </c>
      <c r="I1831" s="48" t="s">
        <v>1642</v>
      </c>
    </row>
    <row r="1832" spans="2:9" ht="15" customHeight="1" x14ac:dyDescent="0.25">
      <c r="B1832" s="26" t="s">
        <v>1238</v>
      </c>
      <c r="C1832" s="1">
        <v>15</v>
      </c>
      <c r="D1832" s="27" t="s">
        <v>3255</v>
      </c>
      <c r="E1832" s="25"/>
      <c r="F1832" s="25" t="str">
        <f>IF(INDEX(I.Electricity.P2Y3C2,15)="","",INDEX(I.Electricity.P2Y3C2,15))</f>
        <v/>
      </c>
      <c r="G1832" s="25"/>
      <c r="H1832" s="1" t="str">
        <f t="shared" si="68"/>
        <v>Complete</v>
      </c>
      <c r="I1832" s="48" t="s">
        <v>1643</v>
      </c>
    </row>
    <row r="1833" spans="2:9" ht="15" customHeight="1" x14ac:dyDescent="0.25">
      <c r="B1833" s="26" t="s">
        <v>1238</v>
      </c>
      <c r="C1833" s="1">
        <v>16</v>
      </c>
      <c r="D1833" s="27" t="s">
        <v>3255</v>
      </c>
      <c r="E1833" s="25"/>
      <c r="F1833" s="25" t="str">
        <f>IF(INDEX(I.Electricity.P2Y3C2,16)="","",INDEX(I.Electricity.P2Y3C2,16))</f>
        <v/>
      </c>
      <c r="G1833" s="25"/>
      <c r="H1833" s="1" t="str">
        <f t="shared" si="68"/>
        <v>Complete</v>
      </c>
      <c r="I1833" s="48" t="s">
        <v>1644</v>
      </c>
    </row>
    <row r="1834" spans="2:9" ht="15" customHeight="1" x14ac:dyDescent="0.25">
      <c r="B1834" s="26" t="s">
        <v>1238</v>
      </c>
      <c r="C1834" s="1">
        <v>17</v>
      </c>
      <c r="D1834" s="27" t="s">
        <v>3255</v>
      </c>
      <c r="E1834" s="25"/>
      <c r="F1834" s="25" t="str">
        <f>IF(INDEX(I.Electricity.P2Y3C2,17)="","",INDEX(I.Electricity.P2Y3C2,17))</f>
        <v/>
      </c>
      <c r="G1834" s="25"/>
      <c r="H1834" s="1" t="str">
        <f t="shared" si="68"/>
        <v>Complete</v>
      </c>
      <c r="I1834" s="48" t="s">
        <v>1645</v>
      </c>
    </row>
    <row r="1835" spans="2:9" ht="15" customHeight="1" x14ac:dyDescent="0.25">
      <c r="B1835" s="26" t="s">
        <v>1238</v>
      </c>
      <c r="C1835" s="1">
        <v>18</v>
      </c>
      <c r="D1835" s="27" t="s">
        <v>3255</v>
      </c>
      <c r="E1835" s="25"/>
      <c r="F1835" s="25" t="str">
        <f>IF(INDEX(I.Electricity.P2Y3C2,18)="","",INDEX(I.Electricity.P2Y3C2,18))</f>
        <v/>
      </c>
      <c r="G1835" s="25"/>
      <c r="H1835" s="1" t="str">
        <f t="shared" si="68"/>
        <v>Complete</v>
      </c>
      <c r="I1835" s="48" t="s">
        <v>1646</v>
      </c>
    </row>
    <row r="1836" spans="2:9" ht="15" customHeight="1" x14ac:dyDescent="0.25">
      <c r="B1836" s="26" t="s">
        <v>1238</v>
      </c>
      <c r="C1836" s="1">
        <v>19</v>
      </c>
      <c r="D1836" s="27" t="s">
        <v>3255</v>
      </c>
      <c r="E1836" s="25"/>
      <c r="F1836" s="25" t="str">
        <f>IF(INDEX(I.Electricity.P2Y3C2,19)="","",INDEX(I.Electricity.P2Y3C2,19))</f>
        <v/>
      </c>
      <c r="G1836" s="25"/>
      <c r="H1836" s="1" t="str">
        <f t="shared" si="68"/>
        <v>Complete</v>
      </c>
      <c r="I1836" s="48" t="s">
        <v>1647</v>
      </c>
    </row>
    <row r="1837" spans="2:9" ht="15" customHeight="1" x14ac:dyDescent="0.25">
      <c r="B1837" s="26" t="s">
        <v>1238</v>
      </c>
      <c r="C1837" s="1">
        <v>20</v>
      </c>
      <c r="D1837" s="27" t="s">
        <v>3255</v>
      </c>
      <c r="E1837" s="25"/>
      <c r="F1837" s="25" t="str">
        <f>IF(INDEX(I.Electricity.P2Y3C2,20)="","",INDEX(I.Electricity.P2Y3C2,20))</f>
        <v/>
      </c>
      <c r="G1837" s="25"/>
      <c r="H1837" s="1" t="str">
        <f t="shared" si="68"/>
        <v>Complete</v>
      </c>
      <c r="I1837" s="48" t="s">
        <v>1648</v>
      </c>
    </row>
    <row r="1838" spans="2:9" ht="15" customHeight="1" x14ac:dyDescent="0.25">
      <c r="B1838" s="26" t="s">
        <v>1238</v>
      </c>
      <c r="C1838" s="1">
        <v>21</v>
      </c>
      <c r="D1838" s="27" t="s">
        <v>3255</v>
      </c>
      <c r="E1838" s="25"/>
      <c r="F1838" s="25" t="str">
        <f>IF(INDEX(I.Electricity.P2Y3C2,21)="","",INDEX(I.Electricity.P2Y3C2,21))</f>
        <v/>
      </c>
      <c r="G1838" s="25"/>
      <c r="H1838" s="1" t="str">
        <f t="shared" si="68"/>
        <v>Complete</v>
      </c>
      <c r="I1838" s="48" t="s">
        <v>1649</v>
      </c>
    </row>
    <row r="1839" spans="2:9" ht="15" customHeight="1" x14ac:dyDescent="0.25">
      <c r="B1839" s="26" t="s">
        <v>1238</v>
      </c>
      <c r="C1839" s="1">
        <v>22</v>
      </c>
      <c r="D1839" s="27" t="s">
        <v>3255</v>
      </c>
      <c r="E1839" s="25"/>
      <c r="F1839" s="25" t="str">
        <f>IF(INDEX(I.Electricity.P2Y3C2,22)="","",INDEX(I.Electricity.P2Y3C2,22))</f>
        <v/>
      </c>
      <c r="G1839" s="25"/>
      <c r="H1839" s="1" t="str">
        <f t="shared" si="68"/>
        <v>Complete</v>
      </c>
      <c r="I1839" s="48" t="s">
        <v>1650</v>
      </c>
    </row>
    <row r="1840" spans="2:9" ht="15" customHeight="1" x14ac:dyDescent="0.25">
      <c r="B1840" s="26" t="s">
        <v>1238</v>
      </c>
      <c r="C1840" s="1">
        <v>23</v>
      </c>
      <c r="D1840" s="27" t="s">
        <v>3255</v>
      </c>
      <c r="E1840" s="25"/>
      <c r="F1840" s="25" t="str">
        <f>IF(INDEX(I.Electricity.P2Y3C2,23)="","",INDEX(I.Electricity.P2Y3C2,23))</f>
        <v/>
      </c>
      <c r="G1840" s="25"/>
      <c r="H1840" s="1" t="str">
        <f t="shared" si="68"/>
        <v>Complete</v>
      </c>
      <c r="I1840" s="48" t="s">
        <v>1651</v>
      </c>
    </row>
    <row r="1841" spans="2:9" ht="15" customHeight="1" x14ac:dyDescent="0.25">
      <c r="B1841" s="34" t="s">
        <v>1238</v>
      </c>
      <c r="C1841" s="35">
        <v>24</v>
      </c>
      <c r="D1841" s="46" t="s">
        <v>3255</v>
      </c>
      <c r="E1841" s="45"/>
      <c r="F1841" s="45" t="str">
        <f>IF(INDEX(I.Electricity.P2Y3C2,24)="","",INDEX(I.Electricity.P2Y3C2,24))</f>
        <v/>
      </c>
      <c r="G1841" s="45"/>
      <c r="H1841" s="35" t="str">
        <f t="shared" si="68"/>
        <v>Complete</v>
      </c>
      <c r="I1841" s="49" t="s">
        <v>1652</v>
      </c>
    </row>
    <row r="1842" spans="2:9" ht="15" customHeight="1" x14ac:dyDescent="0.25">
      <c r="B1842" s="26" t="s">
        <v>1239</v>
      </c>
      <c r="C1842" s="1">
        <v>1</v>
      </c>
      <c r="D1842" s="27" t="s">
        <v>3256</v>
      </c>
      <c r="E1842" s="25"/>
      <c r="F1842" s="25" t="str">
        <f>IF(INDEX(I.Electricity.P2Y1C3,1)="","",INDEX(I.Electricity.P2Y1C3,1))</f>
        <v/>
      </c>
      <c r="G1842" s="25"/>
      <c r="H1842" s="1" t="str">
        <f t="shared" ref="H1842:H1883" si="69">IF(AND(I.Facility.ProductCount&gt;=2,I.Product.P2Electricity="Yes",I.Developer.P2C3=TRUE,F1842=""),"Incomplete","Complete")</f>
        <v>Complete</v>
      </c>
      <c r="I1842" s="48" t="s">
        <v>1653</v>
      </c>
    </row>
    <row r="1843" spans="2:9" ht="15" customHeight="1" x14ac:dyDescent="0.25">
      <c r="B1843" s="26" t="s">
        <v>1239</v>
      </c>
      <c r="C1843" s="1">
        <v>2</v>
      </c>
      <c r="D1843" s="27" t="s">
        <v>3256</v>
      </c>
      <c r="E1843" s="25"/>
      <c r="F1843" s="25" t="str">
        <f>IF(INDEX(I.Electricity.P2Y1C3,2)="","",INDEX(I.Electricity.P2Y1C3,2))</f>
        <v/>
      </c>
      <c r="G1843" s="25"/>
      <c r="H1843" s="1" t="str">
        <f t="shared" si="69"/>
        <v>Complete</v>
      </c>
      <c r="I1843" s="48" t="s">
        <v>1654</v>
      </c>
    </row>
    <row r="1844" spans="2:9" ht="15" customHeight="1" x14ac:dyDescent="0.25">
      <c r="B1844" s="26" t="s">
        <v>1239</v>
      </c>
      <c r="C1844" s="1">
        <v>3</v>
      </c>
      <c r="D1844" s="27" t="s">
        <v>3256</v>
      </c>
      <c r="E1844" s="25"/>
      <c r="F1844" s="25" t="str">
        <f>IF(INDEX(I.Electricity.P2Y1C3,3)="","",INDEX(I.Electricity.P2Y1C3,3))</f>
        <v/>
      </c>
      <c r="G1844" s="25"/>
      <c r="H1844" s="1" t="str">
        <f t="shared" si="69"/>
        <v>Complete</v>
      </c>
      <c r="I1844" s="48" t="s">
        <v>1655</v>
      </c>
    </row>
    <row r="1845" spans="2:9" ht="15" customHeight="1" x14ac:dyDescent="0.25">
      <c r="B1845" s="26" t="s">
        <v>1239</v>
      </c>
      <c r="C1845" s="1">
        <v>4</v>
      </c>
      <c r="D1845" s="27" t="s">
        <v>3256</v>
      </c>
      <c r="E1845" s="25"/>
      <c r="F1845" s="25" t="str">
        <f>IF(INDEX(I.Electricity.P2Y1C3,4)="","",INDEX(I.Electricity.P2Y1C3,4))</f>
        <v/>
      </c>
      <c r="G1845" s="25"/>
      <c r="H1845" s="1" t="str">
        <f t="shared" si="69"/>
        <v>Complete</v>
      </c>
      <c r="I1845" s="48" t="s">
        <v>1656</v>
      </c>
    </row>
    <row r="1846" spans="2:9" ht="15" customHeight="1" x14ac:dyDescent="0.25">
      <c r="B1846" s="26" t="s">
        <v>1239</v>
      </c>
      <c r="C1846" s="1">
        <v>5</v>
      </c>
      <c r="D1846" s="27" t="s">
        <v>3256</v>
      </c>
      <c r="E1846" s="25"/>
      <c r="F1846" s="25" t="str">
        <f>IF(INDEX(I.Electricity.P2Y1C3,5)="","",INDEX(I.Electricity.P2Y1C3,5))</f>
        <v/>
      </c>
      <c r="G1846" s="25"/>
      <c r="H1846" s="1" t="str">
        <f t="shared" si="69"/>
        <v>Complete</v>
      </c>
      <c r="I1846" s="48" t="s">
        <v>1657</v>
      </c>
    </row>
    <row r="1847" spans="2:9" ht="15" customHeight="1" x14ac:dyDescent="0.25">
      <c r="B1847" s="26" t="s">
        <v>1239</v>
      </c>
      <c r="C1847" s="1">
        <v>6</v>
      </c>
      <c r="D1847" s="27" t="s">
        <v>3256</v>
      </c>
      <c r="E1847" s="25"/>
      <c r="F1847" s="25" t="str">
        <f>IF(INDEX(I.Electricity.P2Y1C3,6)="","",INDEX(I.Electricity.P2Y1C3,6))</f>
        <v/>
      </c>
      <c r="G1847" s="25"/>
      <c r="H1847" s="1" t="str">
        <f t="shared" si="69"/>
        <v>Complete</v>
      </c>
      <c r="I1847" s="48" t="s">
        <v>1658</v>
      </c>
    </row>
    <row r="1848" spans="2:9" ht="15" customHeight="1" x14ac:dyDescent="0.25">
      <c r="B1848" s="26" t="s">
        <v>1239</v>
      </c>
      <c r="C1848" s="1">
        <v>7</v>
      </c>
      <c r="D1848" s="27" t="s">
        <v>3256</v>
      </c>
      <c r="E1848" s="25"/>
      <c r="F1848" s="25" t="str">
        <f>IF(INDEX(I.Electricity.P2Y1C3,7)="","",INDEX(I.Electricity.P2Y1C3,7))</f>
        <v/>
      </c>
      <c r="G1848" s="25"/>
      <c r="H1848" s="1" t="str">
        <f t="shared" si="69"/>
        <v>Complete</v>
      </c>
      <c r="I1848" s="48" t="s">
        <v>1659</v>
      </c>
    </row>
    <row r="1849" spans="2:9" ht="15" customHeight="1" x14ac:dyDescent="0.25">
      <c r="B1849" s="26" t="s">
        <v>1239</v>
      </c>
      <c r="C1849" s="1">
        <v>8</v>
      </c>
      <c r="D1849" s="27" t="s">
        <v>3256</v>
      </c>
      <c r="E1849" s="25"/>
      <c r="F1849" s="25" t="str">
        <f>IF(INDEX(I.Electricity.P2Y1C3,8)="","",INDEX(I.Electricity.P2Y1C3,8))</f>
        <v/>
      </c>
      <c r="G1849" s="25"/>
      <c r="H1849" s="1" t="str">
        <f t="shared" si="69"/>
        <v>Complete</v>
      </c>
      <c r="I1849" s="48" t="s">
        <v>1660</v>
      </c>
    </row>
    <row r="1850" spans="2:9" ht="15" customHeight="1" x14ac:dyDescent="0.25">
      <c r="B1850" s="26" t="s">
        <v>1239</v>
      </c>
      <c r="C1850" s="1">
        <v>9</v>
      </c>
      <c r="D1850" s="27" t="s">
        <v>3256</v>
      </c>
      <c r="E1850" s="25"/>
      <c r="F1850" s="25" t="str">
        <f>IF(INDEX(I.Electricity.P2Y1C3,9)="","",INDEX(I.Electricity.P2Y1C3,9))</f>
        <v/>
      </c>
      <c r="G1850" s="25"/>
      <c r="H1850" s="1" t="str">
        <f t="shared" si="69"/>
        <v>Complete</v>
      </c>
      <c r="I1850" s="48" t="s">
        <v>1661</v>
      </c>
    </row>
    <row r="1851" spans="2:9" ht="15" customHeight="1" x14ac:dyDescent="0.25">
      <c r="B1851" s="26" t="s">
        <v>1239</v>
      </c>
      <c r="C1851" s="1">
        <v>10</v>
      </c>
      <c r="D1851" s="27" t="s">
        <v>3256</v>
      </c>
      <c r="E1851" s="25"/>
      <c r="F1851" s="25" t="str">
        <f>IF(INDEX(I.Electricity.P2Y1C3,10)="","",INDEX(I.Electricity.P2Y1C3,10))</f>
        <v/>
      </c>
      <c r="G1851" s="25"/>
      <c r="H1851" s="1" t="str">
        <f t="shared" si="69"/>
        <v>Complete</v>
      </c>
      <c r="I1851" s="48" t="s">
        <v>1662</v>
      </c>
    </row>
    <row r="1852" spans="2:9" ht="15" customHeight="1" x14ac:dyDescent="0.25">
      <c r="B1852" s="26" t="s">
        <v>1239</v>
      </c>
      <c r="C1852" s="1">
        <v>11</v>
      </c>
      <c r="D1852" s="27" t="s">
        <v>3256</v>
      </c>
      <c r="E1852" s="25"/>
      <c r="F1852" s="25" t="str">
        <f>IF(INDEX(I.Electricity.P2Y1C3,11)="","",INDEX(I.Electricity.P2Y1C3,11))</f>
        <v/>
      </c>
      <c r="G1852" s="25"/>
      <c r="H1852" s="1" t="str">
        <f t="shared" si="69"/>
        <v>Complete</v>
      </c>
      <c r="I1852" s="48" t="s">
        <v>1663</v>
      </c>
    </row>
    <row r="1853" spans="2:9" ht="15" customHeight="1" x14ac:dyDescent="0.25">
      <c r="B1853" s="26" t="s">
        <v>1239</v>
      </c>
      <c r="C1853" s="1">
        <v>12</v>
      </c>
      <c r="D1853" s="27" t="s">
        <v>3256</v>
      </c>
      <c r="E1853" s="25"/>
      <c r="F1853" s="25" t="str">
        <f>IF(INDEX(I.Electricity.P2Y1C3,12)="","",INDEX(I.Electricity.P2Y1C3,12))</f>
        <v/>
      </c>
      <c r="G1853" s="25"/>
      <c r="H1853" s="1" t="str">
        <f t="shared" si="69"/>
        <v>Complete</v>
      </c>
      <c r="I1853" s="48" t="s">
        <v>1664</v>
      </c>
    </row>
    <row r="1854" spans="2:9" ht="15" customHeight="1" x14ac:dyDescent="0.25">
      <c r="B1854" s="26" t="s">
        <v>1239</v>
      </c>
      <c r="C1854" s="1">
        <v>13</v>
      </c>
      <c r="D1854" s="27" t="s">
        <v>3256</v>
      </c>
      <c r="E1854" s="25"/>
      <c r="F1854" s="25" t="str">
        <f>IF(INDEX(I.Electricity.P2Y1C3,13)="","",INDEX(I.Electricity.P2Y1C3,13))</f>
        <v/>
      </c>
      <c r="G1854" s="25"/>
      <c r="H1854" s="1" t="str">
        <f t="shared" si="69"/>
        <v>Complete</v>
      </c>
      <c r="I1854" s="48" t="s">
        <v>1665</v>
      </c>
    </row>
    <row r="1855" spans="2:9" ht="15" customHeight="1" x14ac:dyDescent="0.25">
      <c r="B1855" s="26" t="s">
        <v>1239</v>
      </c>
      <c r="C1855" s="1">
        <v>14</v>
      </c>
      <c r="D1855" s="27" t="s">
        <v>3256</v>
      </c>
      <c r="E1855" s="25"/>
      <c r="F1855" s="25" t="str">
        <f>IF(INDEX(I.Electricity.P2Y1C3,14)="","",INDEX(I.Electricity.P2Y1C3,14))</f>
        <v/>
      </c>
      <c r="G1855" s="25"/>
      <c r="H1855" s="1" t="str">
        <f t="shared" si="69"/>
        <v>Complete</v>
      </c>
      <c r="I1855" s="48" t="s">
        <v>1666</v>
      </c>
    </row>
    <row r="1856" spans="2:9" ht="15" customHeight="1" x14ac:dyDescent="0.25">
      <c r="B1856" s="26" t="s">
        <v>1239</v>
      </c>
      <c r="C1856" s="1">
        <v>15</v>
      </c>
      <c r="D1856" s="27" t="s">
        <v>3256</v>
      </c>
      <c r="E1856" s="25"/>
      <c r="F1856" s="25" t="str">
        <f>IF(INDEX(I.Electricity.P2Y1C3,15)="","",INDEX(I.Electricity.P2Y1C3,15))</f>
        <v/>
      </c>
      <c r="G1856" s="25"/>
      <c r="H1856" s="1" t="str">
        <f t="shared" si="69"/>
        <v>Complete</v>
      </c>
      <c r="I1856" s="48" t="s">
        <v>1667</v>
      </c>
    </row>
    <row r="1857" spans="2:9" ht="15" customHeight="1" x14ac:dyDescent="0.25">
      <c r="B1857" s="26" t="s">
        <v>1239</v>
      </c>
      <c r="C1857" s="1">
        <v>16</v>
      </c>
      <c r="D1857" s="27" t="s">
        <v>3256</v>
      </c>
      <c r="E1857" s="25"/>
      <c r="F1857" s="25" t="str">
        <f>IF(INDEX(I.Electricity.P2Y1C3,16)="","",INDEX(I.Electricity.P2Y1C3,16))</f>
        <v/>
      </c>
      <c r="G1857" s="25"/>
      <c r="H1857" s="1" t="str">
        <f t="shared" si="69"/>
        <v>Complete</v>
      </c>
      <c r="I1857" s="48" t="s">
        <v>1668</v>
      </c>
    </row>
    <row r="1858" spans="2:9" ht="15" customHeight="1" x14ac:dyDescent="0.25">
      <c r="B1858" s="26" t="s">
        <v>1239</v>
      </c>
      <c r="C1858" s="1">
        <v>17</v>
      </c>
      <c r="D1858" s="27" t="s">
        <v>3256</v>
      </c>
      <c r="E1858" s="25"/>
      <c r="F1858" s="25" t="str">
        <f>IF(INDEX(I.Electricity.P2Y1C3,17)="","",INDEX(I.Electricity.P2Y1C3,17))</f>
        <v/>
      </c>
      <c r="G1858" s="25"/>
      <c r="H1858" s="1" t="str">
        <f t="shared" si="69"/>
        <v>Complete</v>
      </c>
      <c r="I1858" s="48" t="s">
        <v>1669</v>
      </c>
    </row>
    <row r="1859" spans="2:9" ht="15" customHeight="1" x14ac:dyDescent="0.25">
      <c r="B1859" s="26" t="s">
        <v>1239</v>
      </c>
      <c r="C1859" s="1">
        <v>18</v>
      </c>
      <c r="D1859" s="27" t="s">
        <v>3256</v>
      </c>
      <c r="E1859" s="25"/>
      <c r="F1859" s="25" t="str">
        <f>IF(INDEX(I.Electricity.P2Y1C3,18)="","",INDEX(I.Electricity.P2Y1C3,18))</f>
        <v/>
      </c>
      <c r="G1859" s="25"/>
      <c r="H1859" s="1" t="str">
        <f t="shared" si="69"/>
        <v>Complete</v>
      </c>
      <c r="I1859" s="48" t="s">
        <v>1670</v>
      </c>
    </row>
    <row r="1860" spans="2:9" ht="15" customHeight="1" x14ac:dyDescent="0.25">
      <c r="B1860" s="26" t="s">
        <v>1239</v>
      </c>
      <c r="C1860" s="1">
        <v>19</v>
      </c>
      <c r="D1860" s="27" t="s">
        <v>3256</v>
      </c>
      <c r="E1860" s="25"/>
      <c r="F1860" s="25" t="str">
        <f>IF(INDEX(I.Electricity.P2Y1C3,19)="","",INDEX(I.Electricity.P2Y1C3,19))</f>
        <v/>
      </c>
      <c r="G1860" s="25"/>
      <c r="H1860" s="1" t="str">
        <f t="shared" si="69"/>
        <v>Complete</v>
      </c>
      <c r="I1860" s="48" t="s">
        <v>1671</v>
      </c>
    </row>
    <row r="1861" spans="2:9" ht="15" customHeight="1" x14ac:dyDescent="0.25">
      <c r="B1861" s="26" t="s">
        <v>1239</v>
      </c>
      <c r="C1861" s="1">
        <v>20</v>
      </c>
      <c r="D1861" s="27" t="s">
        <v>3256</v>
      </c>
      <c r="E1861" s="25"/>
      <c r="F1861" s="25" t="str">
        <f>IF(INDEX(I.Electricity.P2Y1C3,20)="","",INDEX(I.Electricity.P2Y1C3,20))</f>
        <v/>
      </c>
      <c r="G1861" s="25"/>
      <c r="H1861" s="1" t="str">
        <f t="shared" si="69"/>
        <v>Complete</v>
      </c>
      <c r="I1861" s="48" t="s">
        <v>1672</v>
      </c>
    </row>
    <row r="1862" spans="2:9" ht="15" customHeight="1" x14ac:dyDescent="0.25">
      <c r="B1862" s="34" t="s">
        <v>1239</v>
      </c>
      <c r="C1862" s="35">
        <v>21</v>
      </c>
      <c r="D1862" s="46" t="s">
        <v>3256</v>
      </c>
      <c r="E1862" s="45"/>
      <c r="F1862" s="45" t="str">
        <f>IF(INDEX(I.Electricity.P2Y1C3,21)="","",INDEX(I.Electricity.P2Y1C3,21))</f>
        <v/>
      </c>
      <c r="G1862" s="45"/>
      <c r="H1862" s="35" t="str">
        <f t="shared" si="69"/>
        <v>Complete</v>
      </c>
      <c r="I1862" s="49" t="s">
        <v>1673</v>
      </c>
    </row>
    <row r="1863" spans="2:9" ht="15" customHeight="1" x14ac:dyDescent="0.25">
      <c r="B1863" s="26" t="s">
        <v>1240</v>
      </c>
      <c r="C1863" s="1">
        <v>1</v>
      </c>
      <c r="D1863" s="27" t="s">
        <v>3257</v>
      </c>
      <c r="E1863" s="25"/>
      <c r="F1863" s="25" t="str">
        <f>IF(INDEX(I.Electricity.P2Y2C3,1)="","",INDEX(I.Electricity.P2Y2C3,1))</f>
        <v/>
      </c>
      <c r="G1863" s="25"/>
      <c r="H1863" s="1" t="str">
        <f t="shared" si="69"/>
        <v>Complete</v>
      </c>
      <c r="I1863" s="48" t="s">
        <v>1674</v>
      </c>
    </row>
    <row r="1864" spans="2:9" ht="15" customHeight="1" x14ac:dyDescent="0.25">
      <c r="B1864" s="26" t="s">
        <v>1240</v>
      </c>
      <c r="C1864" s="1">
        <v>2</v>
      </c>
      <c r="D1864" s="27" t="s">
        <v>3257</v>
      </c>
      <c r="E1864" s="25"/>
      <c r="F1864" s="25" t="str">
        <f>IF(INDEX(I.Electricity.P2Y2C3,2)="","",INDEX(I.Electricity.P2Y2C3,2))</f>
        <v/>
      </c>
      <c r="G1864" s="25"/>
      <c r="H1864" s="1" t="str">
        <f t="shared" si="69"/>
        <v>Complete</v>
      </c>
      <c r="I1864" s="48" t="s">
        <v>1675</v>
      </c>
    </row>
    <row r="1865" spans="2:9" ht="15" customHeight="1" x14ac:dyDescent="0.25">
      <c r="B1865" s="26" t="s">
        <v>1240</v>
      </c>
      <c r="C1865" s="1">
        <v>3</v>
      </c>
      <c r="D1865" s="27" t="s">
        <v>3257</v>
      </c>
      <c r="E1865" s="25"/>
      <c r="F1865" s="25" t="str">
        <f>IF(INDEX(I.Electricity.P2Y2C3,3)="","",INDEX(I.Electricity.P2Y2C3,3))</f>
        <v/>
      </c>
      <c r="G1865" s="25"/>
      <c r="H1865" s="1" t="str">
        <f t="shared" si="69"/>
        <v>Complete</v>
      </c>
      <c r="I1865" s="48" t="s">
        <v>1676</v>
      </c>
    </row>
    <row r="1866" spans="2:9" ht="15" customHeight="1" x14ac:dyDescent="0.25">
      <c r="B1866" s="26" t="s">
        <v>1240</v>
      </c>
      <c r="C1866" s="1">
        <v>4</v>
      </c>
      <c r="D1866" s="27" t="s">
        <v>3257</v>
      </c>
      <c r="E1866" s="25"/>
      <c r="F1866" s="25" t="str">
        <f>IF(INDEX(I.Electricity.P2Y2C3,4)="","",INDEX(I.Electricity.P2Y2C3,4))</f>
        <v/>
      </c>
      <c r="G1866" s="25"/>
      <c r="H1866" s="1" t="str">
        <f t="shared" si="69"/>
        <v>Complete</v>
      </c>
      <c r="I1866" s="48" t="s">
        <v>1677</v>
      </c>
    </row>
    <row r="1867" spans="2:9" ht="15" customHeight="1" x14ac:dyDescent="0.25">
      <c r="B1867" s="26" t="s">
        <v>1240</v>
      </c>
      <c r="C1867" s="1">
        <v>5</v>
      </c>
      <c r="D1867" s="27" t="s">
        <v>3257</v>
      </c>
      <c r="E1867" s="25"/>
      <c r="F1867" s="25" t="str">
        <f>IF(INDEX(I.Electricity.P2Y2C3,5)="","",INDEX(I.Electricity.P2Y2C3,5))</f>
        <v/>
      </c>
      <c r="G1867" s="25"/>
      <c r="H1867" s="1" t="str">
        <f t="shared" si="69"/>
        <v>Complete</v>
      </c>
      <c r="I1867" s="48" t="s">
        <v>1678</v>
      </c>
    </row>
    <row r="1868" spans="2:9" ht="15" customHeight="1" x14ac:dyDescent="0.25">
      <c r="B1868" s="26" t="s">
        <v>1240</v>
      </c>
      <c r="C1868" s="1">
        <v>6</v>
      </c>
      <c r="D1868" s="27" t="s">
        <v>3257</v>
      </c>
      <c r="E1868" s="25"/>
      <c r="F1868" s="25" t="str">
        <f>IF(INDEX(I.Electricity.P2Y2C3,6)="","",INDEX(I.Electricity.P2Y2C3,6))</f>
        <v/>
      </c>
      <c r="G1868" s="25"/>
      <c r="H1868" s="1" t="str">
        <f t="shared" si="69"/>
        <v>Complete</v>
      </c>
      <c r="I1868" s="48" t="s">
        <v>1679</v>
      </c>
    </row>
    <row r="1869" spans="2:9" ht="15" customHeight="1" x14ac:dyDescent="0.25">
      <c r="B1869" s="26" t="s">
        <v>1240</v>
      </c>
      <c r="C1869" s="1">
        <v>7</v>
      </c>
      <c r="D1869" s="27" t="s">
        <v>3257</v>
      </c>
      <c r="E1869" s="25"/>
      <c r="F1869" s="25" t="str">
        <f>IF(INDEX(I.Electricity.P2Y2C3,7)="","",INDEX(I.Electricity.P2Y2C3,7))</f>
        <v/>
      </c>
      <c r="G1869" s="25"/>
      <c r="H1869" s="1" t="str">
        <f t="shared" si="69"/>
        <v>Complete</v>
      </c>
      <c r="I1869" s="48" t="s">
        <v>1680</v>
      </c>
    </row>
    <row r="1870" spans="2:9" ht="15" customHeight="1" x14ac:dyDescent="0.25">
      <c r="B1870" s="26" t="s">
        <v>1240</v>
      </c>
      <c r="C1870" s="1">
        <v>8</v>
      </c>
      <c r="D1870" s="27" t="s">
        <v>3257</v>
      </c>
      <c r="E1870" s="25"/>
      <c r="F1870" s="25" t="str">
        <f>IF(INDEX(I.Electricity.P2Y2C3,8)="","",INDEX(I.Electricity.P2Y2C3,8))</f>
        <v/>
      </c>
      <c r="G1870" s="25"/>
      <c r="H1870" s="1" t="str">
        <f t="shared" si="69"/>
        <v>Complete</v>
      </c>
      <c r="I1870" s="48" t="s">
        <v>1681</v>
      </c>
    </row>
    <row r="1871" spans="2:9" ht="15" customHeight="1" x14ac:dyDescent="0.25">
      <c r="B1871" s="26" t="s">
        <v>1240</v>
      </c>
      <c r="C1871" s="1">
        <v>9</v>
      </c>
      <c r="D1871" s="27" t="s">
        <v>3257</v>
      </c>
      <c r="E1871" s="25"/>
      <c r="F1871" s="25" t="str">
        <f>IF(INDEX(I.Electricity.P2Y2C3,9)="","",INDEX(I.Electricity.P2Y2C3,9))</f>
        <v/>
      </c>
      <c r="G1871" s="25"/>
      <c r="H1871" s="1" t="str">
        <f t="shared" si="69"/>
        <v>Complete</v>
      </c>
      <c r="I1871" s="48" t="s">
        <v>1682</v>
      </c>
    </row>
    <row r="1872" spans="2:9" ht="15" customHeight="1" x14ac:dyDescent="0.25">
      <c r="B1872" s="26" t="s">
        <v>1240</v>
      </c>
      <c r="C1872" s="1">
        <v>10</v>
      </c>
      <c r="D1872" s="27" t="s">
        <v>3257</v>
      </c>
      <c r="E1872" s="25"/>
      <c r="F1872" s="25" t="str">
        <f>IF(INDEX(I.Electricity.P2Y2C3,10)="","",INDEX(I.Electricity.P2Y2C3,10))</f>
        <v/>
      </c>
      <c r="G1872" s="25"/>
      <c r="H1872" s="1" t="str">
        <f t="shared" si="69"/>
        <v>Complete</v>
      </c>
      <c r="I1872" s="48" t="s">
        <v>1683</v>
      </c>
    </row>
    <row r="1873" spans="2:9" ht="15" customHeight="1" x14ac:dyDescent="0.25">
      <c r="B1873" s="26" t="s">
        <v>1240</v>
      </c>
      <c r="C1873" s="1">
        <v>11</v>
      </c>
      <c r="D1873" s="27" t="s">
        <v>3257</v>
      </c>
      <c r="E1873" s="25"/>
      <c r="F1873" s="25" t="str">
        <f>IF(INDEX(I.Electricity.P2Y2C3,11)="","",INDEX(I.Electricity.P2Y2C3,11))</f>
        <v/>
      </c>
      <c r="G1873" s="25"/>
      <c r="H1873" s="1" t="str">
        <f t="shared" si="69"/>
        <v>Complete</v>
      </c>
      <c r="I1873" s="48" t="s">
        <v>1684</v>
      </c>
    </row>
    <row r="1874" spans="2:9" ht="15" customHeight="1" x14ac:dyDescent="0.25">
      <c r="B1874" s="26" t="s">
        <v>1240</v>
      </c>
      <c r="C1874" s="1">
        <v>12</v>
      </c>
      <c r="D1874" s="27" t="s">
        <v>3257</v>
      </c>
      <c r="E1874" s="25"/>
      <c r="F1874" s="25" t="str">
        <f>IF(INDEX(I.Electricity.P2Y2C3,12)="","",INDEX(I.Electricity.P2Y2C3,12))</f>
        <v/>
      </c>
      <c r="G1874" s="25"/>
      <c r="H1874" s="1" t="str">
        <f t="shared" si="69"/>
        <v>Complete</v>
      </c>
      <c r="I1874" s="48" t="s">
        <v>1685</v>
      </c>
    </row>
    <row r="1875" spans="2:9" ht="15" customHeight="1" x14ac:dyDescent="0.25">
      <c r="B1875" s="26" t="s">
        <v>1240</v>
      </c>
      <c r="C1875" s="1">
        <v>13</v>
      </c>
      <c r="D1875" s="27" t="s">
        <v>3257</v>
      </c>
      <c r="E1875" s="25"/>
      <c r="F1875" s="25" t="str">
        <f>IF(INDEX(I.Electricity.P2Y2C3,13)="","",INDEX(I.Electricity.P2Y2C3,13))</f>
        <v/>
      </c>
      <c r="G1875" s="25"/>
      <c r="H1875" s="1" t="str">
        <f t="shared" si="69"/>
        <v>Complete</v>
      </c>
      <c r="I1875" s="48" t="s">
        <v>1686</v>
      </c>
    </row>
    <row r="1876" spans="2:9" ht="15" customHeight="1" x14ac:dyDescent="0.25">
      <c r="B1876" s="26" t="s">
        <v>1240</v>
      </c>
      <c r="C1876" s="1">
        <v>14</v>
      </c>
      <c r="D1876" s="27" t="s">
        <v>3257</v>
      </c>
      <c r="E1876" s="25"/>
      <c r="F1876" s="25" t="str">
        <f>IF(INDEX(I.Electricity.P2Y2C3,14)="","",INDEX(I.Electricity.P2Y2C3,14))</f>
        <v/>
      </c>
      <c r="G1876" s="25"/>
      <c r="H1876" s="1" t="str">
        <f t="shared" si="69"/>
        <v>Complete</v>
      </c>
      <c r="I1876" s="48" t="s">
        <v>1687</v>
      </c>
    </row>
    <row r="1877" spans="2:9" ht="15" customHeight="1" x14ac:dyDescent="0.25">
      <c r="B1877" s="26" t="s">
        <v>1240</v>
      </c>
      <c r="C1877" s="1">
        <v>15</v>
      </c>
      <c r="D1877" s="27" t="s">
        <v>3257</v>
      </c>
      <c r="E1877" s="25"/>
      <c r="F1877" s="25" t="str">
        <f>IF(INDEX(I.Electricity.P2Y2C3,15)="","",INDEX(I.Electricity.P2Y2C3,15))</f>
        <v/>
      </c>
      <c r="G1877" s="25"/>
      <c r="H1877" s="1" t="str">
        <f t="shared" si="69"/>
        <v>Complete</v>
      </c>
      <c r="I1877" s="48" t="s">
        <v>1688</v>
      </c>
    </row>
    <row r="1878" spans="2:9" ht="15" customHeight="1" x14ac:dyDescent="0.25">
      <c r="B1878" s="26" t="s">
        <v>1240</v>
      </c>
      <c r="C1878" s="1">
        <v>16</v>
      </c>
      <c r="D1878" s="27" t="s">
        <v>3257</v>
      </c>
      <c r="E1878" s="25"/>
      <c r="F1878" s="25" t="str">
        <f>IF(INDEX(I.Electricity.P2Y2C3,16)="","",INDEX(I.Electricity.P2Y2C3,16))</f>
        <v/>
      </c>
      <c r="G1878" s="25"/>
      <c r="H1878" s="1" t="str">
        <f t="shared" si="69"/>
        <v>Complete</v>
      </c>
      <c r="I1878" s="48" t="s">
        <v>1689</v>
      </c>
    </row>
    <row r="1879" spans="2:9" ht="15" customHeight="1" x14ac:dyDescent="0.25">
      <c r="B1879" s="26" t="s">
        <v>1240</v>
      </c>
      <c r="C1879" s="1">
        <v>17</v>
      </c>
      <c r="D1879" s="27" t="s">
        <v>3257</v>
      </c>
      <c r="E1879" s="25"/>
      <c r="F1879" s="25" t="str">
        <f>IF(INDEX(I.Electricity.P2Y2C3,17)="","",INDEX(I.Electricity.P2Y2C3,17))</f>
        <v/>
      </c>
      <c r="G1879" s="25"/>
      <c r="H1879" s="1" t="str">
        <f t="shared" si="69"/>
        <v>Complete</v>
      </c>
      <c r="I1879" s="48" t="s">
        <v>1690</v>
      </c>
    </row>
    <row r="1880" spans="2:9" ht="15" customHeight="1" x14ac:dyDescent="0.25">
      <c r="B1880" s="26" t="s">
        <v>1240</v>
      </c>
      <c r="C1880" s="1">
        <v>18</v>
      </c>
      <c r="D1880" s="27" t="s">
        <v>3257</v>
      </c>
      <c r="E1880" s="25"/>
      <c r="F1880" s="25" t="str">
        <f>IF(INDEX(I.Electricity.P2Y2C3,18)="","",INDEX(I.Electricity.P2Y2C3,18))</f>
        <v/>
      </c>
      <c r="G1880" s="25"/>
      <c r="H1880" s="1" t="str">
        <f t="shared" si="69"/>
        <v>Complete</v>
      </c>
      <c r="I1880" s="48" t="s">
        <v>1691</v>
      </c>
    </row>
    <row r="1881" spans="2:9" ht="15" customHeight="1" x14ac:dyDescent="0.25">
      <c r="B1881" s="26" t="s">
        <v>1240</v>
      </c>
      <c r="C1881" s="1">
        <v>19</v>
      </c>
      <c r="D1881" s="27" t="s">
        <v>3257</v>
      </c>
      <c r="E1881" s="25"/>
      <c r="F1881" s="25" t="str">
        <f>IF(INDEX(I.Electricity.P2Y2C3,19)="","",INDEX(I.Electricity.P2Y2C3,19))</f>
        <v/>
      </c>
      <c r="G1881" s="25"/>
      <c r="H1881" s="1" t="str">
        <f t="shared" si="69"/>
        <v>Complete</v>
      </c>
      <c r="I1881" s="48" t="s">
        <v>1692</v>
      </c>
    </row>
    <row r="1882" spans="2:9" ht="15" customHeight="1" x14ac:dyDescent="0.25">
      <c r="B1882" s="26" t="s">
        <v>1240</v>
      </c>
      <c r="C1882" s="1">
        <v>20</v>
      </c>
      <c r="D1882" s="27" t="s">
        <v>3257</v>
      </c>
      <c r="E1882" s="25"/>
      <c r="F1882" s="25" t="str">
        <f>IF(INDEX(I.Electricity.P2Y2C3,20)="","",INDEX(I.Electricity.P2Y2C3,20))</f>
        <v/>
      </c>
      <c r="G1882" s="25"/>
      <c r="H1882" s="1" t="str">
        <f t="shared" si="69"/>
        <v>Complete</v>
      </c>
      <c r="I1882" s="48" t="s">
        <v>1693</v>
      </c>
    </row>
    <row r="1883" spans="2:9" ht="15" customHeight="1" x14ac:dyDescent="0.25">
      <c r="B1883" s="34" t="s">
        <v>1240</v>
      </c>
      <c r="C1883" s="35">
        <v>21</v>
      </c>
      <c r="D1883" s="46" t="s">
        <v>3257</v>
      </c>
      <c r="E1883" s="45"/>
      <c r="F1883" s="45" t="str">
        <f>IF(INDEX(I.Electricity.P2Y2C3,21)="","",INDEX(I.Electricity.P2Y2C3,21))</f>
        <v/>
      </c>
      <c r="G1883" s="45"/>
      <c r="H1883" s="35" t="str">
        <f t="shared" si="69"/>
        <v>Complete</v>
      </c>
      <c r="I1883" s="49" t="s">
        <v>1694</v>
      </c>
    </row>
    <row r="1884" spans="2:9" ht="15" customHeight="1" x14ac:dyDescent="0.25">
      <c r="B1884" s="26" t="s">
        <v>1241</v>
      </c>
      <c r="C1884" s="1">
        <v>1</v>
      </c>
      <c r="D1884" s="27" t="s">
        <v>3258</v>
      </c>
      <c r="E1884" s="25"/>
      <c r="F1884" s="25" t="str">
        <f>IF(INDEX(I.Electricity.P2Y3C3,1)="","",INDEX(I.Electricity.P2Y3C3,1))</f>
        <v/>
      </c>
      <c r="G1884" s="25"/>
      <c r="H1884" s="1" t="str">
        <f t="shared" ref="H1884:H1904" si="70">IF(AND(I.Facility.ProductCount&gt;=2,I.Product.P2Electricity="Yes",I.Developer.P2C3=TRUE,I.Product.P2Status&lt;&gt;"Yes",F1884=""),"Incomplete","Complete")</f>
        <v>Complete</v>
      </c>
      <c r="I1884" s="48" t="s">
        <v>1695</v>
      </c>
    </row>
    <row r="1885" spans="2:9" ht="15" customHeight="1" x14ac:dyDescent="0.25">
      <c r="B1885" s="26" t="s">
        <v>1241</v>
      </c>
      <c r="C1885" s="1">
        <v>2</v>
      </c>
      <c r="D1885" s="27" t="s">
        <v>3258</v>
      </c>
      <c r="E1885" s="25"/>
      <c r="F1885" s="25" t="str">
        <f>IF(INDEX(I.Electricity.P2Y3C3,2)="","",INDEX(I.Electricity.P2Y3C3,2))</f>
        <v/>
      </c>
      <c r="G1885" s="25"/>
      <c r="H1885" s="1" t="str">
        <f t="shared" si="70"/>
        <v>Complete</v>
      </c>
      <c r="I1885" s="48" t="s">
        <v>1696</v>
      </c>
    </row>
    <row r="1886" spans="2:9" ht="15" customHeight="1" x14ac:dyDescent="0.25">
      <c r="B1886" s="26" t="s">
        <v>1241</v>
      </c>
      <c r="C1886" s="1">
        <v>3</v>
      </c>
      <c r="D1886" s="27" t="s">
        <v>3258</v>
      </c>
      <c r="E1886" s="25"/>
      <c r="F1886" s="25" t="str">
        <f>IF(INDEX(I.Electricity.P2Y3C3,3)="","",INDEX(I.Electricity.P2Y3C3,3))</f>
        <v/>
      </c>
      <c r="G1886" s="25"/>
      <c r="H1886" s="1" t="str">
        <f t="shared" si="70"/>
        <v>Complete</v>
      </c>
      <c r="I1886" s="48" t="s">
        <v>1697</v>
      </c>
    </row>
    <row r="1887" spans="2:9" ht="15" customHeight="1" x14ac:dyDescent="0.25">
      <c r="B1887" s="26" t="s">
        <v>1241</v>
      </c>
      <c r="C1887" s="1">
        <v>4</v>
      </c>
      <c r="D1887" s="27" t="s">
        <v>3258</v>
      </c>
      <c r="E1887" s="25"/>
      <c r="F1887" s="25" t="str">
        <f>IF(INDEX(I.Electricity.P2Y3C3,4)="","",INDEX(I.Electricity.P2Y3C3,4))</f>
        <v/>
      </c>
      <c r="G1887" s="25"/>
      <c r="H1887" s="1" t="str">
        <f t="shared" si="70"/>
        <v>Complete</v>
      </c>
      <c r="I1887" s="48" t="s">
        <v>1698</v>
      </c>
    </row>
    <row r="1888" spans="2:9" ht="15" customHeight="1" x14ac:dyDescent="0.25">
      <c r="B1888" s="26" t="s">
        <v>1241</v>
      </c>
      <c r="C1888" s="1">
        <v>5</v>
      </c>
      <c r="D1888" s="27" t="s">
        <v>3258</v>
      </c>
      <c r="E1888" s="25"/>
      <c r="F1888" s="25" t="str">
        <f>IF(INDEX(I.Electricity.P2Y3C3,5)="","",INDEX(I.Electricity.P2Y3C3,5))</f>
        <v/>
      </c>
      <c r="G1888" s="25"/>
      <c r="H1888" s="1" t="str">
        <f t="shared" si="70"/>
        <v>Complete</v>
      </c>
      <c r="I1888" s="48" t="s">
        <v>1699</v>
      </c>
    </row>
    <row r="1889" spans="2:9" ht="15" customHeight="1" x14ac:dyDescent="0.25">
      <c r="B1889" s="26" t="s">
        <v>1241</v>
      </c>
      <c r="C1889" s="1">
        <v>6</v>
      </c>
      <c r="D1889" s="27" t="s">
        <v>3258</v>
      </c>
      <c r="E1889" s="25"/>
      <c r="F1889" s="25" t="str">
        <f>IF(INDEX(I.Electricity.P2Y3C3,6)="","",INDEX(I.Electricity.P2Y3C3,6))</f>
        <v/>
      </c>
      <c r="G1889" s="25"/>
      <c r="H1889" s="1" t="str">
        <f t="shared" si="70"/>
        <v>Complete</v>
      </c>
      <c r="I1889" s="48" t="s">
        <v>1700</v>
      </c>
    </row>
    <row r="1890" spans="2:9" ht="15" customHeight="1" x14ac:dyDescent="0.25">
      <c r="B1890" s="26" t="s">
        <v>1241</v>
      </c>
      <c r="C1890" s="1">
        <v>7</v>
      </c>
      <c r="D1890" s="27" t="s">
        <v>3258</v>
      </c>
      <c r="E1890" s="25"/>
      <c r="F1890" s="25" t="str">
        <f>IF(INDEX(I.Electricity.P2Y3C3,7)="","",INDEX(I.Electricity.P2Y3C3,7))</f>
        <v/>
      </c>
      <c r="G1890" s="25"/>
      <c r="H1890" s="1" t="str">
        <f t="shared" si="70"/>
        <v>Complete</v>
      </c>
      <c r="I1890" s="48" t="s">
        <v>1701</v>
      </c>
    </row>
    <row r="1891" spans="2:9" ht="15" customHeight="1" x14ac:dyDescent="0.25">
      <c r="B1891" s="26" t="s">
        <v>1241</v>
      </c>
      <c r="C1891" s="1">
        <v>8</v>
      </c>
      <c r="D1891" s="27" t="s">
        <v>3258</v>
      </c>
      <c r="E1891" s="25"/>
      <c r="F1891" s="25" t="str">
        <f>IF(INDEX(I.Electricity.P2Y3C3,8)="","",INDEX(I.Electricity.P2Y3C3,8))</f>
        <v/>
      </c>
      <c r="G1891" s="25"/>
      <c r="H1891" s="1" t="str">
        <f t="shared" si="70"/>
        <v>Complete</v>
      </c>
      <c r="I1891" s="48" t="s">
        <v>1702</v>
      </c>
    </row>
    <row r="1892" spans="2:9" ht="15" customHeight="1" x14ac:dyDescent="0.25">
      <c r="B1892" s="26" t="s">
        <v>1241</v>
      </c>
      <c r="C1892" s="1">
        <v>9</v>
      </c>
      <c r="D1892" s="27" t="s">
        <v>3258</v>
      </c>
      <c r="E1892" s="25"/>
      <c r="F1892" s="25" t="str">
        <f>IF(INDEX(I.Electricity.P2Y3C3,9)="","",INDEX(I.Electricity.P2Y3C3,9))</f>
        <v/>
      </c>
      <c r="G1892" s="25"/>
      <c r="H1892" s="1" t="str">
        <f t="shared" si="70"/>
        <v>Complete</v>
      </c>
      <c r="I1892" s="48" t="s">
        <v>1703</v>
      </c>
    </row>
    <row r="1893" spans="2:9" ht="15" customHeight="1" x14ac:dyDescent="0.25">
      <c r="B1893" s="26" t="s">
        <v>1241</v>
      </c>
      <c r="C1893" s="1">
        <v>10</v>
      </c>
      <c r="D1893" s="27" t="s">
        <v>3258</v>
      </c>
      <c r="E1893" s="25"/>
      <c r="F1893" s="25" t="str">
        <f>IF(INDEX(I.Electricity.P2Y3C3,10)="","",INDEX(I.Electricity.P2Y3C3,10))</f>
        <v/>
      </c>
      <c r="G1893" s="25"/>
      <c r="H1893" s="1" t="str">
        <f t="shared" si="70"/>
        <v>Complete</v>
      </c>
      <c r="I1893" s="48" t="s">
        <v>1704</v>
      </c>
    </row>
    <row r="1894" spans="2:9" ht="15" customHeight="1" x14ac:dyDescent="0.25">
      <c r="B1894" s="26" t="s">
        <v>1241</v>
      </c>
      <c r="C1894" s="1">
        <v>11</v>
      </c>
      <c r="D1894" s="27" t="s">
        <v>3258</v>
      </c>
      <c r="E1894" s="25"/>
      <c r="F1894" s="25" t="str">
        <f>IF(INDEX(I.Electricity.P2Y3C3,11)="","",INDEX(I.Electricity.P2Y3C3,11))</f>
        <v/>
      </c>
      <c r="G1894" s="25"/>
      <c r="H1894" s="1" t="str">
        <f t="shared" si="70"/>
        <v>Complete</v>
      </c>
      <c r="I1894" s="48" t="s">
        <v>1705</v>
      </c>
    </row>
    <row r="1895" spans="2:9" ht="15" customHeight="1" x14ac:dyDescent="0.25">
      <c r="B1895" s="26" t="s">
        <v>1241</v>
      </c>
      <c r="C1895" s="1">
        <v>12</v>
      </c>
      <c r="D1895" s="27" t="s">
        <v>3258</v>
      </c>
      <c r="E1895" s="25"/>
      <c r="F1895" s="25" t="str">
        <f>IF(INDEX(I.Electricity.P2Y3C3,12)="","",INDEX(I.Electricity.P2Y3C3,12))</f>
        <v/>
      </c>
      <c r="G1895" s="25"/>
      <c r="H1895" s="1" t="str">
        <f t="shared" si="70"/>
        <v>Complete</v>
      </c>
      <c r="I1895" s="48" t="s">
        <v>1706</v>
      </c>
    </row>
    <row r="1896" spans="2:9" ht="15" customHeight="1" x14ac:dyDescent="0.25">
      <c r="B1896" s="26" t="s">
        <v>1241</v>
      </c>
      <c r="C1896" s="1">
        <v>13</v>
      </c>
      <c r="D1896" s="27" t="s">
        <v>3258</v>
      </c>
      <c r="E1896" s="25"/>
      <c r="F1896" s="25" t="str">
        <f>IF(INDEX(I.Electricity.P2Y3C3,13)="","",INDEX(I.Electricity.P2Y3C3,13))</f>
        <v/>
      </c>
      <c r="G1896" s="25"/>
      <c r="H1896" s="1" t="str">
        <f t="shared" si="70"/>
        <v>Complete</v>
      </c>
      <c r="I1896" s="48" t="s">
        <v>1707</v>
      </c>
    </row>
    <row r="1897" spans="2:9" ht="15" customHeight="1" x14ac:dyDescent="0.25">
      <c r="B1897" s="26" t="s">
        <v>1241</v>
      </c>
      <c r="C1897" s="1">
        <v>14</v>
      </c>
      <c r="D1897" s="27" t="s">
        <v>3258</v>
      </c>
      <c r="E1897" s="25"/>
      <c r="F1897" s="25" t="str">
        <f>IF(INDEX(I.Electricity.P2Y3C3,14)="","",INDEX(I.Electricity.P2Y3C3,14))</f>
        <v/>
      </c>
      <c r="G1897" s="25"/>
      <c r="H1897" s="1" t="str">
        <f t="shared" si="70"/>
        <v>Complete</v>
      </c>
      <c r="I1897" s="48" t="s">
        <v>1708</v>
      </c>
    </row>
    <row r="1898" spans="2:9" ht="15" customHeight="1" x14ac:dyDescent="0.25">
      <c r="B1898" s="26" t="s">
        <v>1241</v>
      </c>
      <c r="C1898" s="1">
        <v>15</v>
      </c>
      <c r="D1898" s="27" t="s">
        <v>3258</v>
      </c>
      <c r="E1898" s="25"/>
      <c r="F1898" s="25" t="str">
        <f>IF(INDEX(I.Electricity.P2Y3C3,15)="","",INDEX(I.Electricity.P2Y3C3,15))</f>
        <v/>
      </c>
      <c r="G1898" s="25"/>
      <c r="H1898" s="1" t="str">
        <f t="shared" si="70"/>
        <v>Complete</v>
      </c>
      <c r="I1898" s="48" t="s">
        <v>1709</v>
      </c>
    </row>
    <row r="1899" spans="2:9" ht="15" customHeight="1" x14ac:dyDescent="0.25">
      <c r="B1899" s="26" t="s">
        <v>1241</v>
      </c>
      <c r="C1899" s="1">
        <v>16</v>
      </c>
      <c r="D1899" s="27" t="s">
        <v>3258</v>
      </c>
      <c r="E1899" s="25"/>
      <c r="F1899" s="25" t="str">
        <f>IF(INDEX(I.Electricity.P2Y3C3,16)="","",INDEX(I.Electricity.P2Y3C3,16))</f>
        <v/>
      </c>
      <c r="G1899" s="25"/>
      <c r="H1899" s="1" t="str">
        <f t="shared" si="70"/>
        <v>Complete</v>
      </c>
      <c r="I1899" s="48" t="s">
        <v>1710</v>
      </c>
    </row>
    <row r="1900" spans="2:9" ht="15" customHeight="1" x14ac:dyDescent="0.25">
      <c r="B1900" s="26" t="s">
        <v>1241</v>
      </c>
      <c r="C1900" s="1">
        <v>17</v>
      </c>
      <c r="D1900" s="27" t="s">
        <v>3258</v>
      </c>
      <c r="E1900" s="25"/>
      <c r="F1900" s="25" t="str">
        <f>IF(INDEX(I.Electricity.P2Y3C3,17)="","",INDEX(I.Electricity.P2Y3C3,17))</f>
        <v/>
      </c>
      <c r="G1900" s="25"/>
      <c r="H1900" s="1" t="str">
        <f t="shared" si="70"/>
        <v>Complete</v>
      </c>
      <c r="I1900" s="48" t="s">
        <v>1711</v>
      </c>
    </row>
    <row r="1901" spans="2:9" ht="15" customHeight="1" x14ac:dyDescent="0.25">
      <c r="B1901" s="26" t="s">
        <v>1241</v>
      </c>
      <c r="C1901" s="1">
        <v>18</v>
      </c>
      <c r="D1901" s="27" t="s">
        <v>3258</v>
      </c>
      <c r="E1901" s="25"/>
      <c r="F1901" s="25" t="str">
        <f>IF(INDEX(I.Electricity.P2Y3C3,18)="","",INDEX(I.Electricity.P2Y3C3,18))</f>
        <v/>
      </c>
      <c r="G1901" s="25"/>
      <c r="H1901" s="1" t="str">
        <f t="shared" si="70"/>
        <v>Complete</v>
      </c>
      <c r="I1901" s="48" t="s">
        <v>1712</v>
      </c>
    </row>
    <row r="1902" spans="2:9" ht="15" customHeight="1" x14ac:dyDescent="0.25">
      <c r="B1902" s="26" t="s">
        <v>1241</v>
      </c>
      <c r="C1902" s="1">
        <v>19</v>
      </c>
      <c r="D1902" s="27" t="s">
        <v>3258</v>
      </c>
      <c r="E1902" s="25"/>
      <c r="F1902" s="25" t="str">
        <f>IF(INDEX(I.Electricity.P2Y3C3,19)="","",INDEX(I.Electricity.P2Y3C3,19))</f>
        <v/>
      </c>
      <c r="G1902" s="25"/>
      <c r="H1902" s="1" t="str">
        <f t="shared" si="70"/>
        <v>Complete</v>
      </c>
      <c r="I1902" s="48" t="s">
        <v>1713</v>
      </c>
    </row>
    <row r="1903" spans="2:9" ht="15" customHeight="1" x14ac:dyDescent="0.25">
      <c r="B1903" s="26" t="s">
        <v>1241</v>
      </c>
      <c r="C1903" s="1">
        <v>20</v>
      </c>
      <c r="D1903" s="27" t="s">
        <v>3258</v>
      </c>
      <c r="E1903" s="25"/>
      <c r="F1903" s="25" t="str">
        <f>IF(INDEX(I.Electricity.P2Y3C3,20)="","",INDEX(I.Electricity.P2Y3C3,20))</f>
        <v/>
      </c>
      <c r="G1903" s="25"/>
      <c r="H1903" s="1" t="str">
        <f t="shared" si="70"/>
        <v>Complete</v>
      </c>
      <c r="I1903" s="48" t="s">
        <v>1714</v>
      </c>
    </row>
    <row r="1904" spans="2:9" ht="15" customHeight="1" x14ac:dyDescent="0.25">
      <c r="B1904" s="34" t="s">
        <v>1241</v>
      </c>
      <c r="C1904" s="35">
        <v>21</v>
      </c>
      <c r="D1904" s="46" t="s">
        <v>3258</v>
      </c>
      <c r="E1904" s="45"/>
      <c r="F1904" s="45" t="str">
        <f>IF(INDEX(I.Electricity.P2Y3C3,21)="","",INDEX(I.Electricity.P2Y3C3,21))</f>
        <v/>
      </c>
      <c r="G1904" s="45"/>
      <c r="H1904" s="35" t="str">
        <f t="shared" si="70"/>
        <v>Complete</v>
      </c>
      <c r="I1904" s="49" t="s">
        <v>1715</v>
      </c>
    </row>
    <row r="1905" spans="2:9" ht="15" customHeight="1" x14ac:dyDescent="0.25">
      <c r="B1905" s="26" t="s">
        <v>1242</v>
      </c>
      <c r="C1905" s="1">
        <v>1</v>
      </c>
      <c r="D1905" s="27" t="s">
        <v>3259</v>
      </c>
      <c r="E1905" s="25"/>
      <c r="F1905" s="25" t="str">
        <f>IF(INDEX(I.Electricity.P2Y1C4,1)="","",INDEX(I.Electricity.P2Y1C4,1))</f>
        <v/>
      </c>
      <c r="G1905" s="25"/>
      <c r="H1905" s="1" t="str">
        <f t="shared" ref="H1905:H1910" si="71">IF(AND(I.Facility.ProductCount&gt;=2,I.Product.P2Electricity="Yes",I.Developer.P2C4=TRUE,F1905=""),"Incomplete","Complete")</f>
        <v>Complete</v>
      </c>
      <c r="I1905" s="48" t="s">
        <v>1716</v>
      </c>
    </row>
    <row r="1906" spans="2:9" ht="15" customHeight="1" x14ac:dyDescent="0.25">
      <c r="B1906" s="26" t="s">
        <v>1242</v>
      </c>
      <c r="C1906" s="1">
        <v>2</v>
      </c>
      <c r="D1906" s="27" t="s">
        <v>3259</v>
      </c>
      <c r="E1906" s="25"/>
      <c r="F1906" s="25" t="str">
        <f>IF(INDEX(I.Electricity.P2Y1C4,2)="","",INDEX(I.Electricity.P2Y1C4,2))</f>
        <v/>
      </c>
      <c r="G1906" s="25"/>
      <c r="H1906" s="1" t="str">
        <f t="shared" si="71"/>
        <v>Complete</v>
      </c>
      <c r="I1906" s="48" t="s">
        <v>1717</v>
      </c>
    </row>
    <row r="1907" spans="2:9" ht="15" customHeight="1" x14ac:dyDescent="0.25">
      <c r="B1907" s="34" t="s">
        <v>1242</v>
      </c>
      <c r="C1907" s="35">
        <v>3</v>
      </c>
      <c r="D1907" s="46" t="s">
        <v>3259</v>
      </c>
      <c r="E1907" s="45"/>
      <c r="F1907" s="45" t="str">
        <f>IF(INDEX(I.Electricity.P2Y1C4,3)="","",INDEX(I.Electricity.P2Y1C4,3))</f>
        <v/>
      </c>
      <c r="G1907" s="45"/>
      <c r="H1907" s="35" t="str">
        <f t="shared" si="71"/>
        <v>Complete</v>
      </c>
      <c r="I1907" s="49" t="s">
        <v>1718</v>
      </c>
    </row>
    <row r="1908" spans="2:9" ht="15" customHeight="1" x14ac:dyDescent="0.25">
      <c r="B1908" s="26" t="s">
        <v>1243</v>
      </c>
      <c r="C1908" s="1">
        <v>1</v>
      </c>
      <c r="D1908" s="27" t="s">
        <v>3260</v>
      </c>
      <c r="E1908" s="25"/>
      <c r="F1908" s="25" t="str">
        <f>IF(INDEX(I.Electricity.P2Y2C4,1)="","",INDEX(I.Electricity.P2Y2C4,1))</f>
        <v/>
      </c>
      <c r="G1908" s="25"/>
      <c r="H1908" s="1" t="str">
        <f t="shared" si="71"/>
        <v>Complete</v>
      </c>
      <c r="I1908" s="48" t="s">
        <v>1719</v>
      </c>
    </row>
    <row r="1909" spans="2:9" ht="15" customHeight="1" x14ac:dyDescent="0.25">
      <c r="B1909" s="26" t="s">
        <v>1243</v>
      </c>
      <c r="C1909" s="1">
        <v>2</v>
      </c>
      <c r="D1909" s="27" t="s">
        <v>3260</v>
      </c>
      <c r="E1909" s="25"/>
      <c r="F1909" s="25" t="str">
        <f>IF(INDEX(I.Electricity.P2Y2C4,2)="","",INDEX(I.Electricity.P2Y2C4,2))</f>
        <v/>
      </c>
      <c r="G1909" s="25"/>
      <c r="H1909" s="1" t="str">
        <f t="shared" si="71"/>
        <v>Complete</v>
      </c>
      <c r="I1909" s="48" t="s">
        <v>1720</v>
      </c>
    </row>
    <row r="1910" spans="2:9" ht="15" customHeight="1" x14ac:dyDescent="0.25">
      <c r="B1910" s="34" t="s">
        <v>1243</v>
      </c>
      <c r="C1910" s="35">
        <v>3</v>
      </c>
      <c r="D1910" s="46" t="s">
        <v>3260</v>
      </c>
      <c r="E1910" s="45"/>
      <c r="F1910" s="45" t="str">
        <f>IF(INDEX(I.Electricity.P2Y2C4,3)="","",INDEX(I.Electricity.P2Y2C4,3))</f>
        <v/>
      </c>
      <c r="G1910" s="45"/>
      <c r="H1910" s="35" t="str">
        <f t="shared" si="71"/>
        <v>Complete</v>
      </c>
      <c r="I1910" s="49" t="s">
        <v>1721</v>
      </c>
    </row>
    <row r="1911" spans="2:9" ht="15" customHeight="1" x14ac:dyDescent="0.25">
      <c r="B1911" s="26" t="s">
        <v>1244</v>
      </c>
      <c r="C1911" s="1">
        <v>1</v>
      </c>
      <c r="D1911" s="27" t="s">
        <v>3261</v>
      </c>
      <c r="E1911" s="25"/>
      <c r="F1911" s="25" t="str">
        <f>IF(INDEX(I.Electricity.P2Y3C4,1)="","",INDEX(I.Electricity.P2Y3C4,1))</f>
        <v/>
      </c>
      <c r="G1911" s="25"/>
      <c r="H1911" s="1" t="str">
        <f>IF(AND(I.Facility.ProductCount&gt;=2,I.Product.P2Electricity="Yes",I.Developer.P2C4=TRUE,I.Product.P2Status&lt;&gt;"Yes",F1911=""),"Incomplete","Complete")</f>
        <v>Complete</v>
      </c>
      <c r="I1911" s="48" t="s">
        <v>1722</v>
      </c>
    </row>
    <row r="1912" spans="2:9" ht="15" customHeight="1" x14ac:dyDescent="0.25">
      <c r="B1912" s="26" t="s">
        <v>1244</v>
      </c>
      <c r="C1912" s="1">
        <v>2</v>
      </c>
      <c r="D1912" s="27" t="s">
        <v>3261</v>
      </c>
      <c r="E1912" s="25"/>
      <c r="F1912" s="25" t="str">
        <f>IF(INDEX(I.Electricity.P2Y3C4,2)="","",INDEX(I.Electricity.P2Y3C4,2))</f>
        <v/>
      </c>
      <c r="G1912" s="25"/>
      <c r="H1912" s="1" t="str">
        <f>IF(AND(I.Facility.ProductCount&gt;=2,I.Product.P2Electricity="Yes",I.Developer.P2C4=TRUE,I.Product.P2Status&lt;&gt;"Yes",F1912=""),"Incomplete","Complete")</f>
        <v>Complete</v>
      </c>
      <c r="I1912" s="48" t="s">
        <v>1723</v>
      </c>
    </row>
    <row r="1913" spans="2:9" ht="15" customHeight="1" x14ac:dyDescent="0.25">
      <c r="B1913" s="34" t="s">
        <v>1244</v>
      </c>
      <c r="C1913" s="35">
        <v>3</v>
      </c>
      <c r="D1913" s="46" t="s">
        <v>3261</v>
      </c>
      <c r="E1913" s="45"/>
      <c r="F1913" s="45" t="str">
        <f>IF(INDEX(I.Electricity.P2Y3C4,3)="","",INDEX(I.Electricity.P2Y3C4,3))</f>
        <v/>
      </c>
      <c r="G1913" s="45"/>
      <c r="H1913" s="35" t="str">
        <f>IF(AND(I.Facility.ProductCount&gt;=2,I.Product.P2Electricity="Yes",I.Developer.P2C4=TRUE,I.Product.P2Status&lt;&gt;"Yes",F1913=""),"Incomplete","Complete")</f>
        <v>Complete</v>
      </c>
      <c r="I1913" s="49" t="s">
        <v>1724</v>
      </c>
    </row>
    <row r="1914" spans="2:9" ht="15" customHeight="1" x14ac:dyDescent="0.25">
      <c r="B1914" s="26" t="s">
        <v>1245</v>
      </c>
      <c r="C1914" s="1">
        <v>1</v>
      </c>
      <c r="D1914" s="27" t="s">
        <v>3262</v>
      </c>
      <c r="E1914" s="25"/>
      <c r="F1914" s="25" t="str">
        <f>IF(INDEX(I.Electricity.P2Y1C5,1)="","",INDEX(I.Electricity.P2Y1C5,1))</f>
        <v/>
      </c>
      <c r="G1914" s="25"/>
      <c r="H1914" s="1" t="str">
        <f t="shared" ref="H1914:H1919" si="72">IF(AND(I.Facility.ProductCount&gt;=2,I.Product.P2Electricity="Yes",I.Developer.P2C5=TRUE,F1914=""),"Incomplete","Complete")</f>
        <v>Complete</v>
      </c>
      <c r="I1914" s="48" t="s">
        <v>1725</v>
      </c>
    </row>
    <row r="1915" spans="2:9" ht="15" customHeight="1" x14ac:dyDescent="0.25">
      <c r="B1915" s="26" t="s">
        <v>1245</v>
      </c>
      <c r="C1915" s="1">
        <v>2</v>
      </c>
      <c r="D1915" s="27" t="s">
        <v>3262</v>
      </c>
      <c r="E1915" s="25"/>
      <c r="F1915" s="25" t="str">
        <f>IF(INDEX(I.Electricity.P2Y1C5,2)="","",INDEX(I.Electricity.P2Y1C5,2))</f>
        <v/>
      </c>
      <c r="G1915" s="25"/>
      <c r="H1915" s="1" t="str">
        <f t="shared" si="72"/>
        <v>Complete</v>
      </c>
      <c r="I1915" s="48" t="s">
        <v>1726</v>
      </c>
    </row>
    <row r="1916" spans="2:9" ht="15" customHeight="1" x14ac:dyDescent="0.25">
      <c r="B1916" s="34" t="s">
        <v>1245</v>
      </c>
      <c r="C1916" s="35">
        <v>3</v>
      </c>
      <c r="D1916" s="46" t="s">
        <v>3262</v>
      </c>
      <c r="E1916" s="45"/>
      <c r="F1916" s="45" t="str">
        <f>IF(INDEX(I.Electricity.P2Y1C5,3)="","",INDEX(I.Electricity.P2Y1C5,3))</f>
        <v/>
      </c>
      <c r="G1916" s="45"/>
      <c r="H1916" s="35" t="str">
        <f t="shared" si="72"/>
        <v>Complete</v>
      </c>
      <c r="I1916" s="49" t="s">
        <v>1727</v>
      </c>
    </row>
    <row r="1917" spans="2:9" ht="15" customHeight="1" x14ac:dyDescent="0.25">
      <c r="B1917" s="26" t="s">
        <v>1246</v>
      </c>
      <c r="C1917" s="1">
        <v>1</v>
      </c>
      <c r="D1917" s="27" t="s">
        <v>3263</v>
      </c>
      <c r="E1917" s="25"/>
      <c r="F1917" s="25" t="str">
        <f>IF(INDEX(I.Electricity.P2Y2C5,1)="","",INDEX(I.Electricity.P2Y2C5,1))</f>
        <v/>
      </c>
      <c r="G1917" s="25"/>
      <c r="H1917" s="1" t="str">
        <f t="shared" si="72"/>
        <v>Complete</v>
      </c>
      <c r="I1917" s="48" t="s">
        <v>1728</v>
      </c>
    </row>
    <row r="1918" spans="2:9" ht="15" customHeight="1" x14ac:dyDescent="0.25">
      <c r="B1918" s="26" t="s">
        <v>1246</v>
      </c>
      <c r="C1918" s="1">
        <v>2</v>
      </c>
      <c r="D1918" s="27" t="s">
        <v>3263</v>
      </c>
      <c r="E1918" s="25"/>
      <c r="F1918" s="25" t="str">
        <f>IF(INDEX(I.Electricity.P2Y2C5,2)="","",INDEX(I.Electricity.P2Y2C5,2))</f>
        <v/>
      </c>
      <c r="G1918" s="25"/>
      <c r="H1918" s="1" t="str">
        <f t="shared" si="72"/>
        <v>Complete</v>
      </c>
      <c r="I1918" s="48" t="s">
        <v>1729</v>
      </c>
    </row>
    <row r="1919" spans="2:9" ht="15" customHeight="1" x14ac:dyDescent="0.25">
      <c r="B1919" s="34" t="s">
        <v>1246</v>
      </c>
      <c r="C1919" s="35">
        <v>3</v>
      </c>
      <c r="D1919" s="46" t="s">
        <v>3263</v>
      </c>
      <c r="E1919" s="45"/>
      <c r="F1919" s="45" t="str">
        <f>IF(INDEX(I.Electricity.P2Y2C5,3)="","",INDEX(I.Electricity.P2Y2C5,3))</f>
        <v/>
      </c>
      <c r="G1919" s="45"/>
      <c r="H1919" s="35" t="str">
        <f t="shared" si="72"/>
        <v>Complete</v>
      </c>
      <c r="I1919" s="49" t="s">
        <v>1730</v>
      </c>
    </row>
    <row r="1920" spans="2:9" ht="15" customHeight="1" x14ac:dyDescent="0.25">
      <c r="B1920" s="26" t="s">
        <v>1247</v>
      </c>
      <c r="C1920" s="1">
        <v>1</v>
      </c>
      <c r="D1920" s="27" t="s">
        <v>3264</v>
      </c>
      <c r="E1920" s="25"/>
      <c r="F1920" s="25" t="str">
        <f>IF(INDEX(I.Electricity.P2Y3C5,1)="","",INDEX(I.Electricity.P2Y3C5,1))</f>
        <v/>
      </c>
      <c r="G1920" s="25"/>
      <c r="H1920" s="1" t="str">
        <f>IF(AND(I.Facility.ProductCount&gt;=2,I.Product.P2Electricity="Yes",I.Developer.P2C5=TRUE,I.Product.P2Status&lt;&gt;"Yes",F1920=""),"Incomplete","Complete")</f>
        <v>Complete</v>
      </c>
      <c r="I1920" s="48" t="s">
        <v>1731</v>
      </c>
    </row>
    <row r="1921" spans="2:9" ht="15" customHeight="1" x14ac:dyDescent="0.25">
      <c r="B1921" s="26" t="s">
        <v>1247</v>
      </c>
      <c r="C1921" s="1">
        <v>2</v>
      </c>
      <c r="D1921" s="27" t="s">
        <v>3264</v>
      </c>
      <c r="E1921" s="25"/>
      <c r="F1921" s="25" t="str">
        <f>IF(INDEX(I.Electricity.P2Y3C5,2)="","",INDEX(I.Electricity.P2Y3C5,2))</f>
        <v/>
      </c>
      <c r="G1921" s="25"/>
      <c r="H1921" s="1" t="str">
        <f>IF(AND(I.Facility.ProductCount&gt;=2,I.Product.P2Electricity="Yes",I.Developer.P2C5=TRUE,I.Product.P2Status&lt;&gt;"Yes",F1921=""),"Incomplete","Complete")</f>
        <v>Complete</v>
      </c>
      <c r="I1921" s="48" t="s">
        <v>1732</v>
      </c>
    </row>
    <row r="1922" spans="2:9" ht="15" customHeight="1" x14ac:dyDescent="0.25">
      <c r="B1922" s="34" t="s">
        <v>1247</v>
      </c>
      <c r="C1922" s="35">
        <v>3</v>
      </c>
      <c r="D1922" s="46" t="s">
        <v>3264</v>
      </c>
      <c r="E1922" s="45"/>
      <c r="F1922" s="45" t="str">
        <f>IF(INDEX(I.Electricity.P2Y3C5,3)="","",INDEX(I.Electricity.P2Y3C5,3))</f>
        <v/>
      </c>
      <c r="G1922" s="45"/>
      <c r="H1922" s="35" t="str">
        <f>IF(AND(I.Facility.ProductCount&gt;=2,I.Product.P2Electricity="Yes",I.Developer.P2C5=TRUE,I.Product.P2Status&lt;&gt;"Yes",F1922=""),"Incomplete","Complete")</f>
        <v>Complete</v>
      </c>
      <c r="I1922" s="49" t="s">
        <v>1733</v>
      </c>
    </row>
    <row r="1923" spans="2:9" ht="15" customHeight="1" x14ac:dyDescent="0.25">
      <c r="B1923" s="26" t="s">
        <v>1248</v>
      </c>
      <c r="C1923" s="1">
        <v>1</v>
      </c>
      <c r="D1923" s="27" t="s">
        <v>3265</v>
      </c>
      <c r="E1923" s="25"/>
      <c r="F1923" s="25" t="str">
        <f>IF(INDEX(I.Electricity.P2Y1C6,1)="","",INDEX(I.Electricity.P2Y1C6,1))</f>
        <v/>
      </c>
      <c r="G1923" s="25"/>
      <c r="H1923" s="1" t="str">
        <f t="shared" ref="H1923:H1928" si="73">IF(AND(I.Facility.ProductCount&gt;=2,I.Product.P2Electricity="Yes",I.Developer.P2C6=TRUE,F1923=""),"Incomplete","Complete")</f>
        <v>Complete</v>
      </c>
      <c r="I1923" s="48" t="s">
        <v>1734</v>
      </c>
    </row>
    <row r="1924" spans="2:9" ht="15" customHeight="1" x14ac:dyDescent="0.25">
      <c r="B1924" s="26" t="s">
        <v>1248</v>
      </c>
      <c r="C1924" s="1">
        <v>2</v>
      </c>
      <c r="D1924" s="27" t="s">
        <v>3265</v>
      </c>
      <c r="E1924" s="25"/>
      <c r="F1924" s="25" t="str">
        <f>IF(INDEX(I.Electricity.P2Y1C6,2)="","",INDEX(I.Electricity.P2Y1C6,2))</f>
        <v/>
      </c>
      <c r="G1924" s="25"/>
      <c r="H1924" s="1" t="str">
        <f t="shared" si="73"/>
        <v>Complete</v>
      </c>
      <c r="I1924" s="48" t="s">
        <v>1735</v>
      </c>
    </row>
    <row r="1925" spans="2:9" ht="15" customHeight="1" x14ac:dyDescent="0.25">
      <c r="B1925" s="34" t="s">
        <v>1248</v>
      </c>
      <c r="C1925" s="35">
        <v>3</v>
      </c>
      <c r="D1925" s="46" t="s">
        <v>3265</v>
      </c>
      <c r="E1925" s="45"/>
      <c r="F1925" s="45" t="str">
        <f>IF(INDEX(I.Electricity.P2Y1C6,3)="","",INDEX(I.Electricity.P2Y1C6,3))</f>
        <v/>
      </c>
      <c r="G1925" s="45"/>
      <c r="H1925" s="35" t="str">
        <f t="shared" si="73"/>
        <v>Complete</v>
      </c>
      <c r="I1925" s="49" t="s">
        <v>1736</v>
      </c>
    </row>
    <row r="1926" spans="2:9" ht="15" customHeight="1" x14ac:dyDescent="0.25">
      <c r="B1926" s="26" t="s">
        <v>1249</v>
      </c>
      <c r="C1926" s="1">
        <v>1</v>
      </c>
      <c r="D1926" s="27" t="s">
        <v>3266</v>
      </c>
      <c r="E1926" s="25"/>
      <c r="F1926" s="25" t="str">
        <f>IF(INDEX(I.Electricity.P2Y2C6,1)="","",INDEX(I.Electricity.P2Y2C6,1))</f>
        <v/>
      </c>
      <c r="G1926" s="25"/>
      <c r="H1926" s="1" t="str">
        <f t="shared" si="73"/>
        <v>Complete</v>
      </c>
      <c r="I1926" s="48" t="s">
        <v>1737</v>
      </c>
    </row>
    <row r="1927" spans="2:9" ht="15" customHeight="1" x14ac:dyDescent="0.25">
      <c r="B1927" s="26" t="s">
        <v>1249</v>
      </c>
      <c r="C1927" s="1">
        <v>2</v>
      </c>
      <c r="D1927" s="27" t="s">
        <v>3266</v>
      </c>
      <c r="E1927" s="25"/>
      <c r="F1927" s="25" t="str">
        <f>IF(INDEX(I.Electricity.P2Y2C6,2)="","",INDEX(I.Electricity.P2Y2C6,2))</f>
        <v/>
      </c>
      <c r="G1927" s="25"/>
      <c r="H1927" s="1" t="str">
        <f t="shared" si="73"/>
        <v>Complete</v>
      </c>
      <c r="I1927" s="48" t="s">
        <v>1738</v>
      </c>
    </row>
    <row r="1928" spans="2:9" ht="15" customHeight="1" x14ac:dyDescent="0.25">
      <c r="B1928" s="34" t="s">
        <v>1249</v>
      </c>
      <c r="C1928" s="35">
        <v>3</v>
      </c>
      <c r="D1928" s="46" t="s">
        <v>3266</v>
      </c>
      <c r="E1928" s="45"/>
      <c r="F1928" s="45" t="str">
        <f>IF(INDEX(I.Electricity.P2Y2C6,3)="","",INDEX(I.Electricity.P2Y2C6,3))</f>
        <v/>
      </c>
      <c r="G1928" s="45"/>
      <c r="H1928" s="35" t="str">
        <f t="shared" si="73"/>
        <v>Complete</v>
      </c>
      <c r="I1928" s="49" t="s">
        <v>1739</v>
      </c>
    </row>
    <row r="1929" spans="2:9" ht="15" customHeight="1" x14ac:dyDescent="0.25">
      <c r="B1929" s="26" t="s">
        <v>1250</v>
      </c>
      <c r="C1929" s="1">
        <v>1</v>
      </c>
      <c r="D1929" s="27" t="s">
        <v>3267</v>
      </c>
      <c r="E1929" s="25"/>
      <c r="F1929" s="25" t="str">
        <f>IF(INDEX(I.Electricity.P2Y3C6,1)="","",INDEX(I.Electricity.P2Y3C6,1))</f>
        <v/>
      </c>
      <c r="G1929" s="25"/>
      <c r="H1929" s="1" t="str">
        <f>IF(AND(I.Facility.ProductCount&gt;=2,I.Product.P2Electricity="Yes",I.Developer.P2C6=TRUE,I.Product.P2Status&lt;&gt;"Yes",F1929=""),"Incomplete","Complete")</f>
        <v>Complete</v>
      </c>
      <c r="I1929" s="48" t="s">
        <v>1740</v>
      </c>
    </row>
    <row r="1930" spans="2:9" ht="15" customHeight="1" x14ac:dyDescent="0.25">
      <c r="B1930" s="26" t="s">
        <v>1250</v>
      </c>
      <c r="C1930" s="1">
        <v>2</v>
      </c>
      <c r="D1930" s="27" t="s">
        <v>3267</v>
      </c>
      <c r="E1930" s="25"/>
      <c r="F1930" s="25" t="str">
        <f>IF(INDEX(I.Electricity.P2Y3C6,2)="","",INDEX(I.Electricity.P2Y3C6,2))</f>
        <v/>
      </c>
      <c r="G1930" s="25"/>
      <c r="H1930" s="1" t="str">
        <f>IF(AND(I.Facility.ProductCount&gt;=2,I.Product.P2Electricity="Yes",I.Developer.P2C6=TRUE,I.Product.P2Status&lt;&gt;"Yes",F1930=""),"Incomplete","Complete")</f>
        <v>Complete</v>
      </c>
      <c r="I1930" s="48" t="s">
        <v>1741</v>
      </c>
    </row>
    <row r="1931" spans="2:9" ht="15" customHeight="1" x14ac:dyDescent="0.25">
      <c r="B1931" s="34" t="s">
        <v>1250</v>
      </c>
      <c r="C1931" s="35">
        <v>3</v>
      </c>
      <c r="D1931" s="46" t="s">
        <v>3267</v>
      </c>
      <c r="E1931" s="45"/>
      <c r="F1931" s="45" t="str">
        <f>IF(INDEX(I.Electricity.P2Y3C6,3)="","",INDEX(I.Electricity.P2Y3C6,3))</f>
        <v/>
      </c>
      <c r="G1931" s="45"/>
      <c r="H1931" s="35" t="str">
        <f>IF(AND(I.Facility.ProductCount&gt;=2,I.Product.P2Electricity="Yes",I.Developer.P2C6=TRUE,I.Product.P2Status&lt;&gt;"Yes",F1931=""),"Incomplete","Complete")</f>
        <v>Complete</v>
      </c>
      <c r="I1931" s="49" t="s">
        <v>1742</v>
      </c>
    </row>
    <row r="1932" spans="2:9" ht="15" customHeight="1" x14ac:dyDescent="0.25">
      <c r="B1932" s="26" t="s">
        <v>1251</v>
      </c>
      <c r="C1932" s="1">
        <v>1</v>
      </c>
      <c r="D1932" s="27" t="s">
        <v>3268</v>
      </c>
      <c r="E1932" s="25"/>
      <c r="F1932" s="25" t="str">
        <f>IF(INDEX(I.Electricity.P2Y1C7,1)="","",INDEX(I.Electricity.P2Y1C7,1))</f>
        <v/>
      </c>
      <c r="G1932" s="25"/>
      <c r="H1932" s="1" t="str">
        <f t="shared" ref="H1932:H1937" si="74">IF(AND(I.Facility.ProductCount&gt;=2,I.Product.P2Electricity="Yes",I.Developer.P2C7=TRUE,F1932=""),"Incomplete","Complete")</f>
        <v>Complete</v>
      </c>
      <c r="I1932" s="48" t="s">
        <v>1743</v>
      </c>
    </row>
    <row r="1933" spans="2:9" ht="15" customHeight="1" x14ac:dyDescent="0.25">
      <c r="B1933" s="26" t="s">
        <v>1251</v>
      </c>
      <c r="C1933" s="1">
        <v>2</v>
      </c>
      <c r="D1933" s="27" t="s">
        <v>3268</v>
      </c>
      <c r="E1933" s="25"/>
      <c r="F1933" s="25" t="str">
        <f>IF(INDEX(I.Electricity.P2Y1C7,2)="","",INDEX(I.Electricity.P2Y1C7,2))</f>
        <v/>
      </c>
      <c r="G1933" s="25"/>
      <c r="H1933" s="1" t="str">
        <f t="shared" si="74"/>
        <v>Complete</v>
      </c>
      <c r="I1933" s="48" t="s">
        <v>1744</v>
      </c>
    </row>
    <row r="1934" spans="2:9" ht="15" customHeight="1" x14ac:dyDescent="0.25">
      <c r="B1934" s="34" t="s">
        <v>1251</v>
      </c>
      <c r="C1934" s="35">
        <v>3</v>
      </c>
      <c r="D1934" s="46" t="s">
        <v>3268</v>
      </c>
      <c r="E1934" s="45"/>
      <c r="F1934" s="45" t="str">
        <f>IF(INDEX(I.Electricity.P2Y1C7,3)="","",INDEX(I.Electricity.P2Y1C7,3))</f>
        <v/>
      </c>
      <c r="G1934" s="45"/>
      <c r="H1934" s="35" t="str">
        <f t="shared" si="74"/>
        <v>Complete</v>
      </c>
      <c r="I1934" s="49" t="s">
        <v>1745</v>
      </c>
    </row>
    <row r="1935" spans="2:9" ht="15" customHeight="1" x14ac:dyDescent="0.25">
      <c r="B1935" s="26" t="s">
        <v>1252</v>
      </c>
      <c r="C1935" s="1">
        <v>1</v>
      </c>
      <c r="D1935" s="27" t="s">
        <v>3269</v>
      </c>
      <c r="E1935" s="25"/>
      <c r="F1935" s="25" t="str">
        <f>IF(INDEX(I.Electricity.P2Y2C7,1)="","",INDEX(I.Electricity.P2Y2C7,1))</f>
        <v/>
      </c>
      <c r="G1935" s="25"/>
      <c r="H1935" s="1" t="str">
        <f t="shared" si="74"/>
        <v>Complete</v>
      </c>
      <c r="I1935" s="48" t="s">
        <v>1746</v>
      </c>
    </row>
    <row r="1936" spans="2:9" ht="15" customHeight="1" x14ac:dyDescent="0.25">
      <c r="B1936" s="26" t="s">
        <v>1252</v>
      </c>
      <c r="C1936" s="1">
        <v>2</v>
      </c>
      <c r="D1936" s="27" t="s">
        <v>3269</v>
      </c>
      <c r="E1936" s="25"/>
      <c r="F1936" s="25" t="str">
        <f>IF(INDEX(I.Electricity.P2Y2C7,2)="","",INDEX(I.Electricity.P2Y2C7,2))</f>
        <v/>
      </c>
      <c r="G1936" s="25"/>
      <c r="H1936" s="1" t="str">
        <f t="shared" si="74"/>
        <v>Complete</v>
      </c>
      <c r="I1936" s="48" t="s">
        <v>1747</v>
      </c>
    </row>
    <row r="1937" spans="2:9" ht="15" customHeight="1" x14ac:dyDescent="0.25">
      <c r="B1937" s="34" t="s">
        <v>1252</v>
      </c>
      <c r="C1937" s="35">
        <v>3</v>
      </c>
      <c r="D1937" s="46" t="s">
        <v>3269</v>
      </c>
      <c r="E1937" s="45"/>
      <c r="F1937" s="45" t="str">
        <f>IF(INDEX(I.Electricity.P2Y2C7,3)="","",INDEX(I.Electricity.P2Y2C7,3))</f>
        <v/>
      </c>
      <c r="G1937" s="45"/>
      <c r="H1937" s="35" t="str">
        <f t="shared" si="74"/>
        <v>Complete</v>
      </c>
      <c r="I1937" s="49" t="s">
        <v>1748</v>
      </c>
    </row>
    <row r="1938" spans="2:9" ht="15" customHeight="1" x14ac:dyDescent="0.25">
      <c r="B1938" s="26" t="s">
        <v>1253</v>
      </c>
      <c r="C1938" s="1">
        <v>1</v>
      </c>
      <c r="D1938" s="27" t="s">
        <v>3270</v>
      </c>
      <c r="E1938" s="25"/>
      <c r="F1938" s="25" t="str">
        <f>IF(INDEX(I.Electricity.P2Y3C7,1)="","",INDEX(I.Electricity.P2Y3C7,1))</f>
        <v/>
      </c>
      <c r="G1938" s="25"/>
      <c r="H1938" s="1" t="str">
        <f>IF(AND(I.Facility.ProductCount&gt;=2,I.Product.P2Electricity="Yes",I.Developer.P2C7=TRUE,I.Product.P2Status&lt;&gt;"Yes",F1938=""),"Incomplete","Complete")</f>
        <v>Complete</v>
      </c>
      <c r="I1938" s="48" t="s">
        <v>1749</v>
      </c>
    </row>
    <row r="1939" spans="2:9" ht="15" customHeight="1" x14ac:dyDescent="0.25">
      <c r="B1939" s="26" t="s">
        <v>1253</v>
      </c>
      <c r="C1939" s="1">
        <v>2</v>
      </c>
      <c r="D1939" s="27" t="s">
        <v>3270</v>
      </c>
      <c r="E1939" s="25"/>
      <c r="F1939" s="25" t="str">
        <f>IF(INDEX(I.Electricity.P2Y3C7,2)="","",INDEX(I.Electricity.P2Y3C7,2))</f>
        <v/>
      </c>
      <c r="G1939" s="25"/>
      <c r="H1939" s="1" t="str">
        <f>IF(AND(I.Facility.ProductCount&gt;=2,I.Product.P2Electricity="Yes",I.Developer.P2C7=TRUE,I.Product.P2Status&lt;&gt;"Yes",F1939=""),"Incomplete","Complete")</f>
        <v>Complete</v>
      </c>
      <c r="I1939" s="48" t="s">
        <v>1750</v>
      </c>
    </row>
    <row r="1940" spans="2:9" ht="15" customHeight="1" x14ac:dyDescent="0.25">
      <c r="B1940" s="34" t="s">
        <v>1253</v>
      </c>
      <c r="C1940" s="35">
        <v>3</v>
      </c>
      <c r="D1940" s="46" t="s">
        <v>3270</v>
      </c>
      <c r="E1940" s="45"/>
      <c r="F1940" s="45" t="str">
        <f>IF(INDEX(I.Electricity.P2Y3C7,3)="","",INDEX(I.Electricity.P2Y3C7,3))</f>
        <v/>
      </c>
      <c r="G1940" s="45"/>
      <c r="H1940" s="35" t="str">
        <f>IF(AND(I.Facility.ProductCount&gt;=2,I.Product.P2Electricity="Yes",I.Developer.P2C7=TRUE,I.Product.P2Status&lt;&gt;"Yes",F1940=""),"Incomplete","Complete")</f>
        <v>Complete</v>
      </c>
      <c r="I1940" s="49" t="s">
        <v>1751</v>
      </c>
    </row>
    <row r="1941" spans="2:9" ht="15" customHeight="1" x14ac:dyDescent="0.25">
      <c r="B1941" s="26" t="s">
        <v>1254</v>
      </c>
      <c r="C1941" s="1">
        <v>1</v>
      </c>
      <c r="D1941" s="27" t="s">
        <v>3271</v>
      </c>
      <c r="E1941" s="25"/>
      <c r="F1941" s="25" t="str">
        <f>IF(INDEX(I.Electricity.P2Y1C8,1)="","",INDEX(I.Electricity.P2Y1C8,1))</f>
        <v/>
      </c>
      <c r="G1941" s="25"/>
      <c r="H1941" s="1" t="str">
        <f t="shared" ref="H1941:H1946" si="75">IF(AND(I.Facility.ProductCount&gt;=2,I.Product.P2Electricity="Yes",I.Developer.P2C8=TRUE,F1941=""),"Incomplete","Complete")</f>
        <v>Complete</v>
      </c>
      <c r="I1941" s="48" t="s">
        <v>1752</v>
      </c>
    </row>
    <row r="1942" spans="2:9" ht="15" customHeight="1" x14ac:dyDescent="0.25">
      <c r="B1942" s="26" t="s">
        <v>1254</v>
      </c>
      <c r="C1942" s="1">
        <v>2</v>
      </c>
      <c r="D1942" s="27" t="s">
        <v>3271</v>
      </c>
      <c r="E1942" s="25"/>
      <c r="F1942" s="25" t="str">
        <f>IF(INDEX(I.Electricity.P2Y1C8,2)="","",INDEX(I.Electricity.P2Y1C8,2))</f>
        <v/>
      </c>
      <c r="G1942" s="25"/>
      <c r="H1942" s="1" t="str">
        <f t="shared" si="75"/>
        <v>Complete</v>
      </c>
      <c r="I1942" s="48" t="s">
        <v>1753</v>
      </c>
    </row>
    <row r="1943" spans="2:9" ht="15" customHeight="1" x14ac:dyDescent="0.25">
      <c r="B1943" s="34" t="s">
        <v>1254</v>
      </c>
      <c r="C1943" s="35">
        <v>3</v>
      </c>
      <c r="D1943" s="46" t="s">
        <v>3271</v>
      </c>
      <c r="E1943" s="45"/>
      <c r="F1943" s="45" t="str">
        <f>IF(INDEX(I.Electricity.P2Y1C8,3)="","",INDEX(I.Electricity.P2Y1C8,3))</f>
        <v/>
      </c>
      <c r="G1943" s="45"/>
      <c r="H1943" s="35" t="str">
        <f t="shared" si="75"/>
        <v>Complete</v>
      </c>
      <c r="I1943" s="49" t="s">
        <v>1754</v>
      </c>
    </row>
    <row r="1944" spans="2:9" ht="15" customHeight="1" x14ac:dyDescent="0.25">
      <c r="B1944" s="26" t="s">
        <v>1255</v>
      </c>
      <c r="C1944" s="1">
        <v>1</v>
      </c>
      <c r="D1944" s="27" t="s">
        <v>3272</v>
      </c>
      <c r="E1944" s="25"/>
      <c r="F1944" s="25" t="str">
        <f>IF(INDEX(I.Electricity.P2Y2C8,1)="","",INDEX(I.Electricity.P2Y2C8,1))</f>
        <v/>
      </c>
      <c r="G1944" s="25"/>
      <c r="H1944" s="1" t="str">
        <f t="shared" si="75"/>
        <v>Complete</v>
      </c>
      <c r="I1944" s="48" t="s">
        <v>1755</v>
      </c>
    </row>
    <row r="1945" spans="2:9" ht="15" customHeight="1" x14ac:dyDescent="0.25">
      <c r="B1945" s="26" t="s">
        <v>1255</v>
      </c>
      <c r="C1945" s="1">
        <v>2</v>
      </c>
      <c r="D1945" s="27" t="s">
        <v>3272</v>
      </c>
      <c r="E1945" s="25"/>
      <c r="F1945" s="25" t="str">
        <f>IF(INDEX(I.Electricity.P2Y2C8,2)="","",INDEX(I.Electricity.P2Y2C8,2))</f>
        <v/>
      </c>
      <c r="G1945" s="25"/>
      <c r="H1945" s="1" t="str">
        <f t="shared" si="75"/>
        <v>Complete</v>
      </c>
      <c r="I1945" s="48" t="s">
        <v>1756</v>
      </c>
    </row>
    <row r="1946" spans="2:9" ht="15" customHeight="1" x14ac:dyDescent="0.25">
      <c r="B1946" s="34" t="s">
        <v>1255</v>
      </c>
      <c r="C1946" s="35">
        <v>3</v>
      </c>
      <c r="D1946" s="46" t="s">
        <v>3272</v>
      </c>
      <c r="E1946" s="45"/>
      <c r="F1946" s="45" t="str">
        <f>IF(INDEX(I.Electricity.P2Y2C8,3)="","",INDEX(I.Electricity.P2Y2C8,3))</f>
        <v/>
      </c>
      <c r="G1946" s="45"/>
      <c r="H1946" s="35" t="str">
        <f t="shared" si="75"/>
        <v>Complete</v>
      </c>
      <c r="I1946" s="49" t="s">
        <v>1757</v>
      </c>
    </row>
    <row r="1947" spans="2:9" ht="15" customHeight="1" x14ac:dyDescent="0.25">
      <c r="B1947" s="26" t="s">
        <v>1256</v>
      </c>
      <c r="C1947" s="1">
        <v>1</v>
      </c>
      <c r="D1947" s="27" t="s">
        <v>3273</v>
      </c>
      <c r="E1947" s="25"/>
      <c r="F1947" s="25" t="str">
        <f>IF(INDEX(I.Electricity.P2Y3C8,1)="","",INDEX(I.Electricity.P2Y3C8,1))</f>
        <v/>
      </c>
      <c r="G1947" s="25"/>
      <c r="H1947" s="1" t="str">
        <f>IF(AND(I.Facility.ProductCount&gt;=2,I.Product.P2Electricity="Yes",I.Developer.P2C8=TRUE,I.Product.P2Status&lt;&gt;"Yes",F1947=""),"Incomplete","Complete")</f>
        <v>Complete</v>
      </c>
      <c r="I1947" s="48" t="s">
        <v>1758</v>
      </c>
    </row>
    <row r="1948" spans="2:9" ht="15" customHeight="1" x14ac:dyDescent="0.25">
      <c r="B1948" s="26" t="s">
        <v>1256</v>
      </c>
      <c r="C1948" s="1">
        <v>2</v>
      </c>
      <c r="D1948" s="27" t="s">
        <v>3273</v>
      </c>
      <c r="E1948" s="25"/>
      <c r="F1948" s="25" t="str">
        <f>IF(INDEX(I.Electricity.P2Y3C8,2)="","",INDEX(I.Electricity.P2Y3C8,2))</f>
        <v/>
      </c>
      <c r="G1948" s="25"/>
      <c r="H1948" s="1" t="str">
        <f>IF(AND(I.Facility.ProductCount&gt;=2,I.Product.P2Electricity="Yes",I.Developer.P2C8=TRUE,I.Product.P2Status&lt;&gt;"Yes",F1948=""),"Incomplete","Complete")</f>
        <v>Complete</v>
      </c>
      <c r="I1948" s="48" t="s">
        <v>1759</v>
      </c>
    </row>
    <row r="1949" spans="2:9" ht="15" customHeight="1" x14ac:dyDescent="0.25">
      <c r="B1949" s="34" t="s">
        <v>1256</v>
      </c>
      <c r="C1949" s="35">
        <v>3</v>
      </c>
      <c r="D1949" s="46" t="s">
        <v>3273</v>
      </c>
      <c r="E1949" s="45"/>
      <c r="F1949" s="45" t="str">
        <f>IF(INDEX(I.Electricity.P2Y3C8,3)="","",INDEX(I.Electricity.P2Y3C8,3))</f>
        <v/>
      </c>
      <c r="G1949" s="45"/>
      <c r="H1949" s="35" t="str">
        <f>IF(AND(I.Facility.ProductCount&gt;=2,I.Product.P2Electricity="Yes",I.Developer.P2C8=TRUE,I.Product.P2Status&lt;&gt;"Yes",F1949=""),"Incomplete","Complete")</f>
        <v>Complete</v>
      </c>
      <c r="I1949" s="49" t="s">
        <v>1760</v>
      </c>
    </row>
    <row r="1950" spans="2:9" ht="15" customHeight="1" x14ac:dyDescent="0.25">
      <c r="B1950" s="26" t="s">
        <v>1257</v>
      </c>
      <c r="C1950" s="1">
        <v>1</v>
      </c>
      <c r="D1950" s="27" t="s">
        <v>3274</v>
      </c>
      <c r="E1950" s="25"/>
      <c r="F1950" s="25" t="str">
        <f>IF(INDEX(I.Electricity.P2Y1C9,1)="","",INDEX(I.Electricity.P2Y1C9,1))</f>
        <v/>
      </c>
      <c r="G1950" s="25"/>
      <c r="H1950" s="1" t="str">
        <f t="shared" ref="H1950:H1955" si="76">IF(AND(I.Facility.ProductCount&gt;=2,I.Product.P2Electricity="Yes",I.Developer.P2C9=TRUE,F1950=""),"Incomplete","Complete")</f>
        <v>Complete</v>
      </c>
      <c r="I1950" s="48" t="s">
        <v>1761</v>
      </c>
    </row>
    <row r="1951" spans="2:9" ht="15" customHeight="1" x14ac:dyDescent="0.25">
      <c r="B1951" s="26" t="s">
        <v>1257</v>
      </c>
      <c r="C1951" s="1">
        <v>2</v>
      </c>
      <c r="D1951" s="27" t="s">
        <v>3274</v>
      </c>
      <c r="E1951" s="25"/>
      <c r="F1951" s="25" t="str">
        <f>IF(INDEX(I.Electricity.P2Y1C9,2)="","",INDEX(I.Electricity.P2Y1C9,2))</f>
        <v/>
      </c>
      <c r="G1951" s="25"/>
      <c r="H1951" s="1" t="str">
        <f t="shared" si="76"/>
        <v>Complete</v>
      </c>
      <c r="I1951" s="48" t="s">
        <v>1762</v>
      </c>
    </row>
    <row r="1952" spans="2:9" ht="15" customHeight="1" x14ac:dyDescent="0.25">
      <c r="B1952" s="34" t="s">
        <v>1257</v>
      </c>
      <c r="C1952" s="35">
        <v>3</v>
      </c>
      <c r="D1952" s="46" t="s">
        <v>3274</v>
      </c>
      <c r="E1952" s="45"/>
      <c r="F1952" s="45" t="str">
        <f>IF(INDEX(I.Electricity.P2Y1C9,3)="","",INDEX(I.Electricity.P2Y1C9,3))</f>
        <v/>
      </c>
      <c r="G1952" s="45"/>
      <c r="H1952" s="35" t="str">
        <f t="shared" si="76"/>
        <v>Complete</v>
      </c>
      <c r="I1952" s="49" t="s">
        <v>1763</v>
      </c>
    </row>
    <row r="1953" spans="2:9" ht="15" customHeight="1" x14ac:dyDescent="0.25">
      <c r="B1953" s="26" t="s">
        <v>1258</v>
      </c>
      <c r="C1953" s="1">
        <v>1</v>
      </c>
      <c r="D1953" s="27" t="s">
        <v>3275</v>
      </c>
      <c r="E1953" s="25"/>
      <c r="F1953" s="25" t="str">
        <f>IF(INDEX(I.Electricity.P2Y2C9,1)="","",INDEX(I.Electricity.P2Y2C9,1))</f>
        <v/>
      </c>
      <c r="G1953" s="25"/>
      <c r="H1953" s="1" t="str">
        <f t="shared" si="76"/>
        <v>Complete</v>
      </c>
      <c r="I1953" s="48" t="s">
        <v>1764</v>
      </c>
    </row>
    <row r="1954" spans="2:9" ht="15" customHeight="1" x14ac:dyDescent="0.25">
      <c r="B1954" s="26" t="s">
        <v>1258</v>
      </c>
      <c r="C1954" s="1">
        <v>2</v>
      </c>
      <c r="D1954" s="27" t="s">
        <v>3275</v>
      </c>
      <c r="E1954" s="25"/>
      <c r="F1954" s="25" t="str">
        <f>IF(INDEX(I.Electricity.P2Y2C9,2)="","",INDEX(I.Electricity.P2Y2C9,2))</f>
        <v/>
      </c>
      <c r="G1954" s="25"/>
      <c r="H1954" s="1" t="str">
        <f t="shared" si="76"/>
        <v>Complete</v>
      </c>
      <c r="I1954" s="48" t="s">
        <v>1765</v>
      </c>
    </row>
    <row r="1955" spans="2:9" ht="15" customHeight="1" x14ac:dyDescent="0.25">
      <c r="B1955" s="34" t="s">
        <v>1258</v>
      </c>
      <c r="C1955" s="35">
        <v>3</v>
      </c>
      <c r="D1955" s="46" t="s">
        <v>3275</v>
      </c>
      <c r="E1955" s="45"/>
      <c r="F1955" s="45" t="str">
        <f>IF(INDEX(I.Electricity.P2Y2C9,3)="","",INDEX(I.Electricity.P2Y2C9,3))</f>
        <v/>
      </c>
      <c r="G1955" s="45"/>
      <c r="H1955" s="35" t="str">
        <f t="shared" si="76"/>
        <v>Complete</v>
      </c>
      <c r="I1955" s="49" t="s">
        <v>1766</v>
      </c>
    </row>
    <row r="1956" spans="2:9" ht="15" customHeight="1" x14ac:dyDescent="0.25">
      <c r="B1956" s="26" t="s">
        <v>1259</v>
      </c>
      <c r="C1956" s="1">
        <v>1</v>
      </c>
      <c r="D1956" s="27" t="s">
        <v>3276</v>
      </c>
      <c r="E1956" s="25"/>
      <c r="F1956" s="25" t="str">
        <f>IF(INDEX(I.Electricity.P2Y3C9,1)="","",INDEX(I.Electricity.P2Y3C9,1))</f>
        <v/>
      </c>
      <c r="G1956" s="25"/>
      <c r="H1956" s="1" t="str">
        <f>IF(AND(I.Facility.ProductCount&gt;=2,I.Product.P2Electricity="Yes",I.Developer.P2C9=TRUE,I.Product.P2Status&lt;&gt;"Yes",F1956=""),"Incomplete","Complete")</f>
        <v>Complete</v>
      </c>
      <c r="I1956" s="48" t="s">
        <v>1767</v>
      </c>
    </row>
    <row r="1957" spans="2:9" ht="15" customHeight="1" x14ac:dyDescent="0.25">
      <c r="B1957" s="26" t="s">
        <v>1259</v>
      </c>
      <c r="C1957" s="1">
        <v>2</v>
      </c>
      <c r="D1957" s="27" t="s">
        <v>3276</v>
      </c>
      <c r="E1957" s="25"/>
      <c r="F1957" s="25" t="str">
        <f>IF(INDEX(I.Electricity.P2Y3C9,2)="","",INDEX(I.Electricity.P2Y3C9,2))</f>
        <v/>
      </c>
      <c r="G1957" s="25"/>
      <c r="H1957" s="1" t="str">
        <f>IF(AND(I.Facility.ProductCount&gt;=2,I.Product.P2Electricity="Yes",I.Developer.P2C9=TRUE,I.Product.P2Status&lt;&gt;"Yes",F1957=""),"Incomplete","Complete")</f>
        <v>Complete</v>
      </c>
      <c r="I1957" s="48" t="s">
        <v>1768</v>
      </c>
    </row>
    <row r="1958" spans="2:9" ht="15" customHeight="1" x14ac:dyDescent="0.25">
      <c r="B1958" s="34" t="s">
        <v>1259</v>
      </c>
      <c r="C1958" s="35">
        <v>3</v>
      </c>
      <c r="D1958" s="46" t="s">
        <v>3276</v>
      </c>
      <c r="E1958" s="45"/>
      <c r="F1958" s="45" t="str">
        <f>IF(INDEX(I.Electricity.P2Y3C9,3)="","",INDEX(I.Electricity.P2Y3C9,3))</f>
        <v/>
      </c>
      <c r="G1958" s="45"/>
      <c r="H1958" s="35" t="str">
        <f>IF(AND(I.Facility.ProductCount&gt;=2,I.Product.P2Electricity="Yes",I.Developer.P2C9=TRUE,I.Product.P2Status&lt;&gt;"Yes",F1958=""),"Incomplete","Complete")</f>
        <v>Complete</v>
      </c>
      <c r="I1958" s="49" t="s">
        <v>1769</v>
      </c>
    </row>
    <row r="1959" spans="2:9" ht="15" customHeight="1" x14ac:dyDescent="0.25">
      <c r="B1959" s="26" t="s">
        <v>1260</v>
      </c>
      <c r="C1959" s="1">
        <v>1</v>
      </c>
      <c r="D1959" s="27" t="s">
        <v>3277</v>
      </c>
      <c r="E1959" s="25"/>
      <c r="F1959" s="25" t="str">
        <f>IF(INDEX(I.Electricity.P3Y1C1,1)="","",INDEX(I.Electricity.P3Y1C1,1))</f>
        <v/>
      </c>
      <c r="G1959" s="25"/>
      <c r="H1959" s="1" t="str">
        <f t="shared" ref="H1959:H1964" si="77">IF(AND(I.Facility.ProductCount&gt;=3,I.Product.P3Electricity="Yes",I.Developer.P3C1=TRUE,F1959=""),"Incomplete","Complete")</f>
        <v>Complete</v>
      </c>
      <c r="I1959" s="48" t="s">
        <v>1771</v>
      </c>
    </row>
    <row r="1960" spans="2:9" ht="15" customHeight="1" x14ac:dyDescent="0.25">
      <c r="B1960" s="26" t="s">
        <v>1260</v>
      </c>
      <c r="C1960" s="1">
        <v>2</v>
      </c>
      <c r="D1960" s="27" t="s">
        <v>3277</v>
      </c>
      <c r="E1960" s="25"/>
      <c r="F1960" s="25" t="str">
        <f>IF(INDEX(I.Electricity.P3Y1C1,2)="","",INDEX(I.Electricity.P3Y1C1,2))</f>
        <v/>
      </c>
      <c r="G1960" s="25"/>
      <c r="H1960" s="1" t="str">
        <f t="shared" si="77"/>
        <v>Complete</v>
      </c>
      <c r="I1960" s="48" t="s">
        <v>1772</v>
      </c>
    </row>
    <row r="1961" spans="2:9" ht="15" customHeight="1" x14ac:dyDescent="0.25">
      <c r="B1961" s="34" t="s">
        <v>1260</v>
      </c>
      <c r="C1961" s="35">
        <v>3</v>
      </c>
      <c r="D1961" s="46" t="s">
        <v>3277</v>
      </c>
      <c r="E1961" s="45"/>
      <c r="F1961" s="45" t="str">
        <f>IF(INDEX(I.Electricity.P3Y1C1,3)="","",INDEX(I.Electricity.P3Y1C1,3))</f>
        <v/>
      </c>
      <c r="G1961" s="45"/>
      <c r="H1961" s="35" t="str">
        <f t="shared" si="77"/>
        <v>Complete</v>
      </c>
      <c r="I1961" s="49" t="s">
        <v>1773</v>
      </c>
    </row>
    <row r="1962" spans="2:9" ht="15" customHeight="1" x14ac:dyDescent="0.25">
      <c r="B1962" s="26" t="s">
        <v>1261</v>
      </c>
      <c r="C1962" s="1">
        <v>1</v>
      </c>
      <c r="D1962" s="27" t="s">
        <v>3278</v>
      </c>
      <c r="E1962" s="25"/>
      <c r="F1962" s="25" t="str">
        <f>IF(INDEX(I.Electricity.P3Y2C1,1)="","",INDEX(I.Electricity.P3Y2C1,1))</f>
        <v/>
      </c>
      <c r="G1962" s="25"/>
      <c r="H1962" s="1" t="str">
        <f t="shared" si="77"/>
        <v>Complete</v>
      </c>
      <c r="I1962" s="48" t="s">
        <v>1774</v>
      </c>
    </row>
    <row r="1963" spans="2:9" ht="15" customHeight="1" x14ac:dyDescent="0.25">
      <c r="B1963" s="26" t="s">
        <v>1261</v>
      </c>
      <c r="C1963" s="1">
        <v>2</v>
      </c>
      <c r="D1963" s="27" t="s">
        <v>3278</v>
      </c>
      <c r="E1963" s="25"/>
      <c r="F1963" s="25" t="str">
        <f>IF(INDEX(I.Electricity.P3Y2C1,2)="","",INDEX(I.Electricity.P3Y2C1,2))</f>
        <v/>
      </c>
      <c r="G1963" s="25"/>
      <c r="H1963" s="1" t="str">
        <f t="shared" si="77"/>
        <v>Complete</v>
      </c>
      <c r="I1963" s="48" t="s">
        <v>1775</v>
      </c>
    </row>
    <row r="1964" spans="2:9" ht="15" customHeight="1" x14ac:dyDescent="0.25">
      <c r="B1964" s="34" t="s">
        <v>1261</v>
      </c>
      <c r="C1964" s="35">
        <v>3</v>
      </c>
      <c r="D1964" s="46" t="s">
        <v>3278</v>
      </c>
      <c r="E1964" s="45"/>
      <c r="F1964" s="45" t="str">
        <f>IF(INDEX(I.Electricity.P3Y2C1,3)="","",INDEX(I.Electricity.P3Y2C1,3))</f>
        <v/>
      </c>
      <c r="G1964" s="45"/>
      <c r="H1964" s="35" t="str">
        <f t="shared" si="77"/>
        <v>Complete</v>
      </c>
      <c r="I1964" s="49" t="s">
        <v>1776</v>
      </c>
    </row>
    <row r="1965" spans="2:9" ht="15" customHeight="1" x14ac:dyDescent="0.25">
      <c r="B1965" s="26" t="s">
        <v>1262</v>
      </c>
      <c r="C1965" s="1">
        <v>1</v>
      </c>
      <c r="D1965" s="27" t="s">
        <v>3279</v>
      </c>
      <c r="E1965" s="25"/>
      <c r="F1965" s="25" t="str">
        <f>IF(INDEX(I.Electricity.P3Y3C1,1)="","",INDEX(I.Electricity.P3Y3C1,1))</f>
        <v/>
      </c>
      <c r="G1965" s="25"/>
      <c r="H1965" s="1" t="str">
        <f>IF(AND(I.Facility.ProductCount&gt;=3,I.Product.P3Electricity="Yes",I.Developer.P3C1=TRUE,I.Product.P3Status&lt;&gt;"Yes",F1965=""),"Incomplete","Complete")</f>
        <v>Complete</v>
      </c>
      <c r="I1965" s="48" t="s">
        <v>1777</v>
      </c>
    </row>
    <row r="1966" spans="2:9" ht="15" customHeight="1" x14ac:dyDescent="0.25">
      <c r="B1966" s="26" t="s">
        <v>1262</v>
      </c>
      <c r="C1966" s="1">
        <v>2</v>
      </c>
      <c r="D1966" s="27" t="s">
        <v>3279</v>
      </c>
      <c r="E1966" s="25"/>
      <c r="F1966" s="25" t="str">
        <f>IF(INDEX(I.Electricity.P3Y3C1,2)="","",INDEX(I.Electricity.P3Y3C1,2))</f>
        <v/>
      </c>
      <c r="G1966" s="25"/>
      <c r="H1966" s="1" t="str">
        <f>IF(AND(I.Facility.ProductCount&gt;=3,I.Product.P3Electricity="Yes",I.Developer.P3C1=TRUE,I.Product.P3Status&lt;&gt;"Yes",F1966=""),"Incomplete","Complete")</f>
        <v>Complete</v>
      </c>
      <c r="I1966" s="48" t="s">
        <v>1778</v>
      </c>
    </row>
    <row r="1967" spans="2:9" ht="15" customHeight="1" x14ac:dyDescent="0.25">
      <c r="B1967" s="34" t="s">
        <v>1262</v>
      </c>
      <c r="C1967" s="35">
        <v>3</v>
      </c>
      <c r="D1967" s="46" t="s">
        <v>3279</v>
      </c>
      <c r="E1967" s="45"/>
      <c r="F1967" s="45" t="str">
        <f>IF(INDEX(I.Electricity.P3Y3C1,3)="","",INDEX(I.Electricity.P3Y3C1,3))</f>
        <v/>
      </c>
      <c r="G1967" s="45"/>
      <c r="H1967" s="35" t="str">
        <f>IF(AND(I.Facility.ProductCount&gt;=3,I.Product.P3Electricity="Yes",I.Developer.P3C1=TRUE,I.Product.P3Status&lt;&gt;"Yes",F1967=""),"Incomplete","Complete")</f>
        <v>Complete</v>
      </c>
      <c r="I1967" s="49" t="s">
        <v>1779</v>
      </c>
    </row>
    <row r="1968" spans="2:9" ht="15" customHeight="1" x14ac:dyDescent="0.25">
      <c r="B1968" s="26" t="s">
        <v>1263</v>
      </c>
      <c r="C1968" s="1">
        <v>1</v>
      </c>
      <c r="D1968" s="27" t="s">
        <v>3280</v>
      </c>
      <c r="E1968" s="25"/>
      <c r="F1968" s="25" t="str">
        <f>IF(INDEX(I.Electricity.P3Y1C2,1)="","",INDEX(I.Electricity.P3Y1C2,1))</f>
        <v/>
      </c>
      <c r="G1968" s="25"/>
      <c r="H1968" s="1" t="str">
        <f t="shared" ref="H1968:H2015" si="78">IF(AND(I.Facility.ProductCount&gt;=3,I.Product.P3Electricity="Yes",I.Developer.P3C2=TRUE,F1968=""),"Incomplete","Complete")</f>
        <v>Complete</v>
      </c>
      <c r="I1968" s="48" t="s">
        <v>1780</v>
      </c>
    </row>
    <row r="1969" spans="2:9" ht="15" customHeight="1" x14ac:dyDescent="0.25">
      <c r="B1969" s="26" t="s">
        <v>1263</v>
      </c>
      <c r="C1969" s="1">
        <v>2</v>
      </c>
      <c r="D1969" s="27" t="s">
        <v>3280</v>
      </c>
      <c r="E1969" s="25"/>
      <c r="F1969" s="25" t="str">
        <f>IF(INDEX(I.Electricity.P3Y1C2,2)="","",INDEX(I.Electricity.P3Y1C2,2))</f>
        <v/>
      </c>
      <c r="G1969" s="25"/>
      <c r="H1969" s="1" t="str">
        <f t="shared" si="78"/>
        <v>Complete</v>
      </c>
      <c r="I1969" s="48" t="s">
        <v>1781</v>
      </c>
    </row>
    <row r="1970" spans="2:9" ht="15" customHeight="1" x14ac:dyDescent="0.25">
      <c r="B1970" s="26" t="s">
        <v>1263</v>
      </c>
      <c r="C1970" s="1">
        <v>3</v>
      </c>
      <c r="D1970" s="27" t="s">
        <v>3280</v>
      </c>
      <c r="E1970" s="25"/>
      <c r="F1970" s="25" t="str">
        <f>IF(INDEX(I.Electricity.P3Y1C2,3)="","",INDEX(I.Electricity.P3Y1C2,3))</f>
        <v/>
      </c>
      <c r="G1970" s="25"/>
      <c r="H1970" s="1" t="str">
        <f t="shared" si="78"/>
        <v>Complete</v>
      </c>
      <c r="I1970" s="48" t="s">
        <v>1782</v>
      </c>
    </row>
    <row r="1971" spans="2:9" ht="15" customHeight="1" x14ac:dyDescent="0.25">
      <c r="B1971" s="26" t="s">
        <v>1263</v>
      </c>
      <c r="C1971" s="1">
        <v>4</v>
      </c>
      <c r="D1971" s="27" t="s">
        <v>3280</v>
      </c>
      <c r="E1971" s="25"/>
      <c r="F1971" s="25" t="str">
        <f>IF(INDEX(I.Electricity.P3Y1C2,4)="","",INDEX(I.Electricity.P3Y1C2,4))</f>
        <v/>
      </c>
      <c r="G1971" s="25"/>
      <c r="H1971" s="1" t="str">
        <f t="shared" si="78"/>
        <v>Complete</v>
      </c>
      <c r="I1971" s="48" t="s">
        <v>1783</v>
      </c>
    </row>
    <row r="1972" spans="2:9" ht="15" customHeight="1" x14ac:dyDescent="0.25">
      <c r="B1972" s="26" t="s">
        <v>1263</v>
      </c>
      <c r="C1972" s="1">
        <v>5</v>
      </c>
      <c r="D1972" s="27" t="s">
        <v>3280</v>
      </c>
      <c r="E1972" s="25"/>
      <c r="F1972" s="25" t="str">
        <f>IF(INDEX(I.Electricity.P3Y1C2,5)="","",INDEX(I.Electricity.P3Y1C2,5))</f>
        <v/>
      </c>
      <c r="G1972" s="25"/>
      <c r="H1972" s="1" t="str">
        <f t="shared" si="78"/>
        <v>Complete</v>
      </c>
      <c r="I1972" s="48" t="s">
        <v>1784</v>
      </c>
    </row>
    <row r="1973" spans="2:9" ht="15" customHeight="1" x14ac:dyDescent="0.25">
      <c r="B1973" s="26" t="s">
        <v>1263</v>
      </c>
      <c r="C1973" s="1">
        <v>6</v>
      </c>
      <c r="D1973" s="27" t="s">
        <v>3280</v>
      </c>
      <c r="E1973" s="25"/>
      <c r="F1973" s="25" t="str">
        <f>IF(INDEX(I.Electricity.P3Y1C2,6)="","",INDEX(I.Electricity.P3Y1C2,6))</f>
        <v/>
      </c>
      <c r="G1973" s="25"/>
      <c r="H1973" s="1" t="str">
        <f t="shared" si="78"/>
        <v>Complete</v>
      </c>
      <c r="I1973" s="48" t="s">
        <v>1785</v>
      </c>
    </row>
    <row r="1974" spans="2:9" ht="15" customHeight="1" x14ac:dyDescent="0.25">
      <c r="B1974" s="26" t="s">
        <v>1263</v>
      </c>
      <c r="C1974" s="1">
        <v>7</v>
      </c>
      <c r="D1974" s="27" t="s">
        <v>3280</v>
      </c>
      <c r="E1974" s="25"/>
      <c r="F1974" s="25" t="str">
        <f>IF(INDEX(I.Electricity.P3Y1C2,7)="","",INDEX(I.Electricity.P3Y1C2,7))</f>
        <v/>
      </c>
      <c r="G1974" s="25"/>
      <c r="H1974" s="1" t="str">
        <f t="shared" si="78"/>
        <v>Complete</v>
      </c>
      <c r="I1974" s="48" t="s">
        <v>1786</v>
      </c>
    </row>
    <row r="1975" spans="2:9" ht="15" customHeight="1" x14ac:dyDescent="0.25">
      <c r="B1975" s="26" t="s">
        <v>1263</v>
      </c>
      <c r="C1975" s="1">
        <v>8</v>
      </c>
      <c r="D1975" s="27" t="s">
        <v>3280</v>
      </c>
      <c r="E1975" s="25"/>
      <c r="F1975" s="25" t="str">
        <f>IF(INDEX(I.Electricity.P3Y1C2,8)="","",INDEX(I.Electricity.P3Y1C2,8))</f>
        <v/>
      </c>
      <c r="G1975" s="25"/>
      <c r="H1975" s="1" t="str">
        <f t="shared" si="78"/>
        <v>Complete</v>
      </c>
      <c r="I1975" s="48" t="s">
        <v>1787</v>
      </c>
    </row>
    <row r="1976" spans="2:9" ht="15" customHeight="1" x14ac:dyDescent="0.25">
      <c r="B1976" s="26" t="s">
        <v>1263</v>
      </c>
      <c r="C1976" s="1">
        <v>9</v>
      </c>
      <c r="D1976" s="27" t="s">
        <v>3280</v>
      </c>
      <c r="E1976" s="25"/>
      <c r="F1976" s="25" t="str">
        <f>IF(INDEX(I.Electricity.P3Y1C2,9)="","",INDEX(I.Electricity.P3Y1C2,9))</f>
        <v/>
      </c>
      <c r="G1976" s="25"/>
      <c r="H1976" s="1" t="str">
        <f t="shared" si="78"/>
        <v>Complete</v>
      </c>
      <c r="I1976" s="48" t="s">
        <v>1788</v>
      </c>
    </row>
    <row r="1977" spans="2:9" ht="15" customHeight="1" x14ac:dyDescent="0.25">
      <c r="B1977" s="26" t="s">
        <v>1263</v>
      </c>
      <c r="C1977" s="1">
        <v>10</v>
      </c>
      <c r="D1977" s="27" t="s">
        <v>3280</v>
      </c>
      <c r="E1977" s="25"/>
      <c r="F1977" s="25" t="str">
        <f>IF(INDEX(I.Electricity.P3Y1C2,10)="","",INDEX(I.Electricity.P3Y1C2,10))</f>
        <v/>
      </c>
      <c r="G1977" s="25"/>
      <c r="H1977" s="1" t="str">
        <f t="shared" si="78"/>
        <v>Complete</v>
      </c>
      <c r="I1977" s="48" t="s">
        <v>1789</v>
      </c>
    </row>
    <row r="1978" spans="2:9" ht="15" customHeight="1" x14ac:dyDescent="0.25">
      <c r="B1978" s="26" t="s">
        <v>1263</v>
      </c>
      <c r="C1978" s="1">
        <v>11</v>
      </c>
      <c r="D1978" s="27" t="s">
        <v>3280</v>
      </c>
      <c r="E1978" s="25"/>
      <c r="F1978" s="25" t="str">
        <f>IF(INDEX(I.Electricity.P3Y1C2,11)="","",INDEX(I.Electricity.P3Y1C2,11))</f>
        <v/>
      </c>
      <c r="G1978" s="25"/>
      <c r="H1978" s="1" t="str">
        <f t="shared" si="78"/>
        <v>Complete</v>
      </c>
      <c r="I1978" s="48" t="s">
        <v>1790</v>
      </c>
    </row>
    <row r="1979" spans="2:9" ht="15" customHeight="1" x14ac:dyDescent="0.25">
      <c r="B1979" s="26" t="s">
        <v>1263</v>
      </c>
      <c r="C1979" s="1">
        <v>12</v>
      </c>
      <c r="D1979" s="27" t="s">
        <v>3280</v>
      </c>
      <c r="E1979" s="25"/>
      <c r="F1979" s="25" t="str">
        <f>IF(INDEX(I.Electricity.P3Y1C2,12)="","",INDEX(I.Electricity.P3Y1C2,12))</f>
        <v/>
      </c>
      <c r="G1979" s="25"/>
      <c r="H1979" s="1" t="str">
        <f t="shared" si="78"/>
        <v>Complete</v>
      </c>
      <c r="I1979" s="48" t="s">
        <v>1791</v>
      </c>
    </row>
    <row r="1980" spans="2:9" ht="15" customHeight="1" x14ac:dyDescent="0.25">
      <c r="B1980" s="26" t="s">
        <v>1263</v>
      </c>
      <c r="C1980" s="1">
        <v>13</v>
      </c>
      <c r="D1980" s="27" t="s">
        <v>3280</v>
      </c>
      <c r="E1980" s="25"/>
      <c r="F1980" s="25" t="str">
        <f>IF(INDEX(I.Electricity.P3Y1C2,13)="","",INDEX(I.Electricity.P3Y1C2,13))</f>
        <v/>
      </c>
      <c r="G1980" s="25"/>
      <c r="H1980" s="1" t="str">
        <f t="shared" si="78"/>
        <v>Complete</v>
      </c>
      <c r="I1980" s="48" t="s">
        <v>1792</v>
      </c>
    </row>
    <row r="1981" spans="2:9" ht="15" customHeight="1" x14ac:dyDescent="0.25">
      <c r="B1981" s="26" t="s">
        <v>1263</v>
      </c>
      <c r="C1981" s="1">
        <v>14</v>
      </c>
      <c r="D1981" s="27" t="s">
        <v>3280</v>
      </c>
      <c r="E1981" s="25"/>
      <c r="F1981" s="25" t="str">
        <f>IF(INDEX(I.Electricity.P3Y1C2,14)="","",INDEX(I.Electricity.P3Y1C2,14))</f>
        <v/>
      </c>
      <c r="G1981" s="25"/>
      <c r="H1981" s="1" t="str">
        <f t="shared" si="78"/>
        <v>Complete</v>
      </c>
      <c r="I1981" s="48" t="s">
        <v>1793</v>
      </c>
    </row>
    <row r="1982" spans="2:9" ht="15" customHeight="1" x14ac:dyDescent="0.25">
      <c r="B1982" s="26" t="s">
        <v>1263</v>
      </c>
      <c r="C1982" s="1">
        <v>15</v>
      </c>
      <c r="D1982" s="27" t="s">
        <v>3280</v>
      </c>
      <c r="E1982" s="25"/>
      <c r="F1982" s="25" t="str">
        <f>IF(INDEX(I.Electricity.P3Y1C2,15)="","",INDEX(I.Electricity.P3Y1C2,15))</f>
        <v/>
      </c>
      <c r="G1982" s="25"/>
      <c r="H1982" s="1" t="str">
        <f t="shared" si="78"/>
        <v>Complete</v>
      </c>
      <c r="I1982" s="48" t="s">
        <v>1794</v>
      </c>
    </row>
    <row r="1983" spans="2:9" ht="15" customHeight="1" x14ac:dyDescent="0.25">
      <c r="B1983" s="26" t="s">
        <v>1263</v>
      </c>
      <c r="C1983" s="1">
        <v>16</v>
      </c>
      <c r="D1983" s="27" t="s">
        <v>3280</v>
      </c>
      <c r="E1983" s="25"/>
      <c r="F1983" s="25" t="str">
        <f>IF(INDEX(I.Electricity.P3Y1C2,16)="","",INDEX(I.Electricity.P3Y1C2,16))</f>
        <v/>
      </c>
      <c r="G1983" s="25"/>
      <c r="H1983" s="1" t="str">
        <f t="shared" si="78"/>
        <v>Complete</v>
      </c>
      <c r="I1983" s="48" t="s">
        <v>1795</v>
      </c>
    </row>
    <row r="1984" spans="2:9" ht="15" customHeight="1" x14ac:dyDescent="0.25">
      <c r="B1984" s="26" t="s">
        <v>1263</v>
      </c>
      <c r="C1984" s="1">
        <v>17</v>
      </c>
      <c r="D1984" s="27" t="s">
        <v>3280</v>
      </c>
      <c r="E1984" s="25"/>
      <c r="F1984" s="25" t="str">
        <f>IF(INDEX(I.Electricity.P3Y1C2,17)="","",INDEX(I.Electricity.P3Y1C2,17))</f>
        <v/>
      </c>
      <c r="G1984" s="25"/>
      <c r="H1984" s="1" t="str">
        <f t="shared" si="78"/>
        <v>Complete</v>
      </c>
      <c r="I1984" s="48" t="s">
        <v>1796</v>
      </c>
    </row>
    <row r="1985" spans="2:9" ht="15" customHeight="1" x14ac:dyDescent="0.25">
      <c r="B1985" s="26" t="s">
        <v>1263</v>
      </c>
      <c r="C1985" s="1">
        <v>18</v>
      </c>
      <c r="D1985" s="27" t="s">
        <v>3280</v>
      </c>
      <c r="E1985" s="25"/>
      <c r="F1985" s="25" t="str">
        <f>IF(INDEX(I.Electricity.P3Y1C2,18)="","",INDEX(I.Electricity.P3Y1C2,18))</f>
        <v/>
      </c>
      <c r="G1985" s="25"/>
      <c r="H1985" s="1" t="str">
        <f t="shared" si="78"/>
        <v>Complete</v>
      </c>
      <c r="I1985" s="48" t="s">
        <v>1797</v>
      </c>
    </row>
    <row r="1986" spans="2:9" ht="15" customHeight="1" x14ac:dyDescent="0.25">
      <c r="B1986" s="26" t="s">
        <v>1263</v>
      </c>
      <c r="C1986" s="1">
        <v>19</v>
      </c>
      <c r="D1986" s="27" t="s">
        <v>3280</v>
      </c>
      <c r="E1986" s="25"/>
      <c r="F1986" s="25" t="str">
        <f>IF(INDEX(I.Electricity.P3Y1C2,19)="","",INDEX(I.Electricity.P3Y1C2,19))</f>
        <v/>
      </c>
      <c r="G1986" s="25"/>
      <c r="H1986" s="1" t="str">
        <f t="shared" si="78"/>
        <v>Complete</v>
      </c>
      <c r="I1986" s="48" t="s">
        <v>1798</v>
      </c>
    </row>
    <row r="1987" spans="2:9" ht="15" customHeight="1" x14ac:dyDescent="0.25">
      <c r="B1987" s="26" t="s">
        <v>1263</v>
      </c>
      <c r="C1987" s="1">
        <v>20</v>
      </c>
      <c r="D1987" s="27" t="s">
        <v>3280</v>
      </c>
      <c r="E1987" s="25"/>
      <c r="F1987" s="25" t="str">
        <f>IF(INDEX(I.Electricity.P3Y1C2,20)="","",INDEX(I.Electricity.P3Y1C2,20))</f>
        <v/>
      </c>
      <c r="G1987" s="25"/>
      <c r="H1987" s="1" t="str">
        <f t="shared" si="78"/>
        <v>Complete</v>
      </c>
      <c r="I1987" s="48" t="s">
        <v>1799</v>
      </c>
    </row>
    <row r="1988" spans="2:9" ht="15" customHeight="1" x14ac:dyDescent="0.25">
      <c r="B1988" s="26" t="s">
        <v>1263</v>
      </c>
      <c r="C1988" s="1">
        <v>21</v>
      </c>
      <c r="D1988" s="27" t="s">
        <v>3280</v>
      </c>
      <c r="E1988" s="25"/>
      <c r="F1988" s="25" t="str">
        <f>IF(INDEX(I.Electricity.P3Y1C2,21)="","",INDEX(I.Electricity.P3Y1C2,21))</f>
        <v/>
      </c>
      <c r="G1988" s="25"/>
      <c r="H1988" s="1" t="str">
        <f t="shared" si="78"/>
        <v>Complete</v>
      </c>
      <c r="I1988" s="48" t="s">
        <v>1800</v>
      </c>
    </row>
    <row r="1989" spans="2:9" ht="15" customHeight="1" x14ac:dyDescent="0.25">
      <c r="B1989" s="26" t="s">
        <v>1263</v>
      </c>
      <c r="C1989" s="1">
        <v>22</v>
      </c>
      <c r="D1989" s="27" t="s">
        <v>3280</v>
      </c>
      <c r="E1989" s="25"/>
      <c r="F1989" s="25" t="str">
        <f>IF(INDEX(I.Electricity.P3Y1C2,22)="","",INDEX(I.Electricity.P3Y1C2,22))</f>
        <v/>
      </c>
      <c r="G1989" s="25"/>
      <c r="H1989" s="1" t="str">
        <f t="shared" si="78"/>
        <v>Complete</v>
      </c>
      <c r="I1989" s="48" t="s">
        <v>1801</v>
      </c>
    </row>
    <row r="1990" spans="2:9" ht="15" customHeight="1" x14ac:dyDescent="0.25">
      <c r="B1990" s="26" t="s">
        <v>1263</v>
      </c>
      <c r="C1990" s="1">
        <v>23</v>
      </c>
      <c r="D1990" s="27" t="s">
        <v>3280</v>
      </c>
      <c r="E1990" s="25"/>
      <c r="F1990" s="25" t="str">
        <f>IF(INDEX(I.Electricity.P3Y1C2,23)="","",INDEX(I.Electricity.P3Y1C2,23))</f>
        <v/>
      </c>
      <c r="G1990" s="25"/>
      <c r="H1990" s="1" t="str">
        <f t="shared" si="78"/>
        <v>Complete</v>
      </c>
      <c r="I1990" s="48" t="s">
        <v>1802</v>
      </c>
    </row>
    <row r="1991" spans="2:9" ht="15" customHeight="1" x14ac:dyDescent="0.25">
      <c r="B1991" s="34" t="s">
        <v>1263</v>
      </c>
      <c r="C1991" s="35">
        <v>24</v>
      </c>
      <c r="D1991" s="46" t="s">
        <v>3280</v>
      </c>
      <c r="E1991" s="45"/>
      <c r="F1991" s="45" t="str">
        <f>IF(INDEX(I.Electricity.P3Y1C2,24)="","",INDEX(I.Electricity.P3Y1C2,24))</f>
        <v/>
      </c>
      <c r="G1991" s="45"/>
      <c r="H1991" s="35" t="str">
        <f t="shared" si="78"/>
        <v>Complete</v>
      </c>
      <c r="I1991" s="49" t="s">
        <v>1803</v>
      </c>
    </row>
    <row r="1992" spans="2:9" ht="15" customHeight="1" x14ac:dyDescent="0.25">
      <c r="B1992" s="26" t="s">
        <v>1264</v>
      </c>
      <c r="C1992" s="1">
        <v>1</v>
      </c>
      <c r="D1992" s="27" t="s">
        <v>3281</v>
      </c>
      <c r="E1992" s="25"/>
      <c r="F1992" s="25" t="str">
        <f>IF(INDEX(I.Electricity.P3Y2C2,1)="","",INDEX(I.Electricity.P3Y2C2,1))</f>
        <v/>
      </c>
      <c r="G1992" s="25"/>
      <c r="H1992" s="1" t="str">
        <f t="shared" si="78"/>
        <v>Complete</v>
      </c>
      <c r="I1992" s="48" t="s">
        <v>1804</v>
      </c>
    </row>
    <row r="1993" spans="2:9" ht="15" customHeight="1" x14ac:dyDescent="0.25">
      <c r="B1993" s="26" t="s">
        <v>1264</v>
      </c>
      <c r="C1993" s="1">
        <v>2</v>
      </c>
      <c r="D1993" s="27" t="s">
        <v>3281</v>
      </c>
      <c r="E1993" s="25"/>
      <c r="F1993" s="25" t="str">
        <f>IF(INDEX(I.Electricity.P3Y2C2,2)="","",INDEX(I.Electricity.P3Y2C2,2))</f>
        <v/>
      </c>
      <c r="G1993" s="25"/>
      <c r="H1993" s="1" t="str">
        <f t="shared" si="78"/>
        <v>Complete</v>
      </c>
      <c r="I1993" s="48" t="s">
        <v>1805</v>
      </c>
    </row>
    <row r="1994" spans="2:9" ht="15" customHeight="1" x14ac:dyDescent="0.25">
      <c r="B1994" s="26" t="s">
        <v>1264</v>
      </c>
      <c r="C1994" s="1">
        <v>3</v>
      </c>
      <c r="D1994" s="27" t="s">
        <v>3281</v>
      </c>
      <c r="E1994" s="25"/>
      <c r="F1994" s="25" t="str">
        <f>IF(INDEX(I.Electricity.P3Y2C2,3)="","",INDEX(I.Electricity.P3Y2C2,3))</f>
        <v/>
      </c>
      <c r="G1994" s="25"/>
      <c r="H1994" s="1" t="str">
        <f t="shared" si="78"/>
        <v>Complete</v>
      </c>
      <c r="I1994" s="48" t="s">
        <v>1806</v>
      </c>
    </row>
    <row r="1995" spans="2:9" ht="15" customHeight="1" x14ac:dyDescent="0.25">
      <c r="B1995" s="26" t="s">
        <v>1264</v>
      </c>
      <c r="C1995" s="1">
        <v>4</v>
      </c>
      <c r="D1995" s="27" t="s">
        <v>3281</v>
      </c>
      <c r="E1995" s="25"/>
      <c r="F1995" s="25" t="str">
        <f>IF(INDEX(I.Electricity.P3Y2C2,4)="","",INDEX(I.Electricity.P3Y2C2,4))</f>
        <v/>
      </c>
      <c r="G1995" s="25"/>
      <c r="H1995" s="1" t="str">
        <f t="shared" si="78"/>
        <v>Complete</v>
      </c>
      <c r="I1995" s="48" t="s">
        <v>1807</v>
      </c>
    </row>
    <row r="1996" spans="2:9" ht="15" customHeight="1" x14ac:dyDescent="0.25">
      <c r="B1996" s="26" t="s">
        <v>1264</v>
      </c>
      <c r="C1996" s="1">
        <v>5</v>
      </c>
      <c r="D1996" s="27" t="s">
        <v>3281</v>
      </c>
      <c r="E1996" s="25"/>
      <c r="F1996" s="25" t="str">
        <f>IF(INDEX(I.Electricity.P3Y2C2,5)="","",INDEX(I.Electricity.P3Y2C2,5))</f>
        <v/>
      </c>
      <c r="G1996" s="25"/>
      <c r="H1996" s="1" t="str">
        <f t="shared" si="78"/>
        <v>Complete</v>
      </c>
      <c r="I1996" s="48" t="s">
        <v>1808</v>
      </c>
    </row>
    <row r="1997" spans="2:9" ht="15" customHeight="1" x14ac:dyDescent="0.25">
      <c r="B1997" s="26" t="s">
        <v>1264</v>
      </c>
      <c r="C1997" s="1">
        <v>6</v>
      </c>
      <c r="D1997" s="27" t="s">
        <v>3281</v>
      </c>
      <c r="E1997" s="25"/>
      <c r="F1997" s="25" t="str">
        <f>IF(INDEX(I.Electricity.P3Y2C2,6)="","",INDEX(I.Electricity.P3Y2C2,6))</f>
        <v/>
      </c>
      <c r="G1997" s="25"/>
      <c r="H1997" s="1" t="str">
        <f t="shared" si="78"/>
        <v>Complete</v>
      </c>
      <c r="I1997" s="48" t="s">
        <v>1809</v>
      </c>
    </row>
    <row r="1998" spans="2:9" ht="15" customHeight="1" x14ac:dyDescent="0.25">
      <c r="B1998" s="26" t="s">
        <v>1264</v>
      </c>
      <c r="C1998" s="1">
        <v>7</v>
      </c>
      <c r="D1998" s="27" t="s">
        <v>3281</v>
      </c>
      <c r="E1998" s="25"/>
      <c r="F1998" s="25" t="str">
        <f>IF(INDEX(I.Electricity.P3Y2C2,7)="","",INDEX(I.Electricity.P3Y2C2,7))</f>
        <v/>
      </c>
      <c r="G1998" s="25"/>
      <c r="H1998" s="1" t="str">
        <f t="shared" si="78"/>
        <v>Complete</v>
      </c>
      <c r="I1998" s="48" t="s">
        <v>1810</v>
      </c>
    </row>
    <row r="1999" spans="2:9" ht="15" customHeight="1" x14ac:dyDescent="0.25">
      <c r="B1999" s="26" t="s">
        <v>1264</v>
      </c>
      <c r="C1999" s="1">
        <v>8</v>
      </c>
      <c r="D1999" s="27" t="s">
        <v>3281</v>
      </c>
      <c r="E1999" s="25"/>
      <c r="F1999" s="25" t="str">
        <f>IF(INDEX(I.Electricity.P3Y2C2,8)="","",INDEX(I.Electricity.P3Y2C2,8))</f>
        <v/>
      </c>
      <c r="G1999" s="25"/>
      <c r="H1999" s="1" t="str">
        <f t="shared" si="78"/>
        <v>Complete</v>
      </c>
      <c r="I1999" s="48" t="s">
        <v>1811</v>
      </c>
    </row>
    <row r="2000" spans="2:9" ht="15" customHeight="1" x14ac:dyDescent="0.25">
      <c r="B2000" s="26" t="s">
        <v>1264</v>
      </c>
      <c r="C2000" s="1">
        <v>9</v>
      </c>
      <c r="D2000" s="27" t="s">
        <v>3281</v>
      </c>
      <c r="E2000" s="25"/>
      <c r="F2000" s="25" t="str">
        <f>IF(INDEX(I.Electricity.P3Y2C2,9)="","",INDEX(I.Electricity.P3Y2C2,9))</f>
        <v/>
      </c>
      <c r="G2000" s="25"/>
      <c r="H2000" s="1" t="str">
        <f t="shared" si="78"/>
        <v>Complete</v>
      </c>
      <c r="I2000" s="48" t="s">
        <v>1812</v>
      </c>
    </row>
    <row r="2001" spans="2:9" ht="15" customHeight="1" x14ac:dyDescent="0.25">
      <c r="B2001" s="26" t="s">
        <v>1264</v>
      </c>
      <c r="C2001" s="1">
        <v>10</v>
      </c>
      <c r="D2001" s="27" t="s">
        <v>3281</v>
      </c>
      <c r="E2001" s="25"/>
      <c r="F2001" s="25" t="str">
        <f>IF(INDEX(I.Electricity.P3Y2C2,10)="","",INDEX(I.Electricity.P3Y2C2,10))</f>
        <v/>
      </c>
      <c r="G2001" s="25"/>
      <c r="H2001" s="1" t="str">
        <f t="shared" si="78"/>
        <v>Complete</v>
      </c>
      <c r="I2001" s="48" t="s">
        <v>1813</v>
      </c>
    </row>
    <row r="2002" spans="2:9" ht="15" customHeight="1" x14ac:dyDescent="0.25">
      <c r="B2002" s="26" t="s">
        <v>1264</v>
      </c>
      <c r="C2002" s="1">
        <v>11</v>
      </c>
      <c r="D2002" s="27" t="s">
        <v>3281</v>
      </c>
      <c r="E2002" s="25"/>
      <c r="F2002" s="25" t="str">
        <f>IF(INDEX(I.Electricity.P3Y2C2,11)="","",INDEX(I.Electricity.P3Y2C2,11))</f>
        <v/>
      </c>
      <c r="G2002" s="25"/>
      <c r="H2002" s="1" t="str">
        <f t="shared" si="78"/>
        <v>Complete</v>
      </c>
      <c r="I2002" s="48" t="s">
        <v>1814</v>
      </c>
    </row>
    <row r="2003" spans="2:9" ht="15" customHeight="1" x14ac:dyDescent="0.25">
      <c r="B2003" s="26" t="s">
        <v>1264</v>
      </c>
      <c r="C2003" s="1">
        <v>12</v>
      </c>
      <c r="D2003" s="27" t="s">
        <v>3281</v>
      </c>
      <c r="E2003" s="25"/>
      <c r="F2003" s="25" t="str">
        <f>IF(INDEX(I.Electricity.P3Y2C2,12)="","",INDEX(I.Electricity.P3Y2C2,12))</f>
        <v/>
      </c>
      <c r="G2003" s="25"/>
      <c r="H2003" s="1" t="str">
        <f t="shared" si="78"/>
        <v>Complete</v>
      </c>
      <c r="I2003" s="48" t="s">
        <v>1815</v>
      </c>
    </row>
    <row r="2004" spans="2:9" ht="15" customHeight="1" x14ac:dyDescent="0.25">
      <c r="B2004" s="26" t="s">
        <v>1264</v>
      </c>
      <c r="C2004" s="1">
        <v>13</v>
      </c>
      <c r="D2004" s="27" t="s">
        <v>3281</v>
      </c>
      <c r="E2004" s="25"/>
      <c r="F2004" s="25" t="str">
        <f>IF(INDEX(I.Electricity.P3Y2C2,13)="","",INDEX(I.Electricity.P3Y2C2,13))</f>
        <v/>
      </c>
      <c r="G2004" s="25"/>
      <c r="H2004" s="1" t="str">
        <f t="shared" si="78"/>
        <v>Complete</v>
      </c>
      <c r="I2004" s="48" t="s">
        <v>1816</v>
      </c>
    </row>
    <row r="2005" spans="2:9" ht="15" customHeight="1" x14ac:dyDescent="0.25">
      <c r="B2005" s="26" t="s">
        <v>1264</v>
      </c>
      <c r="C2005" s="1">
        <v>14</v>
      </c>
      <c r="D2005" s="27" t="s">
        <v>3281</v>
      </c>
      <c r="E2005" s="25"/>
      <c r="F2005" s="25" t="str">
        <f>IF(INDEX(I.Electricity.P3Y2C2,14)="","",INDEX(I.Electricity.P3Y2C2,14))</f>
        <v/>
      </c>
      <c r="G2005" s="25"/>
      <c r="H2005" s="1" t="str">
        <f t="shared" si="78"/>
        <v>Complete</v>
      </c>
      <c r="I2005" s="48" t="s">
        <v>1817</v>
      </c>
    </row>
    <row r="2006" spans="2:9" ht="15" customHeight="1" x14ac:dyDescent="0.25">
      <c r="B2006" s="26" t="s">
        <v>1264</v>
      </c>
      <c r="C2006" s="1">
        <v>15</v>
      </c>
      <c r="D2006" s="27" t="s">
        <v>3281</v>
      </c>
      <c r="E2006" s="25"/>
      <c r="F2006" s="25" t="str">
        <f>IF(INDEX(I.Electricity.P3Y2C2,15)="","",INDEX(I.Electricity.P3Y2C2,15))</f>
        <v/>
      </c>
      <c r="G2006" s="25"/>
      <c r="H2006" s="1" t="str">
        <f t="shared" si="78"/>
        <v>Complete</v>
      </c>
      <c r="I2006" s="48" t="s">
        <v>1818</v>
      </c>
    </row>
    <row r="2007" spans="2:9" ht="15" customHeight="1" x14ac:dyDescent="0.25">
      <c r="B2007" s="26" t="s">
        <v>1264</v>
      </c>
      <c r="C2007" s="1">
        <v>16</v>
      </c>
      <c r="D2007" s="27" t="s">
        <v>3281</v>
      </c>
      <c r="E2007" s="25"/>
      <c r="F2007" s="25" t="str">
        <f>IF(INDEX(I.Electricity.P3Y2C2,16)="","",INDEX(I.Electricity.P3Y2C2,16))</f>
        <v/>
      </c>
      <c r="G2007" s="25"/>
      <c r="H2007" s="1" t="str">
        <f t="shared" si="78"/>
        <v>Complete</v>
      </c>
      <c r="I2007" s="48" t="s">
        <v>1819</v>
      </c>
    </row>
    <row r="2008" spans="2:9" ht="15" customHeight="1" x14ac:dyDescent="0.25">
      <c r="B2008" s="26" t="s">
        <v>1264</v>
      </c>
      <c r="C2008" s="1">
        <v>17</v>
      </c>
      <c r="D2008" s="27" t="s">
        <v>3281</v>
      </c>
      <c r="E2008" s="25"/>
      <c r="F2008" s="25" t="str">
        <f>IF(INDEX(I.Electricity.P3Y2C2,17)="","",INDEX(I.Electricity.P3Y2C2,17))</f>
        <v/>
      </c>
      <c r="G2008" s="25"/>
      <c r="H2008" s="1" t="str">
        <f t="shared" si="78"/>
        <v>Complete</v>
      </c>
      <c r="I2008" s="48" t="s">
        <v>1820</v>
      </c>
    </row>
    <row r="2009" spans="2:9" ht="15" customHeight="1" x14ac:dyDescent="0.25">
      <c r="B2009" s="26" t="s">
        <v>1264</v>
      </c>
      <c r="C2009" s="1">
        <v>18</v>
      </c>
      <c r="D2009" s="27" t="s">
        <v>3281</v>
      </c>
      <c r="E2009" s="25"/>
      <c r="F2009" s="25" t="str">
        <f>IF(INDEX(I.Electricity.P3Y2C2,18)="","",INDEX(I.Electricity.P3Y2C2,18))</f>
        <v/>
      </c>
      <c r="G2009" s="25"/>
      <c r="H2009" s="1" t="str">
        <f t="shared" si="78"/>
        <v>Complete</v>
      </c>
      <c r="I2009" s="48" t="s">
        <v>1821</v>
      </c>
    </row>
    <row r="2010" spans="2:9" ht="15" customHeight="1" x14ac:dyDescent="0.25">
      <c r="B2010" s="26" t="s">
        <v>1264</v>
      </c>
      <c r="C2010" s="1">
        <v>19</v>
      </c>
      <c r="D2010" s="27" t="s">
        <v>3281</v>
      </c>
      <c r="E2010" s="25"/>
      <c r="F2010" s="25" t="str">
        <f>IF(INDEX(I.Electricity.P3Y2C2,19)="","",INDEX(I.Electricity.P3Y2C2,19))</f>
        <v/>
      </c>
      <c r="G2010" s="25"/>
      <c r="H2010" s="1" t="str">
        <f t="shared" si="78"/>
        <v>Complete</v>
      </c>
      <c r="I2010" s="48" t="s">
        <v>1822</v>
      </c>
    </row>
    <row r="2011" spans="2:9" ht="15" customHeight="1" x14ac:dyDescent="0.25">
      <c r="B2011" s="26" t="s">
        <v>1264</v>
      </c>
      <c r="C2011" s="1">
        <v>20</v>
      </c>
      <c r="D2011" s="27" t="s">
        <v>3281</v>
      </c>
      <c r="E2011" s="25"/>
      <c r="F2011" s="25" t="str">
        <f>IF(INDEX(I.Electricity.P3Y2C2,20)="","",INDEX(I.Electricity.P3Y2C2,20))</f>
        <v/>
      </c>
      <c r="G2011" s="25"/>
      <c r="H2011" s="1" t="str">
        <f t="shared" si="78"/>
        <v>Complete</v>
      </c>
      <c r="I2011" s="48" t="s">
        <v>1823</v>
      </c>
    </row>
    <row r="2012" spans="2:9" ht="15" customHeight="1" x14ac:dyDescent="0.25">
      <c r="B2012" s="26" t="s">
        <v>1264</v>
      </c>
      <c r="C2012" s="1">
        <v>21</v>
      </c>
      <c r="D2012" s="27" t="s">
        <v>3281</v>
      </c>
      <c r="E2012" s="25"/>
      <c r="F2012" s="25" t="str">
        <f>IF(INDEX(I.Electricity.P3Y2C2,21)="","",INDEX(I.Electricity.P3Y2C2,21))</f>
        <v/>
      </c>
      <c r="G2012" s="25"/>
      <c r="H2012" s="1" t="str">
        <f t="shared" si="78"/>
        <v>Complete</v>
      </c>
      <c r="I2012" s="48" t="s">
        <v>1824</v>
      </c>
    </row>
    <row r="2013" spans="2:9" ht="15" customHeight="1" x14ac:dyDescent="0.25">
      <c r="B2013" s="26" t="s">
        <v>1264</v>
      </c>
      <c r="C2013" s="1">
        <v>22</v>
      </c>
      <c r="D2013" s="27" t="s">
        <v>3281</v>
      </c>
      <c r="E2013" s="25"/>
      <c r="F2013" s="25" t="str">
        <f>IF(INDEX(I.Electricity.P3Y2C2,22)="","",INDEX(I.Electricity.P3Y2C2,22))</f>
        <v/>
      </c>
      <c r="G2013" s="25"/>
      <c r="H2013" s="1" t="str">
        <f t="shared" si="78"/>
        <v>Complete</v>
      </c>
      <c r="I2013" s="48" t="s">
        <v>1825</v>
      </c>
    </row>
    <row r="2014" spans="2:9" ht="15" customHeight="1" x14ac:dyDescent="0.25">
      <c r="B2014" s="26" t="s">
        <v>1264</v>
      </c>
      <c r="C2014" s="1">
        <v>23</v>
      </c>
      <c r="D2014" s="27" t="s">
        <v>3281</v>
      </c>
      <c r="E2014" s="25"/>
      <c r="F2014" s="25" t="str">
        <f>IF(INDEX(I.Electricity.P3Y2C2,23)="","",INDEX(I.Electricity.P3Y2C2,23))</f>
        <v/>
      </c>
      <c r="G2014" s="25"/>
      <c r="H2014" s="1" t="str">
        <f t="shared" si="78"/>
        <v>Complete</v>
      </c>
      <c r="I2014" s="48" t="s">
        <v>1826</v>
      </c>
    </row>
    <row r="2015" spans="2:9" ht="15" customHeight="1" x14ac:dyDescent="0.25">
      <c r="B2015" s="34" t="s">
        <v>1264</v>
      </c>
      <c r="C2015" s="35">
        <v>24</v>
      </c>
      <c r="D2015" s="46" t="s">
        <v>3281</v>
      </c>
      <c r="E2015" s="45"/>
      <c r="F2015" s="45" t="str">
        <f>IF(INDEX(I.Electricity.P3Y2C2,24)="","",INDEX(I.Electricity.P3Y2C2,24))</f>
        <v/>
      </c>
      <c r="G2015" s="45"/>
      <c r="H2015" s="35" t="str">
        <f t="shared" si="78"/>
        <v>Complete</v>
      </c>
      <c r="I2015" s="49" t="s">
        <v>1827</v>
      </c>
    </row>
    <row r="2016" spans="2:9" ht="15" customHeight="1" x14ac:dyDescent="0.25">
      <c r="B2016" s="26" t="s">
        <v>1265</v>
      </c>
      <c r="C2016" s="1">
        <v>1</v>
      </c>
      <c r="D2016" s="27" t="s">
        <v>3282</v>
      </c>
      <c r="E2016" s="25"/>
      <c r="F2016" s="25" t="str">
        <f>IF(INDEX(I.Electricity.P3Y3C2,1)="","",INDEX(I.Electricity.P3Y3C2,1))</f>
        <v/>
      </c>
      <c r="G2016" s="25"/>
      <c r="H2016" s="1" t="str">
        <f t="shared" ref="H2016:H2039" si="79">IF(AND(I.Facility.ProductCount&gt;=3,I.Product.P3Electricity="Yes",I.Developer.P3C2=TRUE,I.Product.P3Status&lt;&gt;"Yes",F2016=""),"Incomplete","Complete")</f>
        <v>Complete</v>
      </c>
      <c r="I2016" s="48" t="s">
        <v>1828</v>
      </c>
    </row>
    <row r="2017" spans="2:9" ht="15" customHeight="1" x14ac:dyDescent="0.25">
      <c r="B2017" s="26" t="s">
        <v>1265</v>
      </c>
      <c r="C2017" s="1">
        <v>2</v>
      </c>
      <c r="D2017" s="27" t="s">
        <v>3282</v>
      </c>
      <c r="E2017" s="25"/>
      <c r="F2017" s="25" t="str">
        <f>IF(INDEX(I.Electricity.P3Y3C2,2)="","",INDEX(I.Electricity.P3Y3C2,2))</f>
        <v/>
      </c>
      <c r="G2017" s="25"/>
      <c r="H2017" s="1" t="str">
        <f t="shared" si="79"/>
        <v>Complete</v>
      </c>
      <c r="I2017" s="48" t="s">
        <v>1829</v>
      </c>
    </row>
    <row r="2018" spans="2:9" ht="15" customHeight="1" x14ac:dyDescent="0.25">
      <c r="B2018" s="26" t="s">
        <v>1265</v>
      </c>
      <c r="C2018" s="1">
        <v>3</v>
      </c>
      <c r="D2018" s="27" t="s">
        <v>3282</v>
      </c>
      <c r="E2018" s="25"/>
      <c r="F2018" s="25" t="str">
        <f>IF(INDEX(I.Electricity.P3Y3C2,3)="","",INDEX(I.Electricity.P3Y3C2,3))</f>
        <v/>
      </c>
      <c r="G2018" s="25"/>
      <c r="H2018" s="1" t="str">
        <f t="shared" si="79"/>
        <v>Complete</v>
      </c>
      <c r="I2018" s="48" t="s">
        <v>1830</v>
      </c>
    </row>
    <row r="2019" spans="2:9" ht="15" customHeight="1" x14ac:dyDescent="0.25">
      <c r="B2019" s="26" t="s">
        <v>1265</v>
      </c>
      <c r="C2019" s="1">
        <v>4</v>
      </c>
      <c r="D2019" s="27" t="s">
        <v>3282</v>
      </c>
      <c r="E2019" s="25"/>
      <c r="F2019" s="25" t="str">
        <f>IF(INDEX(I.Electricity.P3Y3C2,4)="","",INDEX(I.Electricity.P3Y3C2,4))</f>
        <v/>
      </c>
      <c r="G2019" s="25"/>
      <c r="H2019" s="1" t="str">
        <f t="shared" si="79"/>
        <v>Complete</v>
      </c>
      <c r="I2019" s="48" t="s">
        <v>1831</v>
      </c>
    </row>
    <row r="2020" spans="2:9" ht="15" customHeight="1" x14ac:dyDescent="0.25">
      <c r="B2020" s="26" t="s">
        <v>1265</v>
      </c>
      <c r="C2020" s="1">
        <v>5</v>
      </c>
      <c r="D2020" s="27" t="s">
        <v>3282</v>
      </c>
      <c r="E2020" s="25"/>
      <c r="F2020" s="25" t="str">
        <f>IF(INDEX(I.Electricity.P3Y3C2,5)="","",INDEX(I.Electricity.P3Y3C2,5))</f>
        <v/>
      </c>
      <c r="G2020" s="25"/>
      <c r="H2020" s="1" t="str">
        <f t="shared" si="79"/>
        <v>Complete</v>
      </c>
      <c r="I2020" s="48" t="s">
        <v>1832</v>
      </c>
    </row>
    <row r="2021" spans="2:9" ht="15" customHeight="1" x14ac:dyDescent="0.25">
      <c r="B2021" s="26" t="s">
        <v>1265</v>
      </c>
      <c r="C2021" s="1">
        <v>6</v>
      </c>
      <c r="D2021" s="27" t="s">
        <v>3282</v>
      </c>
      <c r="E2021" s="25"/>
      <c r="F2021" s="25" t="str">
        <f>IF(INDEX(I.Electricity.P3Y3C2,6)="","",INDEX(I.Electricity.P3Y3C2,6))</f>
        <v/>
      </c>
      <c r="G2021" s="25"/>
      <c r="H2021" s="1" t="str">
        <f t="shared" si="79"/>
        <v>Complete</v>
      </c>
      <c r="I2021" s="48" t="s">
        <v>1833</v>
      </c>
    </row>
    <row r="2022" spans="2:9" ht="15" customHeight="1" x14ac:dyDescent="0.25">
      <c r="B2022" s="26" t="s">
        <v>1265</v>
      </c>
      <c r="C2022" s="1">
        <v>7</v>
      </c>
      <c r="D2022" s="27" t="s">
        <v>3282</v>
      </c>
      <c r="E2022" s="25"/>
      <c r="F2022" s="25" t="str">
        <f>IF(INDEX(I.Electricity.P3Y3C2,7)="","",INDEX(I.Electricity.P3Y3C2,7))</f>
        <v/>
      </c>
      <c r="G2022" s="25"/>
      <c r="H2022" s="1" t="str">
        <f t="shared" si="79"/>
        <v>Complete</v>
      </c>
      <c r="I2022" s="48" t="s">
        <v>1834</v>
      </c>
    </row>
    <row r="2023" spans="2:9" ht="15" customHeight="1" x14ac:dyDescent="0.25">
      <c r="B2023" s="26" t="s">
        <v>1265</v>
      </c>
      <c r="C2023" s="1">
        <v>8</v>
      </c>
      <c r="D2023" s="27" t="s">
        <v>3282</v>
      </c>
      <c r="E2023" s="25"/>
      <c r="F2023" s="25" t="str">
        <f>IF(INDEX(I.Electricity.P3Y3C2,8)="","",INDEX(I.Electricity.P3Y3C2,8))</f>
        <v/>
      </c>
      <c r="G2023" s="25"/>
      <c r="H2023" s="1" t="str">
        <f t="shared" si="79"/>
        <v>Complete</v>
      </c>
      <c r="I2023" s="48" t="s">
        <v>1835</v>
      </c>
    </row>
    <row r="2024" spans="2:9" ht="15" customHeight="1" x14ac:dyDescent="0.25">
      <c r="B2024" s="26" t="s">
        <v>1265</v>
      </c>
      <c r="C2024" s="1">
        <v>9</v>
      </c>
      <c r="D2024" s="27" t="s">
        <v>3282</v>
      </c>
      <c r="E2024" s="25"/>
      <c r="F2024" s="25" t="str">
        <f>IF(INDEX(I.Electricity.P3Y3C2,9)="","",INDEX(I.Electricity.P3Y3C2,9))</f>
        <v/>
      </c>
      <c r="G2024" s="25"/>
      <c r="H2024" s="1" t="str">
        <f t="shared" si="79"/>
        <v>Complete</v>
      </c>
      <c r="I2024" s="48" t="s">
        <v>1836</v>
      </c>
    </row>
    <row r="2025" spans="2:9" ht="15" customHeight="1" x14ac:dyDescent="0.25">
      <c r="B2025" s="26" t="s">
        <v>1265</v>
      </c>
      <c r="C2025" s="1">
        <v>10</v>
      </c>
      <c r="D2025" s="27" t="s">
        <v>3282</v>
      </c>
      <c r="E2025" s="25"/>
      <c r="F2025" s="25" t="str">
        <f>IF(INDEX(I.Electricity.P3Y3C2,10)="","",INDEX(I.Electricity.P3Y3C2,10))</f>
        <v/>
      </c>
      <c r="G2025" s="25"/>
      <c r="H2025" s="1" t="str">
        <f t="shared" si="79"/>
        <v>Complete</v>
      </c>
      <c r="I2025" s="48" t="s">
        <v>1837</v>
      </c>
    </row>
    <row r="2026" spans="2:9" ht="15" customHeight="1" x14ac:dyDescent="0.25">
      <c r="B2026" s="26" t="s">
        <v>1265</v>
      </c>
      <c r="C2026" s="1">
        <v>11</v>
      </c>
      <c r="D2026" s="27" t="s">
        <v>3282</v>
      </c>
      <c r="E2026" s="25"/>
      <c r="F2026" s="25" t="str">
        <f>IF(INDEX(I.Electricity.P3Y3C2,11)="","",INDEX(I.Electricity.P3Y3C2,11))</f>
        <v/>
      </c>
      <c r="G2026" s="25"/>
      <c r="H2026" s="1" t="str">
        <f t="shared" si="79"/>
        <v>Complete</v>
      </c>
      <c r="I2026" s="48" t="s">
        <v>1838</v>
      </c>
    </row>
    <row r="2027" spans="2:9" ht="15" customHeight="1" x14ac:dyDescent="0.25">
      <c r="B2027" s="26" t="s">
        <v>1265</v>
      </c>
      <c r="C2027" s="1">
        <v>12</v>
      </c>
      <c r="D2027" s="27" t="s">
        <v>3282</v>
      </c>
      <c r="E2027" s="25"/>
      <c r="F2027" s="25" t="str">
        <f>IF(INDEX(I.Electricity.P3Y3C2,12)="","",INDEX(I.Electricity.P3Y3C2,12))</f>
        <v/>
      </c>
      <c r="G2027" s="25"/>
      <c r="H2027" s="1" t="str">
        <f t="shared" si="79"/>
        <v>Complete</v>
      </c>
      <c r="I2027" s="48" t="s">
        <v>1839</v>
      </c>
    </row>
    <row r="2028" spans="2:9" ht="15" customHeight="1" x14ac:dyDescent="0.25">
      <c r="B2028" s="26" t="s">
        <v>1265</v>
      </c>
      <c r="C2028" s="1">
        <v>13</v>
      </c>
      <c r="D2028" s="27" t="s">
        <v>3282</v>
      </c>
      <c r="E2028" s="25"/>
      <c r="F2028" s="25" t="str">
        <f>IF(INDEX(I.Electricity.P3Y3C2,13)="","",INDEX(I.Electricity.P3Y3C2,13))</f>
        <v/>
      </c>
      <c r="G2028" s="25"/>
      <c r="H2028" s="1" t="str">
        <f t="shared" si="79"/>
        <v>Complete</v>
      </c>
      <c r="I2028" s="48" t="s">
        <v>1840</v>
      </c>
    </row>
    <row r="2029" spans="2:9" ht="15" customHeight="1" x14ac:dyDescent="0.25">
      <c r="B2029" s="26" t="s">
        <v>1265</v>
      </c>
      <c r="C2029" s="1">
        <v>14</v>
      </c>
      <c r="D2029" s="27" t="s">
        <v>3282</v>
      </c>
      <c r="E2029" s="25"/>
      <c r="F2029" s="25" t="str">
        <f>IF(INDEX(I.Electricity.P3Y3C2,14)="","",INDEX(I.Electricity.P3Y3C2,14))</f>
        <v/>
      </c>
      <c r="G2029" s="25"/>
      <c r="H2029" s="1" t="str">
        <f t="shared" si="79"/>
        <v>Complete</v>
      </c>
      <c r="I2029" s="48" t="s">
        <v>1841</v>
      </c>
    </row>
    <row r="2030" spans="2:9" ht="15" customHeight="1" x14ac:dyDescent="0.25">
      <c r="B2030" s="26" t="s">
        <v>1265</v>
      </c>
      <c r="C2030" s="1">
        <v>15</v>
      </c>
      <c r="D2030" s="27" t="s">
        <v>3282</v>
      </c>
      <c r="E2030" s="25"/>
      <c r="F2030" s="25" t="str">
        <f>IF(INDEX(I.Electricity.P3Y3C2,15)="","",INDEX(I.Electricity.P3Y3C2,15))</f>
        <v/>
      </c>
      <c r="G2030" s="25"/>
      <c r="H2030" s="1" t="str">
        <f t="shared" si="79"/>
        <v>Complete</v>
      </c>
      <c r="I2030" s="48" t="s">
        <v>1842</v>
      </c>
    </row>
    <row r="2031" spans="2:9" ht="15" customHeight="1" x14ac:dyDescent="0.25">
      <c r="B2031" s="26" t="s">
        <v>1265</v>
      </c>
      <c r="C2031" s="1">
        <v>16</v>
      </c>
      <c r="D2031" s="27" t="s">
        <v>3282</v>
      </c>
      <c r="E2031" s="25"/>
      <c r="F2031" s="25" t="str">
        <f>IF(INDEX(I.Electricity.P3Y3C2,16)="","",INDEX(I.Electricity.P3Y3C2,16))</f>
        <v/>
      </c>
      <c r="G2031" s="25"/>
      <c r="H2031" s="1" t="str">
        <f t="shared" si="79"/>
        <v>Complete</v>
      </c>
      <c r="I2031" s="48" t="s">
        <v>1843</v>
      </c>
    </row>
    <row r="2032" spans="2:9" ht="15" customHeight="1" x14ac:dyDescent="0.25">
      <c r="B2032" s="26" t="s">
        <v>1265</v>
      </c>
      <c r="C2032" s="1">
        <v>17</v>
      </c>
      <c r="D2032" s="27" t="s">
        <v>3282</v>
      </c>
      <c r="E2032" s="25"/>
      <c r="F2032" s="25" t="str">
        <f>IF(INDEX(I.Electricity.P3Y3C2,17)="","",INDEX(I.Electricity.P3Y3C2,17))</f>
        <v/>
      </c>
      <c r="G2032" s="25"/>
      <c r="H2032" s="1" t="str">
        <f t="shared" si="79"/>
        <v>Complete</v>
      </c>
      <c r="I2032" s="48" t="s">
        <v>1844</v>
      </c>
    </row>
    <row r="2033" spans="2:9" ht="15" customHeight="1" x14ac:dyDescent="0.25">
      <c r="B2033" s="26" t="s">
        <v>1265</v>
      </c>
      <c r="C2033" s="1">
        <v>18</v>
      </c>
      <c r="D2033" s="27" t="s">
        <v>3282</v>
      </c>
      <c r="E2033" s="25"/>
      <c r="F2033" s="25" t="str">
        <f>IF(INDEX(I.Electricity.P3Y3C2,18)="","",INDEX(I.Electricity.P3Y3C2,18))</f>
        <v/>
      </c>
      <c r="G2033" s="25"/>
      <c r="H2033" s="1" t="str">
        <f t="shared" si="79"/>
        <v>Complete</v>
      </c>
      <c r="I2033" s="48" t="s">
        <v>1845</v>
      </c>
    </row>
    <row r="2034" spans="2:9" ht="15" customHeight="1" x14ac:dyDescent="0.25">
      <c r="B2034" s="26" t="s">
        <v>1265</v>
      </c>
      <c r="C2034" s="1">
        <v>19</v>
      </c>
      <c r="D2034" s="27" t="s">
        <v>3282</v>
      </c>
      <c r="E2034" s="25"/>
      <c r="F2034" s="25" t="str">
        <f>IF(INDEX(I.Electricity.P3Y3C2,19)="","",INDEX(I.Electricity.P3Y3C2,19))</f>
        <v/>
      </c>
      <c r="G2034" s="25"/>
      <c r="H2034" s="1" t="str">
        <f t="shared" si="79"/>
        <v>Complete</v>
      </c>
      <c r="I2034" s="48" t="s">
        <v>1846</v>
      </c>
    </row>
    <row r="2035" spans="2:9" ht="15" customHeight="1" x14ac:dyDescent="0.25">
      <c r="B2035" s="26" t="s">
        <v>1265</v>
      </c>
      <c r="C2035" s="1">
        <v>20</v>
      </c>
      <c r="D2035" s="27" t="s">
        <v>3282</v>
      </c>
      <c r="E2035" s="25"/>
      <c r="F2035" s="25" t="str">
        <f>IF(INDEX(I.Electricity.P3Y3C2,20)="","",INDEX(I.Electricity.P3Y3C2,20))</f>
        <v/>
      </c>
      <c r="G2035" s="25"/>
      <c r="H2035" s="1" t="str">
        <f t="shared" si="79"/>
        <v>Complete</v>
      </c>
      <c r="I2035" s="48" t="s">
        <v>1847</v>
      </c>
    </row>
    <row r="2036" spans="2:9" ht="15" customHeight="1" x14ac:dyDescent="0.25">
      <c r="B2036" s="26" t="s">
        <v>1265</v>
      </c>
      <c r="C2036" s="1">
        <v>21</v>
      </c>
      <c r="D2036" s="27" t="s">
        <v>3282</v>
      </c>
      <c r="E2036" s="25"/>
      <c r="F2036" s="25" t="str">
        <f>IF(INDEX(I.Electricity.P3Y3C2,21)="","",INDEX(I.Electricity.P3Y3C2,21))</f>
        <v/>
      </c>
      <c r="G2036" s="25"/>
      <c r="H2036" s="1" t="str">
        <f t="shared" si="79"/>
        <v>Complete</v>
      </c>
      <c r="I2036" s="48" t="s">
        <v>1848</v>
      </c>
    </row>
    <row r="2037" spans="2:9" ht="15" customHeight="1" x14ac:dyDescent="0.25">
      <c r="B2037" s="26" t="s">
        <v>1265</v>
      </c>
      <c r="C2037" s="1">
        <v>22</v>
      </c>
      <c r="D2037" s="27" t="s">
        <v>3282</v>
      </c>
      <c r="E2037" s="25"/>
      <c r="F2037" s="25" t="str">
        <f>IF(INDEX(I.Electricity.P3Y3C2,22)="","",INDEX(I.Electricity.P3Y3C2,22))</f>
        <v/>
      </c>
      <c r="G2037" s="25"/>
      <c r="H2037" s="1" t="str">
        <f t="shared" si="79"/>
        <v>Complete</v>
      </c>
      <c r="I2037" s="48" t="s">
        <v>1849</v>
      </c>
    </row>
    <row r="2038" spans="2:9" ht="15" customHeight="1" x14ac:dyDescent="0.25">
      <c r="B2038" s="26" t="s">
        <v>1265</v>
      </c>
      <c r="C2038" s="1">
        <v>23</v>
      </c>
      <c r="D2038" s="27" t="s">
        <v>3282</v>
      </c>
      <c r="E2038" s="25"/>
      <c r="F2038" s="25" t="str">
        <f>IF(INDEX(I.Electricity.P3Y3C2,23)="","",INDEX(I.Electricity.P3Y3C2,23))</f>
        <v/>
      </c>
      <c r="G2038" s="25"/>
      <c r="H2038" s="1" t="str">
        <f t="shared" si="79"/>
        <v>Complete</v>
      </c>
      <c r="I2038" s="48" t="s">
        <v>1850</v>
      </c>
    </row>
    <row r="2039" spans="2:9" ht="15" customHeight="1" x14ac:dyDescent="0.25">
      <c r="B2039" s="34" t="s">
        <v>1265</v>
      </c>
      <c r="C2039" s="35">
        <v>24</v>
      </c>
      <c r="D2039" s="46" t="s">
        <v>3282</v>
      </c>
      <c r="E2039" s="45"/>
      <c r="F2039" s="45" t="str">
        <f>IF(INDEX(I.Electricity.P3Y3C2,24)="","",INDEX(I.Electricity.P3Y3C2,24))</f>
        <v/>
      </c>
      <c r="G2039" s="45"/>
      <c r="H2039" s="35" t="str">
        <f t="shared" si="79"/>
        <v>Complete</v>
      </c>
      <c r="I2039" s="49" t="s">
        <v>1851</v>
      </c>
    </row>
    <row r="2040" spans="2:9" ht="15" customHeight="1" x14ac:dyDescent="0.25">
      <c r="B2040" s="26" t="s">
        <v>1266</v>
      </c>
      <c r="C2040" s="1">
        <v>1</v>
      </c>
      <c r="D2040" s="27" t="s">
        <v>3283</v>
      </c>
      <c r="E2040" s="25"/>
      <c r="F2040" s="25" t="str">
        <f>IF(INDEX(I.Electricity.P3Y1C3,1)="","",INDEX(I.Electricity.P3Y1C3,1))</f>
        <v/>
      </c>
      <c r="G2040" s="25"/>
      <c r="H2040" s="1" t="str">
        <f t="shared" ref="H2040:H2081" si="80">IF(AND(I.Facility.ProductCount&gt;=3,I.Product.P3Electricity="Yes",I.Developer.P3C3=TRUE,F2040=""),"Incomplete","Complete")</f>
        <v>Complete</v>
      </c>
      <c r="I2040" s="48" t="s">
        <v>1852</v>
      </c>
    </row>
    <row r="2041" spans="2:9" ht="15" customHeight="1" x14ac:dyDescent="0.25">
      <c r="B2041" s="26" t="s">
        <v>1266</v>
      </c>
      <c r="C2041" s="1">
        <v>2</v>
      </c>
      <c r="D2041" s="27" t="s">
        <v>3283</v>
      </c>
      <c r="E2041" s="25"/>
      <c r="F2041" s="25" t="str">
        <f>IF(INDEX(I.Electricity.P3Y1C3,2)="","",INDEX(I.Electricity.P3Y1C3,2))</f>
        <v/>
      </c>
      <c r="G2041" s="25"/>
      <c r="H2041" s="1" t="str">
        <f t="shared" si="80"/>
        <v>Complete</v>
      </c>
      <c r="I2041" s="48" t="s">
        <v>1853</v>
      </c>
    </row>
    <row r="2042" spans="2:9" ht="15" customHeight="1" x14ac:dyDescent="0.25">
      <c r="B2042" s="26" t="s">
        <v>1266</v>
      </c>
      <c r="C2042" s="1">
        <v>3</v>
      </c>
      <c r="D2042" s="27" t="s">
        <v>3283</v>
      </c>
      <c r="E2042" s="25"/>
      <c r="F2042" s="25" t="str">
        <f>IF(INDEX(I.Electricity.P3Y1C3,3)="","",INDEX(I.Electricity.P3Y1C3,3))</f>
        <v/>
      </c>
      <c r="G2042" s="25"/>
      <c r="H2042" s="1" t="str">
        <f t="shared" si="80"/>
        <v>Complete</v>
      </c>
      <c r="I2042" s="48" t="s">
        <v>1854</v>
      </c>
    </row>
    <row r="2043" spans="2:9" ht="15" customHeight="1" x14ac:dyDescent="0.25">
      <c r="B2043" s="26" t="s">
        <v>1266</v>
      </c>
      <c r="C2043" s="1">
        <v>4</v>
      </c>
      <c r="D2043" s="27" t="s">
        <v>3283</v>
      </c>
      <c r="E2043" s="25"/>
      <c r="F2043" s="25" t="str">
        <f>IF(INDEX(I.Electricity.P3Y1C3,4)="","",INDEX(I.Electricity.P3Y1C3,4))</f>
        <v/>
      </c>
      <c r="G2043" s="25"/>
      <c r="H2043" s="1" t="str">
        <f t="shared" si="80"/>
        <v>Complete</v>
      </c>
      <c r="I2043" s="48" t="s">
        <v>1855</v>
      </c>
    </row>
    <row r="2044" spans="2:9" ht="15" customHeight="1" x14ac:dyDescent="0.25">
      <c r="B2044" s="26" t="s">
        <v>1266</v>
      </c>
      <c r="C2044" s="1">
        <v>5</v>
      </c>
      <c r="D2044" s="27" t="s">
        <v>3283</v>
      </c>
      <c r="E2044" s="25"/>
      <c r="F2044" s="25" t="str">
        <f>IF(INDEX(I.Electricity.P3Y1C3,5)="","",INDEX(I.Electricity.P3Y1C3,5))</f>
        <v/>
      </c>
      <c r="G2044" s="25"/>
      <c r="H2044" s="1" t="str">
        <f t="shared" si="80"/>
        <v>Complete</v>
      </c>
      <c r="I2044" s="48" t="s">
        <v>1856</v>
      </c>
    </row>
    <row r="2045" spans="2:9" ht="15" customHeight="1" x14ac:dyDescent="0.25">
      <c r="B2045" s="26" t="s">
        <v>1266</v>
      </c>
      <c r="C2045" s="1">
        <v>6</v>
      </c>
      <c r="D2045" s="27" t="s">
        <v>3283</v>
      </c>
      <c r="E2045" s="25"/>
      <c r="F2045" s="25" t="str">
        <f>IF(INDEX(I.Electricity.P3Y1C3,6)="","",INDEX(I.Electricity.P3Y1C3,6))</f>
        <v/>
      </c>
      <c r="G2045" s="25"/>
      <c r="H2045" s="1" t="str">
        <f t="shared" si="80"/>
        <v>Complete</v>
      </c>
      <c r="I2045" s="48" t="s">
        <v>1857</v>
      </c>
    </row>
    <row r="2046" spans="2:9" ht="15" customHeight="1" x14ac:dyDescent="0.25">
      <c r="B2046" s="26" t="s">
        <v>1266</v>
      </c>
      <c r="C2046" s="1">
        <v>7</v>
      </c>
      <c r="D2046" s="27" t="s">
        <v>3283</v>
      </c>
      <c r="E2046" s="25"/>
      <c r="F2046" s="25" t="str">
        <f>IF(INDEX(I.Electricity.P3Y1C3,7)="","",INDEX(I.Electricity.P3Y1C3,7))</f>
        <v/>
      </c>
      <c r="G2046" s="25"/>
      <c r="H2046" s="1" t="str">
        <f t="shared" si="80"/>
        <v>Complete</v>
      </c>
      <c r="I2046" s="48" t="s">
        <v>1858</v>
      </c>
    </row>
    <row r="2047" spans="2:9" ht="15" customHeight="1" x14ac:dyDescent="0.25">
      <c r="B2047" s="26" t="s">
        <v>1266</v>
      </c>
      <c r="C2047" s="1">
        <v>8</v>
      </c>
      <c r="D2047" s="27" t="s">
        <v>3283</v>
      </c>
      <c r="E2047" s="25"/>
      <c r="F2047" s="25" t="str">
        <f>IF(INDEX(I.Electricity.P3Y1C3,8)="","",INDEX(I.Electricity.P3Y1C3,8))</f>
        <v/>
      </c>
      <c r="G2047" s="25"/>
      <c r="H2047" s="1" t="str">
        <f t="shared" si="80"/>
        <v>Complete</v>
      </c>
      <c r="I2047" s="48" t="s">
        <v>1859</v>
      </c>
    </row>
    <row r="2048" spans="2:9" ht="15" customHeight="1" x14ac:dyDescent="0.25">
      <c r="B2048" s="26" t="s">
        <v>1266</v>
      </c>
      <c r="C2048" s="1">
        <v>9</v>
      </c>
      <c r="D2048" s="27" t="s">
        <v>3283</v>
      </c>
      <c r="E2048" s="25"/>
      <c r="F2048" s="25" t="str">
        <f>IF(INDEX(I.Electricity.P3Y1C3,9)="","",INDEX(I.Electricity.P3Y1C3,9))</f>
        <v/>
      </c>
      <c r="G2048" s="25"/>
      <c r="H2048" s="1" t="str">
        <f t="shared" si="80"/>
        <v>Complete</v>
      </c>
      <c r="I2048" s="48" t="s">
        <v>1860</v>
      </c>
    </row>
    <row r="2049" spans="2:9" ht="15" customHeight="1" x14ac:dyDescent="0.25">
      <c r="B2049" s="26" t="s">
        <v>1266</v>
      </c>
      <c r="C2049" s="1">
        <v>10</v>
      </c>
      <c r="D2049" s="27" t="s">
        <v>3283</v>
      </c>
      <c r="E2049" s="25"/>
      <c r="F2049" s="25" t="str">
        <f>IF(INDEX(I.Electricity.P3Y1C3,10)="","",INDEX(I.Electricity.P3Y1C3,10))</f>
        <v/>
      </c>
      <c r="G2049" s="25"/>
      <c r="H2049" s="1" t="str">
        <f t="shared" si="80"/>
        <v>Complete</v>
      </c>
      <c r="I2049" s="48" t="s">
        <v>1861</v>
      </c>
    </row>
    <row r="2050" spans="2:9" ht="15" customHeight="1" x14ac:dyDescent="0.25">
      <c r="B2050" s="26" t="s">
        <v>1266</v>
      </c>
      <c r="C2050" s="1">
        <v>11</v>
      </c>
      <c r="D2050" s="27" t="s">
        <v>3283</v>
      </c>
      <c r="E2050" s="25"/>
      <c r="F2050" s="25" t="str">
        <f>IF(INDEX(I.Electricity.P3Y1C3,11)="","",INDEX(I.Electricity.P3Y1C3,11))</f>
        <v/>
      </c>
      <c r="G2050" s="25"/>
      <c r="H2050" s="1" t="str">
        <f t="shared" si="80"/>
        <v>Complete</v>
      </c>
      <c r="I2050" s="48" t="s">
        <v>1862</v>
      </c>
    </row>
    <row r="2051" spans="2:9" ht="15" customHeight="1" x14ac:dyDescent="0.25">
      <c r="B2051" s="26" t="s">
        <v>1266</v>
      </c>
      <c r="C2051" s="1">
        <v>12</v>
      </c>
      <c r="D2051" s="27" t="s">
        <v>3283</v>
      </c>
      <c r="E2051" s="25"/>
      <c r="F2051" s="25" t="str">
        <f>IF(INDEX(I.Electricity.P3Y1C3,12)="","",INDEX(I.Electricity.P3Y1C3,12))</f>
        <v/>
      </c>
      <c r="G2051" s="25"/>
      <c r="H2051" s="1" t="str">
        <f t="shared" si="80"/>
        <v>Complete</v>
      </c>
      <c r="I2051" s="48" t="s">
        <v>1863</v>
      </c>
    </row>
    <row r="2052" spans="2:9" ht="15" customHeight="1" x14ac:dyDescent="0.25">
      <c r="B2052" s="26" t="s">
        <v>1266</v>
      </c>
      <c r="C2052" s="1">
        <v>13</v>
      </c>
      <c r="D2052" s="27" t="s">
        <v>3283</v>
      </c>
      <c r="E2052" s="25"/>
      <c r="F2052" s="25" t="str">
        <f>IF(INDEX(I.Electricity.P3Y1C3,13)="","",INDEX(I.Electricity.P3Y1C3,13))</f>
        <v/>
      </c>
      <c r="G2052" s="25"/>
      <c r="H2052" s="1" t="str">
        <f t="shared" si="80"/>
        <v>Complete</v>
      </c>
      <c r="I2052" s="48" t="s">
        <v>1864</v>
      </c>
    </row>
    <row r="2053" spans="2:9" ht="15" customHeight="1" x14ac:dyDescent="0.25">
      <c r="B2053" s="26" t="s">
        <v>1266</v>
      </c>
      <c r="C2053" s="1">
        <v>14</v>
      </c>
      <c r="D2053" s="27" t="s">
        <v>3283</v>
      </c>
      <c r="E2053" s="25"/>
      <c r="F2053" s="25" t="str">
        <f>IF(INDEX(I.Electricity.P3Y1C3,14)="","",INDEX(I.Electricity.P3Y1C3,14))</f>
        <v/>
      </c>
      <c r="G2053" s="25"/>
      <c r="H2053" s="1" t="str">
        <f t="shared" si="80"/>
        <v>Complete</v>
      </c>
      <c r="I2053" s="48" t="s">
        <v>1865</v>
      </c>
    </row>
    <row r="2054" spans="2:9" ht="15" customHeight="1" x14ac:dyDescent="0.25">
      <c r="B2054" s="26" t="s">
        <v>1266</v>
      </c>
      <c r="C2054" s="1">
        <v>15</v>
      </c>
      <c r="D2054" s="27" t="s">
        <v>3283</v>
      </c>
      <c r="E2054" s="25"/>
      <c r="F2054" s="25" t="str">
        <f>IF(INDEX(I.Electricity.P3Y1C3,15)="","",INDEX(I.Electricity.P3Y1C3,15))</f>
        <v/>
      </c>
      <c r="G2054" s="25"/>
      <c r="H2054" s="1" t="str">
        <f t="shared" si="80"/>
        <v>Complete</v>
      </c>
      <c r="I2054" s="48" t="s">
        <v>1866</v>
      </c>
    </row>
    <row r="2055" spans="2:9" ht="15" customHeight="1" x14ac:dyDescent="0.25">
      <c r="B2055" s="26" t="s">
        <v>1266</v>
      </c>
      <c r="C2055" s="1">
        <v>16</v>
      </c>
      <c r="D2055" s="27" t="s">
        <v>3283</v>
      </c>
      <c r="E2055" s="25"/>
      <c r="F2055" s="25" t="str">
        <f>IF(INDEX(I.Electricity.P3Y1C3,16)="","",INDEX(I.Electricity.P3Y1C3,16))</f>
        <v/>
      </c>
      <c r="G2055" s="25"/>
      <c r="H2055" s="1" t="str">
        <f t="shared" si="80"/>
        <v>Complete</v>
      </c>
      <c r="I2055" s="48" t="s">
        <v>1867</v>
      </c>
    </row>
    <row r="2056" spans="2:9" ht="15" customHeight="1" x14ac:dyDescent="0.25">
      <c r="B2056" s="26" t="s">
        <v>1266</v>
      </c>
      <c r="C2056" s="1">
        <v>17</v>
      </c>
      <c r="D2056" s="27" t="s">
        <v>3283</v>
      </c>
      <c r="E2056" s="25"/>
      <c r="F2056" s="25" t="str">
        <f>IF(INDEX(I.Electricity.P3Y1C3,17)="","",INDEX(I.Electricity.P3Y1C3,17))</f>
        <v/>
      </c>
      <c r="G2056" s="25"/>
      <c r="H2056" s="1" t="str">
        <f t="shared" si="80"/>
        <v>Complete</v>
      </c>
      <c r="I2056" s="48" t="s">
        <v>1868</v>
      </c>
    </row>
    <row r="2057" spans="2:9" ht="15" customHeight="1" x14ac:dyDescent="0.25">
      <c r="B2057" s="26" t="s">
        <v>1266</v>
      </c>
      <c r="C2057" s="1">
        <v>18</v>
      </c>
      <c r="D2057" s="27" t="s">
        <v>3283</v>
      </c>
      <c r="E2057" s="25"/>
      <c r="F2057" s="25" t="str">
        <f>IF(INDEX(I.Electricity.P3Y1C3,18)="","",INDEX(I.Electricity.P3Y1C3,18))</f>
        <v/>
      </c>
      <c r="G2057" s="25"/>
      <c r="H2057" s="1" t="str">
        <f t="shared" si="80"/>
        <v>Complete</v>
      </c>
      <c r="I2057" s="48" t="s">
        <v>1869</v>
      </c>
    </row>
    <row r="2058" spans="2:9" ht="15" customHeight="1" x14ac:dyDescent="0.25">
      <c r="B2058" s="26" t="s">
        <v>1266</v>
      </c>
      <c r="C2058" s="1">
        <v>19</v>
      </c>
      <c r="D2058" s="27" t="s">
        <v>3283</v>
      </c>
      <c r="E2058" s="25"/>
      <c r="F2058" s="25" t="str">
        <f>IF(INDEX(I.Electricity.P3Y1C3,19)="","",INDEX(I.Electricity.P3Y1C3,19))</f>
        <v/>
      </c>
      <c r="G2058" s="25"/>
      <c r="H2058" s="1" t="str">
        <f t="shared" si="80"/>
        <v>Complete</v>
      </c>
      <c r="I2058" s="48" t="s">
        <v>1870</v>
      </c>
    </row>
    <row r="2059" spans="2:9" ht="15" customHeight="1" x14ac:dyDescent="0.25">
      <c r="B2059" s="26" t="s">
        <v>1266</v>
      </c>
      <c r="C2059" s="1">
        <v>20</v>
      </c>
      <c r="D2059" s="27" t="s">
        <v>3283</v>
      </c>
      <c r="E2059" s="25"/>
      <c r="F2059" s="25" t="str">
        <f>IF(INDEX(I.Electricity.P3Y1C3,20)="","",INDEX(I.Electricity.P3Y1C3,20))</f>
        <v/>
      </c>
      <c r="G2059" s="25"/>
      <c r="H2059" s="1" t="str">
        <f t="shared" si="80"/>
        <v>Complete</v>
      </c>
      <c r="I2059" s="48" t="s">
        <v>1871</v>
      </c>
    </row>
    <row r="2060" spans="2:9" ht="15" customHeight="1" x14ac:dyDescent="0.25">
      <c r="B2060" s="34" t="s">
        <v>1266</v>
      </c>
      <c r="C2060" s="35">
        <v>21</v>
      </c>
      <c r="D2060" s="46" t="s">
        <v>3283</v>
      </c>
      <c r="E2060" s="45"/>
      <c r="F2060" s="45" t="str">
        <f>IF(INDEX(I.Electricity.P3Y1C3,21)="","",INDEX(I.Electricity.P3Y1C3,21))</f>
        <v/>
      </c>
      <c r="G2060" s="45"/>
      <c r="H2060" s="35" t="str">
        <f t="shared" si="80"/>
        <v>Complete</v>
      </c>
      <c r="I2060" s="49" t="s">
        <v>1872</v>
      </c>
    </row>
    <row r="2061" spans="2:9" ht="15" customHeight="1" x14ac:dyDescent="0.25">
      <c r="B2061" s="26" t="s">
        <v>1267</v>
      </c>
      <c r="C2061" s="1">
        <v>1</v>
      </c>
      <c r="D2061" s="27" t="s">
        <v>3284</v>
      </c>
      <c r="E2061" s="25"/>
      <c r="F2061" s="25" t="str">
        <f>IF(INDEX(I.Electricity.P3Y2C3,1)="","",INDEX(I.Electricity.P3Y2C3,1))</f>
        <v/>
      </c>
      <c r="G2061" s="25"/>
      <c r="H2061" s="1" t="str">
        <f t="shared" si="80"/>
        <v>Complete</v>
      </c>
      <c r="I2061" s="48" t="s">
        <v>1873</v>
      </c>
    </row>
    <row r="2062" spans="2:9" ht="15" customHeight="1" x14ac:dyDescent="0.25">
      <c r="B2062" s="26" t="s">
        <v>1267</v>
      </c>
      <c r="C2062" s="1">
        <v>2</v>
      </c>
      <c r="D2062" s="27" t="s">
        <v>3284</v>
      </c>
      <c r="E2062" s="25"/>
      <c r="F2062" s="25" t="str">
        <f>IF(INDEX(I.Electricity.P3Y2C3,2)="","",INDEX(I.Electricity.P3Y2C3,2))</f>
        <v/>
      </c>
      <c r="G2062" s="25"/>
      <c r="H2062" s="1" t="str">
        <f t="shared" si="80"/>
        <v>Complete</v>
      </c>
      <c r="I2062" s="48" t="s">
        <v>1874</v>
      </c>
    </row>
    <row r="2063" spans="2:9" ht="15" customHeight="1" x14ac:dyDescent="0.25">
      <c r="B2063" s="26" t="s">
        <v>1267</v>
      </c>
      <c r="C2063" s="1">
        <v>3</v>
      </c>
      <c r="D2063" s="27" t="s">
        <v>3284</v>
      </c>
      <c r="E2063" s="25"/>
      <c r="F2063" s="25" t="str">
        <f>IF(INDEX(I.Electricity.P3Y2C3,3)="","",INDEX(I.Electricity.P3Y2C3,3))</f>
        <v/>
      </c>
      <c r="G2063" s="25"/>
      <c r="H2063" s="1" t="str">
        <f t="shared" si="80"/>
        <v>Complete</v>
      </c>
      <c r="I2063" s="48" t="s">
        <v>1875</v>
      </c>
    </row>
    <row r="2064" spans="2:9" ht="15" customHeight="1" x14ac:dyDescent="0.25">
      <c r="B2064" s="26" t="s">
        <v>1267</v>
      </c>
      <c r="C2064" s="1">
        <v>4</v>
      </c>
      <c r="D2064" s="27" t="s">
        <v>3284</v>
      </c>
      <c r="E2064" s="25"/>
      <c r="F2064" s="25" t="str">
        <f>IF(INDEX(I.Electricity.P3Y2C3,4)="","",INDEX(I.Electricity.P3Y2C3,4))</f>
        <v/>
      </c>
      <c r="G2064" s="25"/>
      <c r="H2064" s="1" t="str">
        <f t="shared" si="80"/>
        <v>Complete</v>
      </c>
      <c r="I2064" s="48" t="s">
        <v>1876</v>
      </c>
    </row>
    <row r="2065" spans="2:9" ht="15" customHeight="1" x14ac:dyDescent="0.25">
      <c r="B2065" s="26" t="s">
        <v>1267</v>
      </c>
      <c r="C2065" s="1">
        <v>5</v>
      </c>
      <c r="D2065" s="27" t="s">
        <v>3284</v>
      </c>
      <c r="E2065" s="25"/>
      <c r="F2065" s="25" t="str">
        <f>IF(INDEX(I.Electricity.P3Y2C3,5)="","",INDEX(I.Electricity.P3Y2C3,5))</f>
        <v/>
      </c>
      <c r="G2065" s="25"/>
      <c r="H2065" s="1" t="str">
        <f t="shared" si="80"/>
        <v>Complete</v>
      </c>
      <c r="I2065" s="48" t="s">
        <v>1877</v>
      </c>
    </row>
    <row r="2066" spans="2:9" ht="15" customHeight="1" x14ac:dyDescent="0.25">
      <c r="B2066" s="26" t="s">
        <v>1267</v>
      </c>
      <c r="C2066" s="1">
        <v>6</v>
      </c>
      <c r="D2066" s="27" t="s">
        <v>3284</v>
      </c>
      <c r="E2066" s="25"/>
      <c r="F2066" s="25" t="str">
        <f>IF(INDEX(I.Electricity.P3Y2C3,6)="","",INDEX(I.Electricity.P3Y2C3,6))</f>
        <v/>
      </c>
      <c r="G2066" s="25"/>
      <c r="H2066" s="1" t="str">
        <f t="shared" si="80"/>
        <v>Complete</v>
      </c>
      <c r="I2066" s="48" t="s">
        <v>1878</v>
      </c>
    </row>
    <row r="2067" spans="2:9" ht="15" customHeight="1" x14ac:dyDescent="0.25">
      <c r="B2067" s="26" t="s">
        <v>1267</v>
      </c>
      <c r="C2067" s="1">
        <v>7</v>
      </c>
      <c r="D2067" s="27" t="s">
        <v>3284</v>
      </c>
      <c r="E2067" s="25"/>
      <c r="F2067" s="25" t="str">
        <f>IF(INDEX(I.Electricity.P3Y2C3,7)="","",INDEX(I.Electricity.P3Y2C3,7))</f>
        <v/>
      </c>
      <c r="G2067" s="25"/>
      <c r="H2067" s="1" t="str">
        <f t="shared" si="80"/>
        <v>Complete</v>
      </c>
      <c r="I2067" s="48" t="s">
        <v>1879</v>
      </c>
    </row>
    <row r="2068" spans="2:9" ht="15" customHeight="1" x14ac:dyDescent="0.25">
      <c r="B2068" s="26" t="s">
        <v>1267</v>
      </c>
      <c r="C2068" s="1">
        <v>8</v>
      </c>
      <c r="D2068" s="27" t="s">
        <v>3284</v>
      </c>
      <c r="E2068" s="25"/>
      <c r="F2068" s="25" t="str">
        <f>IF(INDEX(I.Electricity.P3Y2C3,8)="","",INDEX(I.Electricity.P3Y2C3,8))</f>
        <v/>
      </c>
      <c r="G2068" s="25"/>
      <c r="H2068" s="1" t="str">
        <f t="shared" si="80"/>
        <v>Complete</v>
      </c>
      <c r="I2068" s="48" t="s">
        <v>1880</v>
      </c>
    </row>
    <row r="2069" spans="2:9" ht="15" customHeight="1" x14ac:dyDescent="0.25">
      <c r="B2069" s="26" t="s">
        <v>1267</v>
      </c>
      <c r="C2069" s="1">
        <v>9</v>
      </c>
      <c r="D2069" s="27" t="s">
        <v>3284</v>
      </c>
      <c r="E2069" s="25"/>
      <c r="F2069" s="25" t="str">
        <f>IF(INDEX(I.Electricity.P3Y2C3,9)="","",INDEX(I.Electricity.P3Y2C3,9))</f>
        <v/>
      </c>
      <c r="G2069" s="25"/>
      <c r="H2069" s="1" t="str">
        <f t="shared" si="80"/>
        <v>Complete</v>
      </c>
      <c r="I2069" s="48" t="s">
        <v>1881</v>
      </c>
    </row>
    <row r="2070" spans="2:9" ht="15" customHeight="1" x14ac:dyDescent="0.25">
      <c r="B2070" s="26" t="s">
        <v>1267</v>
      </c>
      <c r="C2070" s="1">
        <v>10</v>
      </c>
      <c r="D2070" s="27" t="s">
        <v>3284</v>
      </c>
      <c r="E2070" s="25"/>
      <c r="F2070" s="25" t="str">
        <f>IF(INDEX(I.Electricity.P3Y2C3,10)="","",INDEX(I.Electricity.P3Y2C3,10))</f>
        <v/>
      </c>
      <c r="G2070" s="25"/>
      <c r="H2070" s="1" t="str">
        <f t="shared" si="80"/>
        <v>Complete</v>
      </c>
      <c r="I2070" s="48" t="s">
        <v>1882</v>
      </c>
    </row>
    <row r="2071" spans="2:9" ht="15" customHeight="1" x14ac:dyDescent="0.25">
      <c r="B2071" s="26" t="s">
        <v>1267</v>
      </c>
      <c r="C2071" s="1">
        <v>11</v>
      </c>
      <c r="D2071" s="27" t="s">
        <v>3284</v>
      </c>
      <c r="E2071" s="25"/>
      <c r="F2071" s="25" t="str">
        <f>IF(INDEX(I.Electricity.P3Y2C3,11)="","",INDEX(I.Electricity.P3Y2C3,11))</f>
        <v/>
      </c>
      <c r="G2071" s="25"/>
      <c r="H2071" s="1" t="str">
        <f t="shared" si="80"/>
        <v>Complete</v>
      </c>
      <c r="I2071" s="48" t="s">
        <v>1883</v>
      </c>
    </row>
    <row r="2072" spans="2:9" ht="15" customHeight="1" x14ac:dyDescent="0.25">
      <c r="B2072" s="26" t="s">
        <v>1267</v>
      </c>
      <c r="C2072" s="1">
        <v>12</v>
      </c>
      <c r="D2072" s="27" t="s">
        <v>3284</v>
      </c>
      <c r="E2072" s="25"/>
      <c r="F2072" s="25" t="str">
        <f>IF(INDEX(I.Electricity.P3Y2C3,12)="","",INDEX(I.Electricity.P3Y2C3,12))</f>
        <v/>
      </c>
      <c r="G2072" s="25"/>
      <c r="H2072" s="1" t="str">
        <f t="shared" si="80"/>
        <v>Complete</v>
      </c>
      <c r="I2072" s="48" t="s">
        <v>1884</v>
      </c>
    </row>
    <row r="2073" spans="2:9" ht="15" customHeight="1" x14ac:dyDescent="0.25">
      <c r="B2073" s="26" t="s">
        <v>1267</v>
      </c>
      <c r="C2073" s="1">
        <v>13</v>
      </c>
      <c r="D2073" s="27" t="s">
        <v>3284</v>
      </c>
      <c r="E2073" s="25"/>
      <c r="F2073" s="25" t="str">
        <f>IF(INDEX(I.Electricity.P3Y2C3,13)="","",INDEX(I.Electricity.P3Y2C3,13))</f>
        <v/>
      </c>
      <c r="G2073" s="25"/>
      <c r="H2073" s="1" t="str">
        <f t="shared" si="80"/>
        <v>Complete</v>
      </c>
      <c r="I2073" s="48" t="s">
        <v>1885</v>
      </c>
    </row>
    <row r="2074" spans="2:9" ht="15" customHeight="1" x14ac:dyDescent="0.25">
      <c r="B2074" s="26" t="s">
        <v>1267</v>
      </c>
      <c r="C2074" s="1">
        <v>14</v>
      </c>
      <c r="D2074" s="27" t="s">
        <v>3284</v>
      </c>
      <c r="E2074" s="25"/>
      <c r="F2074" s="25" t="str">
        <f>IF(INDEX(I.Electricity.P3Y2C3,14)="","",INDEX(I.Electricity.P3Y2C3,14))</f>
        <v/>
      </c>
      <c r="G2074" s="25"/>
      <c r="H2074" s="1" t="str">
        <f t="shared" si="80"/>
        <v>Complete</v>
      </c>
      <c r="I2074" s="48" t="s">
        <v>1886</v>
      </c>
    </row>
    <row r="2075" spans="2:9" ht="15" customHeight="1" x14ac:dyDescent="0.25">
      <c r="B2075" s="26" t="s">
        <v>1267</v>
      </c>
      <c r="C2075" s="1">
        <v>15</v>
      </c>
      <c r="D2075" s="27" t="s">
        <v>3284</v>
      </c>
      <c r="E2075" s="25"/>
      <c r="F2075" s="25" t="str">
        <f>IF(INDEX(I.Electricity.P3Y2C3,15)="","",INDEX(I.Electricity.P3Y2C3,15))</f>
        <v/>
      </c>
      <c r="G2075" s="25"/>
      <c r="H2075" s="1" t="str">
        <f t="shared" si="80"/>
        <v>Complete</v>
      </c>
      <c r="I2075" s="48" t="s">
        <v>1887</v>
      </c>
    </row>
    <row r="2076" spans="2:9" ht="15" customHeight="1" x14ac:dyDescent="0.25">
      <c r="B2076" s="26" t="s">
        <v>1267</v>
      </c>
      <c r="C2076" s="1">
        <v>16</v>
      </c>
      <c r="D2076" s="27" t="s">
        <v>3284</v>
      </c>
      <c r="E2076" s="25"/>
      <c r="F2076" s="25" t="str">
        <f>IF(INDEX(I.Electricity.P3Y2C3,16)="","",INDEX(I.Electricity.P3Y2C3,16))</f>
        <v/>
      </c>
      <c r="G2076" s="25"/>
      <c r="H2076" s="1" t="str">
        <f t="shared" si="80"/>
        <v>Complete</v>
      </c>
      <c r="I2076" s="48" t="s">
        <v>1888</v>
      </c>
    </row>
    <row r="2077" spans="2:9" ht="15" customHeight="1" x14ac:dyDescent="0.25">
      <c r="B2077" s="26" t="s">
        <v>1267</v>
      </c>
      <c r="C2077" s="1">
        <v>17</v>
      </c>
      <c r="D2077" s="27" t="s">
        <v>3284</v>
      </c>
      <c r="E2077" s="25"/>
      <c r="F2077" s="25" t="str">
        <f>IF(INDEX(I.Electricity.P3Y2C3,17)="","",INDEX(I.Electricity.P3Y2C3,17))</f>
        <v/>
      </c>
      <c r="G2077" s="25"/>
      <c r="H2077" s="1" t="str">
        <f t="shared" si="80"/>
        <v>Complete</v>
      </c>
      <c r="I2077" s="48" t="s">
        <v>1889</v>
      </c>
    </row>
    <row r="2078" spans="2:9" ht="15" customHeight="1" x14ac:dyDescent="0.25">
      <c r="B2078" s="26" t="s">
        <v>1267</v>
      </c>
      <c r="C2078" s="1">
        <v>18</v>
      </c>
      <c r="D2078" s="27" t="s">
        <v>3284</v>
      </c>
      <c r="E2078" s="25"/>
      <c r="F2078" s="25" t="str">
        <f>IF(INDEX(I.Electricity.P3Y2C3,18)="","",INDEX(I.Electricity.P3Y2C3,18))</f>
        <v/>
      </c>
      <c r="G2078" s="25"/>
      <c r="H2078" s="1" t="str">
        <f t="shared" si="80"/>
        <v>Complete</v>
      </c>
      <c r="I2078" s="48" t="s">
        <v>1890</v>
      </c>
    </row>
    <row r="2079" spans="2:9" ht="15" customHeight="1" x14ac:dyDescent="0.25">
      <c r="B2079" s="26" t="s">
        <v>1267</v>
      </c>
      <c r="C2079" s="1">
        <v>19</v>
      </c>
      <c r="D2079" s="27" t="s">
        <v>3284</v>
      </c>
      <c r="E2079" s="25"/>
      <c r="F2079" s="25" t="str">
        <f>IF(INDEX(I.Electricity.P3Y2C3,19)="","",INDEX(I.Electricity.P3Y2C3,19))</f>
        <v/>
      </c>
      <c r="G2079" s="25"/>
      <c r="H2079" s="1" t="str">
        <f t="shared" si="80"/>
        <v>Complete</v>
      </c>
      <c r="I2079" s="48" t="s">
        <v>1891</v>
      </c>
    </row>
    <row r="2080" spans="2:9" ht="15" customHeight="1" x14ac:dyDescent="0.25">
      <c r="B2080" s="26" t="s">
        <v>1267</v>
      </c>
      <c r="C2080" s="1">
        <v>20</v>
      </c>
      <c r="D2080" s="27" t="s">
        <v>3284</v>
      </c>
      <c r="E2080" s="25"/>
      <c r="F2080" s="25" t="str">
        <f>IF(INDEX(I.Electricity.P3Y2C3,20)="","",INDEX(I.Electricity.P3Y2C3,20))</f>
        <v/>
      </c>
      <c r="G2080" s="25"/>
      <c r="H2080" s="1" t="str">
        <f t="shared" si="80"/>
        <v>Complete</v>
      </c>
      <c r="I2080" s="48" t="s">
        <v>1892</v>
      </c>
    </row>
    <row r="2081" spans="2:9" ht="15" customHeight="1" x14ac:dyDescent="0.25">
      <c r="B2081" s="34" t="s">
        <v>1267</v>
      </c>
      <c r="C2081" s="35">
        <v>21</v>
      </c>
      <c r="D2081" s="46" t="s">
        <v>3284</v>
      </c>
      <c r="E2081" s="45"/>
      <c r="F2081" s="45" t="str">
        <f>IF(INDEX(I.Electricity.P3Y2C3,21)="","",INDEX(I.Electricity.P3Y2C3,21))</f>
        <v/>
      </c>
      <c r="G2081" s="45"/>
      <c r="H2081" s="35" t="str">
        <f t="shared" si="80"/>
        <v>Complete</v>
      </c>
      <c r="I2081" s="49" t="s">
        <v>1893</v>
      </c>
    </row>
    <row r="2082" spans="2:9" ht="15" customHeight="1" x14ac:dyDescent="0.25">
      <c r="B2082" s="26" t="s">
        <v>1268</v>
      </c>
      <c r="C2082" s="1">
        <v>1</v>
      </c>
      <c r="D2082" s="27" t="s">
        <v>3285</v>
      </c>
      <c r="E2082" s="25"/>
      <c r="F2082" s="25" t="str">
        <f>IF(INDEX(I.Electricity.P3Y3C3,1)="","",INDEX(I.Electricity.P3Y3C3,1))</f>
        <v/>
      </c>
      <c r="G2082" s="25"/>
      <c r="H2082" s="1" t="str">
        <f t="shared" ref="H2082:H2102" si="81">IF(AND(I.Facility.ProductCount&gt;=3,I.Product.P3Electricity="Yes",I.Developer.P3C3=TRUE,I.Product.P3Status&lt;&gt;"Yes",F2082=""),"Incomplete","Complete")</f>
        <v>Complete</v>
      </c>
      <c r="I2082" s="48" t="s">
        <v>1894</v>
      </c>
    </row>
    <row r="2083" spans="2:9" ht="15" customHeight="1" x14ac:dyDescent="0.25">
      <c r="B2083" s="26" t="s">
        <v>1268</v>
      </c>
      <c r="C2083" s="1">
        <v>2</v>
      </c>
      <c r="D2083" s="27" t="s">
        <v>3285</v>
      </c>
      <c r="E2083" s="25"/>
      <c r="F2083" s="25" t="str">
        <f>IF(INDEX(I.Electricity.P3Y3C3,2)="","",INDEX(I.Electricity.P3Y3C3,2))</f>
        <v/>
      </c>
      <c r="G2083" s="25"/>
      <c r="H2083" s="1" t="str">
        <f t="shared" si="81"/>
        <v>Complete</v>
      </c>
      <c r="I2083" s="48" t="s">
        <v>1895</v>
      </c>
    </row>
    <row r="2084" spans="2:9" ht="15" customHeight="1" x14ac:dyDescent="0.25">
      <c r="B2084" s="26" t="s">
        <v>1268</v>
      </c>
      <c r="C2084" s="1">
        <v>3</v>
      </c>
      <c r="D2084" s="27" t="s">
        <v>3285</v>
      </c>
      <c r="E2084" s="25"/>
      <c r="F2084" s="25" t="str">
        <f>IF(INDEX(I.Electricity.P3Y3C3,3)="","",INDEX(I.Electricity.P3Y3C3,3))</f>
        <v/>
      </c>
      <c r="G2084" s="25"/>
      <c r="H2084" s="1" t="str">
        <f t="shared" si="81"/>
        <v>Complete</v>
      </c>
      <c r="I2084" s="48" t="s">
        <v>1896</v>
      </c>
    </row>
    <row r="2085" spans="2:9" ht="15" customHeight="1" x14ac:dyDescent="0.25">
      <c r="B2085" s="26" t="s">
        <v>1268</v>
      </c>
      <c r="C2085" s="1">
        <v>4</v>
      </c>
      <c r="D2085" s="27" t="s">
        <v>3285</v>
      </c>
      <c r="E2085" s="25"/>
      <c r="F2085" s="25" t="str">
        <f>IF(INDEX(I.Electricity.P3Y3C3,4)="","",INDEX(I.Electricity.P3Y3C3,4))</f>
        <v/>
      </c>
      <c r="G2085" s="25"/>
      <c r="H2085" s="1" t="str">
        <f t="shared" si="81"/>
        <v>Complete</v>
      </c>
      <c r="I2085" s="48" t="s">
        <v>1897</v>
      </c>
    </row>
    <row r="2086" spans="2:9" ht="15" customHeight="1" x14ac:dyDescent="0.25">
      <c r="B2086" s="26" t="s">
        <v>1268</v>
      </c>
      <c r="C2086" s="1">
        <v>5</v>
      </c>
      <c r="D2086" s="27" t="s">
        <v>3285</v>
      </c>
      <c r="E2086" s="25"/>
      <c r="F2086" s="25" t="str">
        <f>IF(INDEX(I.Electricity.P3Y3C3,5)="","",INDEX(I.Electricity.P3Y3C3,5))</f>
        <v/>
      </c>
      <c r="G2086" s="25"/>
      <c r="H2086" s="1" t="str">
        <f t="shared" si="81"/>
        <v>Complete</v>
      </c>
      <c r="I2086" s="48" t="s">
        <v>1898</v>
      </c>
    </row>
    <row r="2087" spans="2:9" ht="15" customHeight="1" x14ac:dyDescent="0.25">
      <c r="B2087" s="26" t="s">
        <v>1268</v>
      </c>
      <c r="C2087" s="1">
        <v>6</v>
      </c>
      <c r="D2087" s="27" t="s">
        <v>3285</v>
      </c>
      <c r="E2087" s="25"/>
      <c r="F2087" s="25" t="str">
        <f>IF(INDEX(I.Electricity.P3Y3C3,6)="","",INDEX(I.Electricity.P3Y3C3,6))</f>
        <v/>
      </c>
      <c r="G2087" s="25"/>
      <c r="H2087" s="1" t="str">
        <f t="shared" si="81"/>
        <v>Complete</v>
      </c>
      <c r="I2087" s="48" t="s">
        <v>1899</v>
      </c>
    </row>
    <row r="2088" spans="2:9" ht="15" customHeight="1" x14ac:dyDescent="0.25">
      <c r="B2088" s="26" t="s">
        <v>1268</v>
      </c>
      <c r="C2088" s="1">
        <v>7</v>
      </c>
      <c r="D2088" s="27" t="s">
        <v>3285</v>
      </c>
      <c r="E2088" s="25"/>
      <c r="F2088" s="25" t="str">
        <f>IF(INDEX(I.Electricity.P3Y3C3,7)="","",INDEX(I.Electricity.P3Y3C3,7))</f>
        <v/>
      </c>
      <c r="G2088" s="25"/>
      <c r="H2088" s="1" t="str">
        <f t="shared" si="81"/>
        <v>Complete</v>
      </c>
      <c r="I2088" s="48" t="s">
        <v>1900</v>
      </c>
    </row>
    <row r="2089" spans="2:9" ht="15" customHeight="1" x14ac:dyDescent="0.25">
      <c r="B2089" s="26" t="s">
        <v>1268</v>
      </c>
      <c r="C2089" s="1">
        <v>8</v>
      </c>
      <c r="D2089" s="27" t="s">
        <v>3285</v>
      </c>
      <c r="E2089" s="25"/>
      <c r="F2089" s="25" t="str">
        <f>IF(INDEX(I.Electricity.P3Y3C3,8)="","",INDEX(I.Electricity.P3Y3C3,8))</f>
        <v/>
      </c>
      <c r="G2089" s="25"/>
      <c r="H2089" s="1" t="str">
        <f t="shared" si="81"/>
        <v>Complete</v>
      </c>
      <c r="I2089" s="48" t="s">
        <v>1901</v>
      </c>
    </row>
    <row r="2090" spans="2:9" ht="15" customHeight="1" x14ac:dyDescent="0.25">
      <c r="B2090" s="26" t="s">
        <v>1268</v>
      </c>
      <c r="C2090" s="1">
        <v>9</v>
      </c>
      <c r="D2090" s="27" t="s">
        <v>3285</v>
      </c>
      <c r="E2090" s="25"/>
      <c r="F2090" s="25" t="str">
        <f>IF(INDEX(I.Electricity.P3Y3C3,9)="","",INDEX(I.Electricity.P3Y3C3,9))</f>
        <v/>
      </c>
      <c r="G2090" s="25"/>
      <c r="H2090" s="1" t="str">
        <f t="shared" si="81"/>
        <v>Complete</v>
      </c>
      <c r="I2090" s="48" t="s">
        <v>1902</v>
      </c>
    </row>
    <row r="2091" spans="2:9" ht="15" customHeight="1" x14ac:dyDescent="0.25">
      <c r="B2091" s="26" t="s">
        <v>1268</v>
      </c>
      <c r="C2091" s="1">
        <v>10</v>
      </c>
      <c r="D2091" s="27" t="s">
        <v>3285</v>
      </c>
      <c r="E2091" s="25"/>
      <c r="F2091" s="25" t="str">
        <f>IF(INDEX(I.Electricity.P3Y3C3,10)="","",INDEX(I.Electricity.P3Y3C3,10))</f>
        <v/>
      </c>
      <c r="G2091" s="25"/>
      <c r="H2091" s="1" t="str">
        <f t="shared" si="81"/>
        <v>Complete</v>
      </c>
      <c r="I2091" s="48" t="s">
        <v>1903</v>
      </c>
    </row>
    <row r="2092" spans="2:9" ht="15" customHeight="1" x14ac:dyDescent="0.25">
      <c r="B2092" s="26" t="s">
        <v>1268</v>
      </c>
      <c r="C2092" s="1">
        <v>11</v>
      </c>
      <c r="D2092" s="27" t="s">
        <v>3285</v>
      </c>
      <c r="E2092" s="25"/>
      <c r="F2092" s="25" t="str">
        <f>IF(INDEX(I.Electricity.P3Y3C3,11)="","",INDEX(I.Electricity.P3Y3C3,11))</f>
        <v/>
      </c>
      <c r="G2092" s="25"/>
      <c r="H2092" s="1" t="str">
        <f t="shared" si="81"/>
        <v>Complete</v>
      </c>
      <c r="I2092" s="48" t="s">
        <v>1904</v>
      </c>
    </row>
    <row r="2093" spans="2:9" ht="15" customHeight="1" x14ac:dyDescent="0.25">
      <c r="B2093" s="26" t="s">
        <v>1268</v>
      </c>
      <c r="C2093" s="1">
        <v>12</v>
      </c>
      <c r="D2093" s="27" t="s">
        <v>3285</v>
      </c>
      <c r="E2093" s="25"/>
      <c r="F2093" s="25" t="str">
        <f>IF(INDEX(I.Electricity.P3Y3C3,12)="","",INDEX(I.Electricity.P3Y3C3,12))</f>
        <v/>
      </c>
      <c r="G2093" s="25"/>
      <c r="H2093" s="1" t="str">
        <f t="shared" si="81"/>
        <v>Complete</v>
      </c>
      <c r="I2093" s="48" t="s">
        <v>1905</v>
      </c>
    </row>
    <row r="2094" spans="2:9" ht="15" customHeight="1" x14ac:dyDescent="0.25">
      <c r="B2094" s="26" t="s">
        <v>1268</v>
      </c>
      <c r="C2094" s="1">
        <v>13</v>
      </c>
      <c r="D2094" s="27" t="s">
        <v>3285</v>
      </c>
      <c r="E2094" s="25"/>
      <c r="F2094" s="25" t="str">
        <f>IF(INDEX(I.Electricity.P3Y3C3,13)="","",INDEX(I.Electricity.P3Y3C3,13))</f>
        <v/>
      </c>
      <c r="G2094" s="25"/>
      <c r="H2094" s="1" t="str">
        <f t="shared" si="81"/>
        <v>Complete</v>
      </c>
      <c r="I2094" s="48" t="s">
        <v>1906</v>
      </c>
    </row>
    <row r="2095" spans="2:9" ht="15" customHeight="1" x14ac:dyDescent="0.25">
      <c r="B2095" s="26" t="s">
        <v>1268</v>
      </c>
      <c r="C2095" s="1">
        <v>14</v>
      </c>
      <c r="D2095" s="27" t="s">
        <v>3285</v>
      </c>
      <c r="E2095" s="25"/>
      <c r="F2095" s="25" t="str">
        <f>IF(INDEX(I.Electricity.P3Y3C3,14)="","",INDEX(I.Electricity.P3Y3C3,14))</f>
        <v/>
      </c>
      <c r="G2095" s="25"/>
      <c r="H2095" s="1" t="str">
        <f t="shared" si="81"/>
        <v>Complete</v>
      </c>
      <c r="I2095" s="48" t="s">
        <v>1907</v>
      </c>
    </row>
    <row r="2096" spans="2:9" ht="15" customHeight="1" x14ac:dyDescent="0.25">
      <c r="B2096" s="26" t="s">
        <v>1268</v>
      </c>
      <c r="C2096" s="1">
        <v>15</v>
      </c>
      <c r="D2096" s="27" t="s">
        <v>3285</v>
      </c>
      <c r="E2096" s="25"/>
      <c r="F2096" s="25" t="str">
        <f>IF(INDEX(I.Electricity.P3Y3C3,15)="","",INDEX(I.Electricity.P3Y3C3,15))</f>
        <v/>
      </c>
      <c r="G2096" s="25"/>
      <c r="H2096" s="1" t="str">
        <f t="shared" si="81"/>
        <v>Complete</v>
      </c>
      <c r="I2096" s="48" t="s">
        <v>1908</v>
      </c>
    </row>
    <row r="2097" spans="2:9" ht="15" customHeight="1" x14ac:dyDescent="0.25">
      <c r="B2097" s="26" t="s">
        <v>1268</v>
      </c>
      <c r="C2097" s="1">
        <v>16</v>
      </c>
      <c r="D2097" s="27" t="s">
        <v>3285</v>
      </c>
      <c r="E2097" s="25"/>
      <c r="F2097" s="25" t="str">
        <f>IF(INDEX(I.Electricity.P3Y3C3,16)="","",INDEX(I.Electricity.P3Y3C3,16))</f>
        <v/>
      </c>
      <c r="G2097" s="25"/>
      <c r="H2097" s="1" t="str">
        <f t="shared" si="81"/>
        <v>Complete</v>
      </c>
      <c r="I2097" s="48" t="s">
        <v>1909</v>
      </c>
    </row>
    <row r="2098" spans="2:9" ht="15" customHeight="1" x14ac:dyDescent="0.25">
      <c r="B2098" s="26" t="s">
        <v>1268</v>
      </c>
      <c r="C2098" s="1">
        <v>17</v>
      </c>
      <c r="D2098" s="27" t="s">
        <v>3285</v>
      </c>
      <c r="E2098" s="25"/>
      <c r="F2098" s="25" t="str">
        <f>IF(INDEX(I.Electricity.P3Y3C3,17)="","",INDEX(I.Electricity.P3Y3C3,17))</f>
        <v/>
      </c>
      <c r="G2098" s="25"/>
      <c r="H2098" s="1" t="str">
        <f t="shared" si="81"/>
        <v>Complete</v>
      </c>
      <c r="I2098" s="48" t="s">
        <v>1910</v>
      </c>
    </row>
    <row r="2099" spans="2:9" ht="15" customHeight="1" x14ac:dyDescent="0.25">
      <c r="B2099" s="26" t="s">
        <v>1268</v>
      </c>
      <c r="C2099" s="1">
        <v>18</v>
      </c>
      <c r="D2099" s="27" t="s">
        <v>3285</v>
      </c>
      <c r="E2099" s="25"/>
      <c r="F2099" s="25" t="str">
        <f>IF(INDEX(I.Electricity.P3Y3C3,18)="","",INDEX(I.Electricity.P3Y3C3,18))</f>
        <v/>
      </c>
      <c r="G2099" s="25"/>
      <c r="H2099" s="1" t="str">
        <f t="shared" si="81"/>
        <v>Complete</v>
      </c>
      <c r="I2099" s="48" t="s">
        <v>1911</v>
      </c>
    </row>
    <row r="2100" spans="2:9" ht="15" customHeight="1" x14ac:dyDescent="0.25">
      <c r="B2100" s="26" t="s">
        <v>1268</v>
      </c>
      <c r="C2100" s="1">
        <v>19</v>
      </c>
      <c r="D2100" s="27" t="s">
        <v>3285</v>
      </c>
      <c r="E2100" s="25"/>
      <c r="F2100" s="25" t="str">
        <f>IF(INDEX(I.Electricity.P3Y3C3,19)="","",INDEX(I.Electricity.P3Y3C3,19))</f>
        <v/>
      </c>
      <c r="G2100" s="25"/>
      <c r="H2100" s="1" t="str">
        <f t="shared" si="81"/>
        <v>Complete</v>
      </c>
      <c r="I2100" s="48" t="s">
        <v>1912</v>
      </c>
    </row>
    <row r="2101" spans="2:9" ht="15" customHeight="1" x14ac:dyDescent="0.25">
      <c r="B2101" s="26" t="s">
        <v>1268</v>
      </c>
      <c r="C2101" s="1">
        <v>20</v>
      </c>
      <c r="D2101" s="27" t="s">
        <v>3285</v>
      </c>
      <c r="E2101" s="25"/>
      <c r="F2101" s="25" t="str">
        <f>IF(INDEX(I.Electricity.P3Y3C3,20)="","",INDEX(I.Electricity.P3Y3C3,20))</f>
        <v/>
      </c>
      <c r="G2101" s="25"/>
      <c r="H2101" s="1" t="str">
        <f t="shared" si="81"/>
        <v>Complete</v>
      </c>
      <c r="I2101" s="48" t="s">
        <v>1913</v>
      </c>
    </row>
    <row r="2102" spans="2:9" ht="15" customHeight="1" x14ac:dyDescent="0.25">
      <c r="B2102" s="34" t="s">
        <v>1268</v>
      </c>
      <c r="C2102" s="35">
        <v>21</v>
      </c>
      <c r="D2102" s="46" t="s">
        <v>3285</v>
      </c>
      <c r="E2102" s="45"/>
      <c r="F2102" s="45" t="str">
        <f>IF(INDEX(I.Electricity.P3Y3C3,21)="","",INDEX(I.Electricity.P3Y3C3,21))</f>
        <v/>
      </c>
      <c r="G2102" s="45"/>
      <c r="H2102" s="35" t="str">
        <f t="shared" si="81"/>
        <v>Complete</v>
      </c>
      <c r="I2102" s="49" t="s">
        <v>1914</v>
      </c>
    </row>
    <row r="2103" spans="2:9" ht="15" customHeight="1" x14ac:dyDescent="0.25">
      <c r="B2103" s="26" t="s">
        <v>1269</v>
      </c>
      <c r="C2103" s="1">
        <v>1</v>
      </c>
      <c r="D2103" s="27" t="s">
        <v>3286</v>
      </c>
      <c r="E2103" s="25"/>
      <c r="F2103" s="25" t="str">
        <f>IF(INDEX(I.Electricity.P3Y1C4,1)="","",INDEX(I.Electricity.P3Y1C4,1))</f>
        <v/>
      </c>
      <c r="G2103" s="25"/>
      <c r="H2103" s="1" t="str">
        <f t="shared" ref="H2103:H2108" si="82">IF(AND(I.Facility.ProductCount&gt;=3,I.Product.P3Electricity="Yes",I.Developer.P3C4=TRUE,F2103=""),"Incomplete","Complete")</f>
        <v>Complete</v>
      </c>
      <c r="I2103" s="48" t="s">
        <v>1915</v>
      </c>
    </row>
    <row r="2104" spans="2:9" ht="15" customHeight="1" x14ac:dyDescent="0.25">
      <c r="B2104" s="26" t="s">
        <v>1269</v>
      </c>
      <c r="C2104" s="1">
        <v>2</v>
      </c>
      <c r="D2104" s="27" t="s">
        <v>3286</v>
      </c>
      <c r="E2104" s="25"/>
      <c r="F2104" s="25" t="str">
        <f>IF(INDEX(I.Electricity.P3Y1C4,2)="","",INDEX(I.Electricity.P3Y1C4,2))</f>
        <v/>
      </c>
      <c r="G2104" s="25"/>
      <c r="H2104" s="1" t="str">
        <f t="shared" si="82"/>
        <v>Complete</v>
      </c>
      <c r="I2104" s="48" t="s">
        <v>1916</v>
      </c>
    </row>
    <row r="2105" spans="2:9" ht="15" customHeight="1" x14ac:dyDescent="0.25">
      <c r="B2105" s="34" t="s">
        <v>1269</v>
      </c>
      <c r="C2105" s="35">
        <v>3</v>
      </c>
      <c r="D2105" s="46" t="s">
        <v>3286</v>
      </c>
      <c r="E2105" s="45"/>
      <c r="F2105" s="45" t="str">
        <f>IF(INDEX(I.Electricity.P3Y1C4,3)="","",INDEX(I.Electricity.P3Y1C4,3))</f>
        <v/>
      </c>
      <c r="G2105" s="45"/>
      <c r="H2105" s="35" t="str">
        <f t="shared" si="82"/>
        <v>Complete</v>
      </c>
      <c r="I2105" s="49" t="s">
        <v>1917</v>
      </c>
    </row>
    <row r="2106" spans="2:9" ht="15" customHeight="1" x14ac:dyDescent="0.25">
      <c r="B2106" s="26" t="s">
        <v>1270</v>
      </c>
      <c r="C2106" s="1">
        <v>1</v>
      </c>
      <c r="D2106" s="27" t="s">
        <v>3287</v>
      </c>
      <c r="E2106" s="25"/>
      <c r="F2106" s="25" t="str">
        <f>IF(INDEX(I.Electricity.P3Y2C4,1)="","",INDEX(I.Electricity.P3Y2C4,1))</f>
        <v/>
      </c>
      <c r="G2106" s="25"/>
      <c r="H2106" s="1" t="str">
        <f t="shared" si="82"/>
        <v>Complete</v>
      </c>
      <c r="I2106" s="48" t="s">
        <v>1918</v>
      </c>
    </row>
    <row r="2107" spans="2:9" ht="15" customHeight="1" x14ac:dyDescent="0.25">
      <c r="B2107" s="26" t="s">
        <v>1270</v>
      </c>
      <c r="C2107" s="1">
        <v>2</v>
      </c>
      <c r="D2107" s="27" t="s">
        <v>3287</v>
      </c>
      <c r="E2107" s="25"/>
      <c r="F2107" s="25" t="str">
        <f>IF(INDEX(I.Electricity.P3Y2C4,2)="","",INDEX(I.Electricity.P3Y2C4,2))</f>
        <v/>
      </c>
      <c r="G2107" s="25"/>
      <c r="H2107" s="1" t="str">
        <f t="shared" si="82"/>
        <v>Complete</v>
      </c>
      <c r="I2107" s="48" t="s">
        <v>1919</v>
      </c>
    </row>
    <row r="2108" spans="2:9" ht="15" customHeight="1" x14ac:dyDescent="0.25">
      <c r="B2108" s="34" t="s">
        <v>1270</v>
      </c>
      <c r="C2108" s="35">
        <v>3</v>
      </c>
      <c r="D2108" s="46" t="s">
        <v>3287</v>
      </c>
      <c r="E2108" s="45"/>
      <c r="F2108" s="45" t="str">
        <f>IF(INDEX(I.Electricity.P3Y2C4,3)="","",INDEX(I.Electricity.P3Y2C4,3))</f>
        <v/>
      </c>
      <c r="G2108" s="45"/>
      <c r="H2108" s="35" t="str">
        <f t="shared" si="82"/>
        <v>Complete</v>
      </c>
      <c r="I2108" s="49" t="s">
        <v>1920</v>
      </c>
    </row>
    <row r="2109" spans="2:9" ht="15" customHeight="1" x14ac:dyDescent="0.25">
      <c r="B2109" s="26" t="s">
        <v>1271</v>
      </c>
      <c r="C2109" s="1">
        <v>1</v>
      </c>
      <c r="D2109" s="27" t="s">
        <v>3288</v>
      </c>
      <c r="E2109" s="25"/>
      <c r="F2109" s="25" t="str">
        <f>IF(INDEX(I.Electricity.P3Y3C4,1)="","",INDEX(I.Electricity.P3Y3C4,1))</f>
        <v/>
      </c>
      <c r="G2109" s="25"/>
      <c r="H2109" s="1" t="str">
        <f>IF(AND(I.Facility.ProductCount&gt;=3,I.Product.P3Electricity="Yes",I.Developer.P3C4=TRUE,I.Product.P3Status&lt;&gt;"Yes",F2109=""),"Incomplete","Complete")</f>
        <v>Complete</v>
      </c>
      <c r="I2109" s="48" t="s">
        <v>1921</v>
      </c>
    </row>
    <row r="2110" spans="2:9" ht="15" customHeight="1" x14ac:dyDescent="0.25">
      <c r="B2110" s="26" t="s">
        <v>1271</v>
      </c>
      <c r="C2110" s="1">
        <v>2</v>
      </c>
      <c r="D2110" s="27" t="s">
        <v>3288</v>
      </c>
      <c r="E2110" s="25"/>
      <c r="F2110" s="25" t="str">
        <f>IF(INDEX(I.Electricity.P3Y3C4,2)="","",INDEX(I.Electricity.P3Y3C4,2))</f>
        <v/>
      </c>
      <c r="G2110" s="25"/>
      <c r="H2110" s="1" t="str">
        <f>IF(AND(I.Facility.ProductCount&gt;=3,I.Product.P3Electricity="Yes",I.Developer.P3C4=TRUE,I.Product.P3Status&lt;&gt;"Yes",F2110=""),"Incomplete","Complete")</f>
        <v>Complete</v>
      </c>
      <c r="I2110" s="48" t="s">
        <v>1922</v>
      </c>
    </row>
    <row r="2111" spans="2:9" ht="15" customHeight="1" x14ac:dyDescent="0.25">
      <c r="B2111" s="34" t="s">
        <v>1271</v>
      </c>
      <c r="C2111" s="35">
        <v>3</v>
      </c>
      <c r="D2111" s="46" t="s">
        <v>3288</v>
      </c>
      <c r="E2111" s="45"/>
      <c r="F2111" s="45" t="str">
        <f>IF(INDEX(I.Electricity.P3Y3C4,3)="","",INDEX(I.Electricity.P3Y3C4,3))</f>
        <v/>
      </c>
      <c r="G2111" s="45"/>
      <c r="H2111" s="35" t="str">
        <f>IF(AND(I.Facility.ProductCount&gt;=3,I.Product.P3Electricity="Yes",I.Developer.P3C4=TRUE,I.Product.P3Status&lt;&gt;"Yes",F2111=""),"Incomplete","Complete")</f>
        <v>Complete</v>
      </c>
      <c r="I2111" s="49" t="s">
        <v>1923</v>
      </c>
    </row>
    <row r="2112" spans="2:9" ht="15" customHeight="1" x14ac:dyDescent="0.25">
      <c r="B2112" s="26" t="s">
        <v>1272</v>
      </c>
      <c r="C2112" s="1">
        <v>1</v>
      </c>
      <c r="D2112" s="27" t="s">
        <v>3289</v>
      </c>
      <c r="E2112" s="25"/>
      <c r="F2112" s="25" t="str">
        <f>IF(INDEX(I.Electricity.P3Y1C5,1)="","",INDEX(I.Electricity.P3Y1C5,1))</f>
        <v/>
      </c>
      <c r="G2112" s="25"/>
      <c r="H2112" s="1" t="str">
        <f t="shared" ref="H2112:H2117" si="83">IF(AND(I.Facility.ProductCount&gt;=3,I.Product.P3Electricity="Yes",I.Developer.P3C5=TRUE,F2112=""),"Incomplete","Complete")</f>
        <v>Complete</v>
      </c>
      <c r="I2112" s="48" t="s">
        <v>1924</v>
      </c>
    </row>
    <row r="2113" spans="2:9" ht="15" customHeight="1" x14ac:dyDescent="0.25">
      <c r="B2113" s="26" t="s">
        <v>1272</v>
      </c>
      <c r="C2113" s="1">
        <v>2</v>
      </c>
      <c r="D2113" s="27" t="s">
        <v>3289</v>
      </c>
      <c r="E2113" s="25"/>
      <c r="F2113" s="25" t="str">
        <f>IF(INDEX(I.Electricity.P3Y1C5,2)="","",INDEX(I.Electricity.P3Y1C5,2))</f>
        <v/>
      </c>
      <c r="G2113" s="25"/>
      <c r="H2113" s="1" t="str">
        <f t="shared" si="83"/>
        <v>Complete</v>
      </c>
      <c r="I2113" s="48" t="s">
        <v>1925</v>
      </c>
    </row>
    <row r="2114" spans="2:9" ht="15" customHeight="1" x14ac:dyDescent="0.25">
      <c r="B2114" s="34" t="s">
        <v>1272</v>
      </c>
      <c r="C2114" s="35">
        <v>3</v>
      </c>
      <c r="D2114" s="46" t="s">
        <v>3289</v>
      </c>
      <c r="E2114" s="45"/>
      <c r="F2114" s="45" t="str">
        <f>IF(INDEX(I.Electricity.P3Y1C5,3)="","",INDEX(I.Electricity.P3Y1C5,3))</f>
        <v/>
      </c>
      <c r="G2114" s="45"/>
      <c r="H2114" s="35" t="str">
        <f t="shared" si="83"/>
        <v>Complete</v>
      </c>
      <c r="I2114" s="49" t="s">
        <v>1926</v>
      </c>
    </row>
    <row r="2115" spans="2:9" ht="15" customHeight="1" x14ac:dyDescent="0.25">
      <c r="B2115" s="26" t="s">
        <v>1273</v>
      </c>
      <c r="C2115" s="1">
        <v>1</v>
      </c>
      <c r="D2115" s="27" t="s">
        <v>3290</v>
      </c>
      <c r="E2115" s="25"/>
      <c r="F2115" s="25" t="str">
        <f>IF(INDEX(I.Electricity.P3Y2C5,1)="","",INDEX(I.Electricity.P3Y2C5,1))</f>
        <v/>
      </c>
      <c r="G2115" s="25"/>
      <c r="H2115" s="1" t="str">
        <f t="shared" si="83"/>
        <v>Complete</v>
      </c>
      <c r="I2115" s="48" t="s">
        <v>1927</v>
      </c>
    </row>
    <row r="2116" spans="2:9" ht="15" customHeight="1" x14ac:dyDescent="0.25">
      <c r="B2116" s="26" t="s">
        <v>1273</v>
      </c>
      <c r="C2116" s="1">
        <v>2</v>
      </c>
      <c r="D2116" s="27" t="s">
        <v>3290</v>
      </c>
      <c r="E2116" s="25"/>
      <c r="F2116" s="25" t="str">
        <f>IF(INDEX(I.Electricity.P3Y2C5,2)="","",INDEX(I.Electricity.P3Y2C5,2))</f>
        <v/>
      </c>
      <c r="G2116" s="25"/>
      <c r="H2116" s="1" t="str">
        <f t="shared" si="83"/>
        <v>Complete</v>
      </c>
      <c r="I2116" s="48" t="s">
        <v>1928</v>
      </c>
    </row>
    <row r="2117" spans="2:9" ht="15" customHeight="1" x14ac:dyDescent="0.25">
      <c r="B2117" s="34" t="s">
        <v>1273</v>
      </c>
      <c r="C2117" s="35">
        <v>3</v>
      </c>
      <c r="D2117" s="46" t="s">
        <v>3290</v>
      </c>
      <c r="E2117" s="45"/>
      <c r="F2117" s="45" t="str">
        <f>IF(INDEX(I.Electricity.P3Y2C5,3)="","",INDEX(I.Electricity.P3Y2C5,3))</f>
        <v/>
      </c>
      <c r="G2117" s="45"/>
      <c r="H2117" s="35" t="str">
        <f t="shared" si="83"/>
        <v>Complete</v>
      </c>
      <c r="I2117" s="49" t="s">
        <v>1929</v>
      </c>
    </row>
    <row r="2118" spans="2:9" ht="15" customHeight="1" x14ac:dyDescent="0.25">
      <c r="B2118" s="26" t="s">
        <v>1274</v>
      </c>
      <c r="C2118" s="1">
        <v>1</v>
      </c>
      <c r="D2118" s="27" t="s">
        <v>3291</v>
      </c>
      <c r="E2118" s="25"/>
      <c r="F2118" s="25" t="str">
        <f>IF(INDEX(I.Electricity.P3Y3C5,1)="","",INDEX(I.Electricity.P3Y3C5,1))</f>
        <v/>
      </c>
      <c r="G2118" s="25"/>
      <c r="H2118" s="1" t="str">
        <f>IF(AND(I.Facility.ProductCount&gt;=3,I.Product.P3Electricity="Yes",I.Developer.P3C5=TRUE,I.Product.P3Status&lt;&gt;"Yes",F2118=""),"Incomplete","Complete")</f>
        <v>Complete</v>
      </c>
      <c r="I2118" s="48" t="s">
        <v>1930</v>
      </c>
    </row>
    <row r="2119" spans="2:9" ht="15" customHeight="1" x14ac:dyDescent="0.25">
      <c r="B2119" s="26" t="s">
        <v>1274</v>
      </c>
      <c r="C2119" s="1">
        <v>2</v>
      </c>
      <c r="D2119" s="27" t="s">
        <v>3291</v>
      </c>
      <c r="E2119" s="25"/>
      <c r="F2119" s="25" t="str">
        <f>IF(INDEX(I.Electricity.P3Y3C5,2)="","",INDEX(I.Electricity.P3Y3C5,2))</f>
        <v/>
      </c>
      <c r="G2119" s="25"/>
      <c r="H2119" s="1" t="str">
        <f>IF(AND(I.Facility.ProductCount&gt;=3,I.Product.P3Electricity="Yes",I.Developer.P3C5=TRUE,I.Product.P3Status&lt;&gt;"Yes",F2119=""),"Incomplete","Complete")</f>
        <v>Complete</v>
      </c>
      <c r="I2119" s="48" t="s">
        <v>1931</v>
      </c>
    </row>
    <row r="2120" spans="2:9" ht="15" customHeight="1" x14ac:dyDescent="0.25">
      <c r="B2120" s="34" t="s">
        <v>1274</v>
      </c>
      <c r="C2120" s="35">
        <v>3</v>
      </c>
      <c r="D2120" s="46" t="s">
        <v>3291</v>
      </c>
      <c r="E2120" s="45"/>
      <c r="F2120" s="45" t="str">
        <f>IF(INDEX(I.Electricity.P3Y3C5,3)="","",INDEX(I.Electricity.P3Y3C5,3))</f>
        <v/>
      </c>
      <c r="G2120" s="45"/>
      <c r="H2120" s="35" t="str">
        <f>IF(AND(I.Facility.ProductCount&gt;=3,I.Product.P3Electricity="Yes",I.Developer.P3C5=TRUE,I.Product.P3Status&lt;&gt;"Yes",F2120=""),"Incomplete","Complete")</f>
        <v>Complete</v>
      </c>
      <c r="I2120" s="49" t="s">
        <v>1932</v>
      </c>
    </row>
    <row r="2121" spans="2:9" ht="15" customHeight="1" x14ac:dyDescent="0.25">
      <c r="B2121" s="26" t="s">
        <v>1275</v>
      </c>
      <c r="C2121" s="1">
        <v>1</v>
      </c>
      <c r="D2121" s="27" t="s">
        <v>3292</v>
      </c>
      <c r="E2121" s="25"/>
      <c r="F2121" s="25" t="str">
        <f>IF(INDEX(I.Electricity.P3Y1C6,1)="","",INDEX(I.Electricity.P3Y1C6,1))</f>
        <v/>
      </c>
      <c r="G2121" s="25"/>
      <c r="H2121" s="1" t="str">
        <f t="shared" ref="H2121:H2126" si="84">IF(AND(I.Facility.ProductCount&gt;=3,I.Product.P3Electricity="Yes",I.Developer.P3C6=TRUE,F2121=""),"Incomplete","Complete")</f>
        <v>Complete</v>
      </c>
      <c r="I2121" s="48" t="s">
        <v>1933</v>
      </c>
    </row>
    <row r="2122" spans="2:9" ht="15" customHeight="1" x14ac:dyDescent="0.25">
      <c r="B2122" s="26" t="s">
        <v>1275</v>
      </c>
      <c r="C2122" s="1">
        <v>2</v>
      </c>
      <c r="D2122" s="27" t="s">
        <v>3292</v>
      </c>
      <c r="E2122" s="25"/>
      <c r="F2122" s="25" t="str">
        <f>IF(INDEX(I.Electricity.P3Y1C6,2)="","",INDEX(I.Electricity.P3Y1C6,2))</f>
        <v/>
      </c>
      <c r="G2122" s="25"/>
      <c r="H2122" s="1" t="str">
        <f t="shared" si="84"/>
        <v>Complete</v>
      </c>
      <c r="I2122" s="48" t="s">
        <v>1934</v>
      </c>
    </row>
    <row r="2123" spans="2:9" ht="15" customHeight="1" x14ac:dyDescent="0.25">
      <c r="B2123" s="34" t="s">
        <v>1275</v>
      </c>
      <c r="C2123" s="35">
        <v>3</v>
      </c>
      <c r="D2123" s="46" t="s">
        <v>3292</v>
      </c>
      <c r="E2123" s="45"/>
      <c r="F2123" s="45" t="str">
        <f>IF(INDEX(I.Electricity.P3Y1C6,3)="","",INDEX(I.Electricity.P3Y1C6,3))</f>
        <v/>
      </c>
      <c r="G2123" s="45"/>
      <c r="H2123" s="35" t="str">
        <f t="shared" si="84"/>
        <v>Complete</v>
      </c>
      <c r="I2123" s="49" t="s">
        <v>1935</v>
      </c>
    </row>
    <row r="2124" spans="2:9" ht="15" customHeight="1" x14ac:dyDescent="0.25">
      <c r="B2124" s="26" t="s">
        <v>1276</v>
      </c>
      <c r="C2124" s="1">
        <v>1</v>
      </c>
      <c r="D2124" s="27" t="s">
        <v>3293</v>
      </c>
      <c r="E2124" s="25"/>
      <c r="F2124" s="25" t="str">
        <f>IF(INDEX(I.Electricity.P3Y2C6,1)="","",INDEX(I.Electricity.P3Y2C6,1))</f>
        <v/>
      </c>
      <c r="G2124" s="25"/>
      <c r="H2124" s="1" t="str">
        <f t="shared" si="84"/>
        <v>Complete</v>
      </c>
      <c r="I2124" s="48" t="s">
        <v>1936</v>
      </c>
    </row>
    <row r="2125" spans="2:9" ht="15" customHeight="1" x14ac:dyDescent="0.25">
      <c r="B2125" s="26" t="s">
        <v>1276</v>
      </c>
      <c r="C2125" s="1">
        <v>2</v>
      </c>
      <c r="D2125" s="27" t="s">
        <v>3293</v>
      </c>
      <c r="E2125" s="25"/>
      <c r="F2125" s="25" t="str">
        <f>IF(INDEX(I.Electricity.P3Y2C6,2)="","",INDEX(I.Electricity.P3Y2C6,2))</f>
        <v/>
      </c>
      <c r="G2125" s="25"/>
      <c r="H2125" s="1" t="str">
        <f t="shared" si="84"/>
        <v>Complete</v>
      </c>
      <c r="I2125" s="48" t="s">
        <v>1937</v>
      </c>
    </row>
    <row r="2126" spans="2:9" ht="15" customHeight="1" x14ac:dyDescent="0.25">
      <c r="B2126" s="34" t="s">
        <v>1276</v>
      </c>
      <c r="C2126" s="35">
        <v>3</v>
      </c>
      <c r="D2126" s="46" t="s">
        <v>3293</v>
      </c>
      <c r="E2126" s="45"/>
      <c r="F2126" s="45" t="str">
        <f>IF(INDEX(I.Electricity.P3Y2C6,3)="","",INDEX(I.Electricity.P3Y2C6,3))</f>
        <v/>
      </c>
      <c r="G2126" s="45"/>
      <c r="H2126" s="35" t="str">
        <f t="shared" si="84"/>
        <v>Complete</v>
      </c>
      <c r="I2126" s="49" t="s">
        <v>1938</v>
      </c>
    </row>
    <row r="2127" spans="2:9" ht="15" customHeight="1" x14ac:dyDescent="0.25">
      <c r="B2127" s="26" t="s">
        <v>1277</v>
      </c>
      <c r="C2127" s="1">
        <v>1</v>
      </c>
      <c r="D2127" s="27" t="s">
        <v>3294</v>
      </c>
      <c r="E2127" s="25"/>
      <c r="F2127" s="25" t="str">
        <f>IF(INDEX(I.Electricity.P3Y3C6,1)="","",INDEX(I.Electricity.P3Y3C6,1))</f>
        <v/>
      </c>
      <c r="G2127" s="25"/>
      <c r="H2127" s="1" t="str">
        <f>IF(AND(I.Facility.ProductCount&gt;=3,I.Product.P3Electricity="Yes",I.Developer.P3C6=TRUE,I.Product.P3Status&lt;&gt;"Yes",F2127=""),"Incomplete","Complete")</f>
        <v>Complete</v>
      </c>
      <c r="I2127" s="48" t="s">
        <v>1939</v>
      </c>
    </row>
    <row r="2128" spans="2:9" ht="15" customHeight="1" x14ac:dyDescent="0.25">
      <c r="B2128" s="26" t="s">
        <v>1277</v>
      </c>
      <c r="C2128" s="1">
        <v>2</v>
      </c>
      <c r="D2128" s="27" t="s">
        <v>3294</v>
      </c>
      <c r="E2128" s="25"/>
      <c r="F2128" s="25" t="str">
        <f>IF(INDEX(I.Electricity.P3Y3C6,2)="","",INDEX(I.Electricity.P3Y3C6,2))</f>
        <v/>
      </c>
      <c r="G2128" s="25"/>
      <c r="H2128" s="1" t="str">
        <f>IF(AND(I.Facility.ProductCount&gt;=3,I.Product.P3Electricity="Yes",I.Developer.P3C6=TRUE,I.Product.P3Status&lt;&gt;"Yes",F2128=""),"Incomplete","Complete")</f>
        <v>Complete</v>
      </c>
      <c r="I2128" s="48" t="s">
        <v>1940</v>
      </c>
    </row>
    <row r="2129" spans="2:9" ht="15" customHeight="1" x14ac:dyDescent="0.25">
      <c r="B2129" s="34" t="s">
        <v>1277</v>
      </c>
      <c r="C2129" s="35">
        <v>3</v>
      </c>
      <c r="D2129" s="46" t="s">
        <v>3294</v>
      </c>
      <c r="E2129" s="45"/>
      <c r="F2129" s="45" t="str">
        <f>IF(INDEX(I.Electricity.P3Y3C6,3)="","",INDEX(I.Electricity.P3Y3C6,3))</f>
        <v/>
      </c>
      <c r="G2129" s="45"/>
      <c r="H2129" s="35" t="str">
        <f>IF(AND(I.Facility.ProductCount&gt;=3,I.Product.P3Electricity="Yes",I.Developer.P3C6=TRUE,I.Product.P3Status&lt;&gt;"Yes",F2129=""),"Incomplete","Complete")</f>
        <v>Complete</v>
      </c>
      <c r="I2129" s="49" t="s">
        <v>1941</v>
      </c>
    </row>
    <row r="2130" spans="2:9" ht="15" customHeight="1" x14ac:dyDescent="0.25">
      <c r="B2130" s="26" t="s">
        <v>1278</v>
      </c>
      <c r="C2130" s="1">
        <v>1</v>
      </c>
      <c r="D2130" s="27" t="s">
        <v>3295</v>
      </c>
      <c r="E2130" s="25"/>
      <c r="F2130" s="25" t="str">
        <f>IF(INDEX(I.Electricity.P3Y1C7,1)="","",INDEX(I.Electricity.P3Y1C7,1))</f>
        <v/>
      </c>
      <c r="G2130" s="25"/>
      <c r="H2130" s="1" t="str">
        <f t="shared" ref="H2130:H2135" si="85">IF(AND(I.Facility.ProductCount&gt;=3,I.Product.P3Electricity="Yes",I.Developer.P3C7=TRUE,F2130=""),"Incomplete","Complete")</f>
        <v>Complete</v>
      </c>
      <c r="I2130" s="48" t="s">
        <v>1942</v>
      </c>
    </row>
    <row r="2131" spans="2:9" ht="15" customHeight="1" x14ac:dyDescent="0.25">
      <c r="B2131" s="26" t="s">
        <v>1278</v>
      </c>
      <c r="C2131" s="1">
        <v>2</v>
      </c>
      <c r="D2131" s="27" t="s">
        <v>3295</v>
      </c>
      <c r="E2131" s="25"/>
      <c r="F2131" s="25" t="str">
        <f>IF(INDEX(I.Electricity.P3Y1C7,2)="","",INDEX(I.Electricity.P3Y1C7,2))</f>
        <v/>
      </c>
      <c r="G2131" s="25"/>
      <c r="H2131" s="1" t="str">
        <f t="shared" si="85"/>
        <v>Complete</v>
      </c>
      <c r="I2131" s="48" t="s">
        <v>1943</v>
      </c>
    </row>
    <row r="2132" spans="2:9" ht="15" customHeight="1" x14ac:dyDescent="0.25">
      <c r="B2132" s="34" t="s">
        <v>1278</v>
      </c>
      <c r="C2132" s="35">
        <v>3</v>
      </c>
      <c r="D2132" s="46" t="s">
        <v>3295</v>
      </c>
      <c r="E2132" s="45"/>
      <c r="F2132" s="45" t="str">
        <f>IF(INDEX(I.Electricity.P3Y1C7,3)="","",INDEX(I.Electricity.P3Y1C7,3))</f>
        <v/>
      </c>
      <c r="G2132" s="45"/>
      <c r="H2132" s="35" t="str">
        <f t="shared" si="85"/>
        <v>Complete</v>
      </c>
      <c r="I2132" s="49" t="s">
        <v>1944</v>
      </c>
    </row>
    <row r="2133" spans="2:9" ht="15" customHeight="1" x14ac:dyDescent="0.25">
      <c r="B2133" s="26" t="s">
        <v>1279</v>
      </c>
      <c r="C2133" s="1">
        <v>1</v>
      </c>
      <c r="D2133" s="27" t="s">
        <v>3296</v>
      </c>
      <c r="E2133" s="25"/>
      <c r="F2133" s="25" t="str">
        <f>IF(INDEX(I.Electricity.P3Y2C7,1)="","",INDEX(I.Electricity.P3Y2C7,1))</f>
        <v/>
      </c>
      <c r="G2133" s="25"/>
      <c r="H2133" s="1" t="str">
        <f t="shared" si="85"/>
        <v>Complete</v>
      </c>
      <c r="I2133" s="48" t="s">
        <v>1945</v>
      </c>
    </row>
    <row r="2134" spans="2:9" ht="15" customHeight="1" x14ac:dyDescent="0.25">
      <c r="B2134" s="26" t="s">
        <v>1279</v>
      </c>
      <c r="C2134" s="1">
        <v>2</v>
      </c>
      <c r="D2134" s="27" t="s">
        <v>3296</v>
      </c>
      <c r="E2134" s="25"/>
      <c r="F2134" s="25" t="str">
        <f>IF(INDEX(I.Electricity.P3Y2C7,2)="","",INDEX(I.Electricity.P3Y2C7,2))</f>
        <v/>
      </c>
      <c r="G2134" s="25"/>
      <c r="H2134" s="1" t="str">
        <f t="shared" si="85"/>
        <v>Complete</v>
      </c>
      <c r="I2134" s="48" t="s">
        <v>1946</v>
      </c>
    </row>
    <row r="2135" spans="2:9" ht="15" customHeight="1" x14ac:dyDescent="0.25">
      <c r="B2135" s="34" t="s">
        <v>1279</v>
      </c>
      <c r="C2135" s="35">
        <v>3</v>
      </c>
      <c r="D2135" s="46" t="s">
        <v>3296</v>
      </c>
      <c r="E2135" s="45"/>
      <c r="F2135" s="45" t="str">
        <f>IF(INDEX(I.Electricity.P3Y2C7,3)="","",INDEX(I.Electricity.P3Y2C7,3))</f>
        <v/>
      </c>
      <c r="G2135" s="45"/>
      <c r="H2135" s="35" t="str">
        <f t="shared" si="85"/>
        <v>Complete</v>
      </c>
      <c r="I2135" s="49" t="s">
        <v>1947</v>
      </c>
    </row>
    <row r="2136" spans="2:9" ht="15" customHeight="1" x14ac:dyDescent="0.25">
      <c r="B2136" s="26" t="s">
        <v>1280</v>
      </c>
      <c r="C2136" s="1">
        <v>1</v>
      </c>
      <c r="D2136" s="27" t="s">
        <v>3297</v>
      </c>
      <c r="E2136" s="25"/>
      <c r="F2136" s="25" t="str">
        <f>IF(INDEX(I.Electricity.P3Y3C7,1)="","",INDEX(I.Electricity.P3Y3C7,1))</f>
        <v/>
      </c>
      <c r="G2136" s="25"/>
      <c r="H2136" s="1" t="str">
        <f>IF(AND(I.Facility.ProductCount&gt;=3,I.Product.P3Electricity="Yes",I.Developer.P3C7=TRUE,I.Product.P3Status&lt;&gt;"Yes",F2136=""),"Incomplete","Complete")</f>
        <v>Complete</v>
      </c>
      <c r="I2136" s="48" t="s">
        <v>1948</v>
      </c>
    </row>
    <row r="2137" spans="2:9" ht="15" customHeight="1" x14ac:dyDescent="0.25">
      <c r="B2137" s="26" t="s">
        <v>1280</v>
      </c>
      <c r="C2137" s="1">
        <v>2</v>
      </c>
      <c r="D2137" s="27" t="s">
        <v>3297</v>
      </c>
      <c r="E2137" s="25"/>
      <c r="F2137" s="25" t="str">
        <f>IF(INDEX(I.Electricity.P3Y3C7,2)="","",INDEX(I.Electricity.P3Y3C7,2))</f>
        <v/>
      </c>
      <c r="G2137" s="25"/>
      <c r="H2137" s="1" t="str">
        <f>IF(AND(I.Facility.ProductCount&gt;=3,I.Product.P3Electricity="Yes",I.Developer.P3C7=TRUE,I.Product.P3Status&lt;&gt;"Yes",F2137=""),"Incomplete","Complete")</f>
        <v>Complete</v>
      </c>
      <c r="I2137" s="48" t="s">
        <v>1949</v>
      </c>
    </row>
    <row r="2138" spans="2:9" ht="15" customHeight="1" x14ac:dyDescent="0.25">
      <c r="B2138" s="34" t="s">
        <v>1280</v>
      </c>
      <c r="C2138" s="35">
        <v>3</v>
      </c>
      <c r="D2138" s="46" t="s">
        <v>3297</v>
      </c>
      <c r="E2138" s="45"/>
      <c r="F2138" s="45" t="str">
        <f>IF(INDEX(I.Electricity.P3Y3C7,3)="","",INDEX(I.Electricity.P3Y3C7,3))</f>
        <v/>
      </c>
      <c r="G2138" s="45"/>
      <c r="H2138" s="35" t="str">
        <f>IF(AND(I.Facility.ProductCount&gt;=3,I.Product.P3Electricity="Yes",I.Developer.P3C7=TRUE,I.Product.P3Status&lt;&gt;"Yes",F2138=""),"Incomplete","Complete")</f>
        <v>Complete</v>
      </c>
      <c r="I2138" s="49" t="s">
        <v>1950</v>
      </c>
    </row>
    <row r="2139" spans="2:9" ht="15" customHeight="1" x14ac:dyDescent="0.25">
      <c r="B2139" s="26" t="s">
        <v>1281</v>
      </c>
      <c r="C2139" s="1">
        <v>1</v>
      </c>
      <c r="D2139" s="27" t="s">
        <v>3298</v>
      </c>
      <c r="E2139" s="25"/>
      <c r="F2139" s="25" t="str">
        <f>IF(INDEX(I.Electricity.P3Y1C8,1)="","",INDEX(I.Electricity.P3Y1C8,1))</f>
        <v/>
      </c>
      <c r="G2139" s="25"/>
      <c r="H2139" s="1" t="str">
        <f t="shared" ref="H2139:H2144" si="86">IF(AND(I.Facility.ProductCount&gt;=3,I.Product.P3Electricity="Yes",I.Developer.P3C8=TRUE,F2139=""),"Incomplete","Complete")</f>
        <v>Complete</v>
      </c>
      <c r="I2139" s="48" t="s">
        <v>1951</v>
      </c>
    </row>
    <row r="2140" spans="2:9" ht="15" customHeight="1" x14ac:dyDescent="0.25">
      <c r="B2140" s="26" t="s">
        <v>1281</v>
      </c>
      <c r="C2140" s="1">
        <v>2</v>
      </c>
      <c r="D2140" s="27" t="s">
        <v>3298</v>
      </c>
      <c r="E2140" s="25"/>
      <c r="F2140" s="25" t="str">
        <f>IF(INDEX(I.Electricity.P3Y1C8,2)="","",INDEX(I.Electricity.P3Y1C8,2))</f>
        <v/>
      </c>
      <c r="G2140" s="25"/>
      <c r="H2140" s="1" t="str">
        <f t="shared" si="86"/>
        <v>Complete</v>
      </c>
      <c r="I2140" s="48" t="s">
        <v>1952</v>
      </c>
    </row>
    <row r="2141" spans="2:9" ht="15" customHeight="1" x14ac:dyDescent="0.25">
      <c r="B2141" s="34" t="s">
        <v>1281</v>
      </c>
      <c r="C2141" s="35">
        <v>3</v>
      </c>
      <c r="D2141" s="46" t="s">
        <v>3298</v>
      </c>
      <c r="E2141" s="45"/>
      <c r="F2141" s="45" t="str">
        <f>IF(INDEX(I.Electricity.P3Y1C8,3)="","",INDEX(I.Electricity.P3Y1C8,3))</f>
        <v/>
      </c>
      <c r="G2141" s="45"/>
      <c r="H2141" s="35" t="str">
        <f t="shared" si="86"/>
        <v>Complete</v>
      </c>
      <c r="I2141" s="49" t="s">
        <v>1953</v>
      </c>
    </row>
    <row r="2142" spans="2:9" ht="15" customHeight="1" x14ac:dyDescent="0.25">
      <c r="B2142" s="26" t="s">
        <v>1282</v>
      </c>
      <c r="C2142" s="1">
        <v>1</v>
      </c>
      <c r="D2142" s="27" t="s">
        <v>3299</v>
      </c>
      <c r="E2142" s="25"/>
      <c r="F2142" s="25" t="str">
        <f>IF(INDEX(I.Electricity.P3Y2C8,1)="","",INDEX(I.Electricity.P3Y2C8,1))</f>
        <v/>
      </c>
      <c r="G2142" s="25"/>
      <c r="H2142" s="1" t="str">
        <f t="shared" si="86"/>
        <v>Complete</v>
      </c>
      <c r="I2142" s="48" t="s">
        <v>1954</v>
      </c>
    </row>
    <row r="2143" spans="2:9" ht="15" customHeight="1" x14ac:dyDescent="0.25">
      <c r="B2143" s="26" t="s">
        <v>1282</v>
      </c>
      <c r="C2143" s="1">
        <v>2</v>
      </c>
      <c r="D2143" s="27" t="s">
        <v>3299</v>
      </c>
      <c r="E2143" s="25"/>
      <c r="F2143" s="25" t="str">
        <f>IF(INDEX(I.Electricity.P3Y2C8,2)="","",INDEX(I.Electricity.P3Y2C8,2))</f>
        <v/>
      </c>
      <c r="G2143" s="25"/>
      <c r="H2143" s="1" t="str">
        <f t="shared" si="86"/>
        <v>Complete</v>
      </c>
      <c r="I2143" s="48" t="s">
        <v>1955</v>
      </c>
    </row>
    <row r="2144" spans="2:9" ht="15" customHeight="1" x14ac:dyDescent="0.25">
      <c r="B2144" s="34" t="s">
        <v>1282</v>
      </c>
      <c r="C2144" s="35">
        <v>3</v>
      </c>
      <c r="D2144" s="46" t="s">
        <v>3299</v>
      </c>
      <c r="E2144" s="45"/>
      <c r="F2144" s="45" t="str">
        <f>IF(INDEX(I.Electricity.P3Y2C8,3)="","",INDEX(I.Electricity.P3Y2C8,3))</f>
        <v/>
      </c>
      <c r="G2144" s="45"/>
      <c r="H2144" s="35" t="str">
        <f t="shared" si="86"/>
        <v>Complete</v>
      </c>
      <c r="I2144" s="49" t="s">
        <v>1956</v>
      </c>
    </row>
    <row r="2145" spans="2:9" ht="15" customHeight="1" x14ac:dyDescent="0.25">
      <c r="B2145" s="26" t="s">
        <v>1283</v>
      </c>
      <c r="C2145" s="1">
        <v>1</v>
      </c>
      <c r="D2145" s="27" t="s">
        <v>3300</v>
      </c>
      <c r="E2145" s="25"/>
      <c r="F2145" s="25" t="str">
        <f>IF(INDEX(I.Electricity.P3Y3C8,1)="","",INDEX(I.Electricity.P3Y3C8,1))</f>
        <v/>
      </c>
      <c r="G2145" s="25"/>
      <c r="H2145" s="1" t="str">
        <f>IF(AND(I.Facility.ProductCount&gt;=3,I.Product.P3Electricity="Yes",I.Developer.P3C8=TRUE,I.Product.P3Status&lt;&gt;"Yes",F2145=""),"Incomplete","Complete")</f>
        <v>Complete</v>
      </c>
      <c r="I2145" s="48" t="s">
        <v>1957</v>
      </c>
    </row>
    <row r="2146" spans="2:9" ht="15" customHeight="1" x14ac:dyDescent="0.25">
      <c r="B2146" s="26" t="s">
        <v>1283</v>
      </c>
      <c r="C2146" s="1">
        <v>2</v>
      </c>
      <c r="D2146" s="27" t="s">
        <v>3300</v>
      </c>
      <c r="E2146" s="25"/>
      <c r="F2146" s="25" t="str">
        <f>IF(INDEX(I.Electricity.P3Y3C8,2)="","",INDEX(I.Electricity.P3Y3C8,2))</f>
        <v/>
      </c>
      <c r="G2146" s="25"/>
      <c r="H2146" s="1" t="str">
        <f>IF(AND(I.Facility.ProductCount&gt;=3,I.Product.P3Electricity="Yes",I.Developer.P3C8=TRUE,I.Product.P3Status&lt;&gt;"Yes",F2146=""),"Incomplete","Complete")</f>
        <v>Complete</v>
      </c>
      <c r="I2146" s="48" t="s">
        <v>1958</v>
      </c>
    </row>
    <row r="2147" spans="2:9" ht="15" customHeight="1" x14ac:dyDescent="0.25">
      <c r="B2147" s="34" t="s">
        <v>1283</v>
      </c>
      <c r="C2147" s="35">
        <v>3</v>
      </c>
      <c r="D2147" s="46" t="s">
        <v>3300</v>
      </c>
      <c r="E2147" s="45"/>
      <c r="F2147" s="45" t="str">
        <f>IF(INDEX(I.Electricity.P3Y3C8,3)="","",INDEX(I.Electricity.P3Y3C8,3))</f>
        <v/>
      </c>
      <c r="G2147" s="45"/>
      <c r="H2147" s="35" t="str">
        <f>IF(AND(I.Facility.ProductCount&gt;=3,I.Product.P3Electricity="Yes",I.Developer.P3C8=TRUE,I.Product.P3Status&lt;&gt;"Yes",F2147=""),"Incomplete","Complete")</f>
        <v>Complete</v>
      </c>
      <c r="I2147" s="49" t="s">
        <v>1959</v>
      </c>
    </row>
    <row r="2148" spans="2:9" ht="15" customHeight="1" x14ac:dyDescent="0.25">
      <c r="B2148" s="26" t="s">
        <v>1284</v>
      </c>
      <c r="C2148" s="1">
        <v>1</v>
      </c>
      <c r="D2148" s="27" t="s">
        <v>3301</v>
      </c>
      <c r="E2148" s="25"/>
      <c r="F2148" s="25" t="str">
        <f>IF(INDEX(I.Electricity.P3Y1C9,1)="","",INDEX(I.Electricity.P3Y1C9,1))</f>
        <v/>
      </c>
      <c r="G2148" s="25"/>
      <c r="H2148" s="1" t="str">
        <f t="shared" ref="H2148:H2153" si="87">IF(AND(I.Facility.ProductCount&gt;=3,I.Product.P3Electricity="Yes",I.Developer.P3C9=TRUE,F2148=""),"Incomplete","Complete")</f>
        <v>Complete</v>
      </c>
      <c r="I2148" s="48" t="s">
        <v>1960</v>
      </c>
    </row>
    <row r="2149" spans="2:9" ht="15" customHeight="1" x14ac:dyDescent="0.25">
      <c r="B2149" s="26" t="s">
        <v>1284</v>
      </c>
      <c r="C2149" s="1">
        <v>2</v>
      </c>
      <c r="D2149" s="27" t="s">
        <v>3301</v>
      </c>
      <c r="E2149" s="25"/>
      <c r="F2149" s="25" t="str">
        <f>IF(INDEX(I.Electricity.P3Y1C9,2)="","",INDEX(I.Electricity.P3Y1C9,2))</f>
        <v/>
      </c>
      <c r="G2149" s="25"/>
      <c r="H2149" s="1" t="str">
        <f t="shared" si="87"/>
        <v>Complete</v>
      </c>
      <c r="I2149" s="48" t="s">
        <v>1961</v>
      </c>
    </row>
    <row r="2150" spans="2:9" ht="15" customHeight="1" x14ac:dyDescent="0.25">
      <c r="B2150" s="34" t="s">
        <v>1284</v>
      </c>
      <c r="C2150" s="35">
        <v>3</v>
      </c>
      <c r="D2150" s="46" t="s">
        <v>3301</v>
      </c>
      <c r="E2150" s="45"/>
      <c r="F2150" s="45" t="str">
        <f>IF(INDEX(I.Electricity.P3Y1C9,3)="","",INDEX(I.Electricity.P3Y1C9,3))</f>
        <v/>
      </c>
      <c r="G2150" s="45"/>
      <c r="H2150" s="35" t="str">
        <f t="shared" si="87"/>
        <v>Complete</v>
      </c>
      <c r="I2150" s="49" t="s">
        <v>1962</v>
      </c>
    </row>
    <row r="2151" spans="2:9" ht="15" customHeight="1" x14ac:dyDescent="0.25">
      <c r="B2151" s="26" t="s">
        <v>1285</v>
      </c>
      <c r="C2151" s="1">
        <v>1</v>
      </c>
      <c r="D2151" s="27" t="s">
        <v>3302</v>
      </c>
      <c r="E2151" s="25"/>
      <c r="F2151" s="25" t="str">
        <f>IF(INDEX(I.Electricity.P3Y2C9,1)="","",INDEX(I.Electricity.P3Y2C9,1))</f>
        <v/>
      </c>
      <c r="G2151" s="25"/>
      <c r="H2151" s="1" t="str">
        <f t="shared" si="87"/>
        <v>Complete</v>
      </c>
      <c r="I2151" s="48" t="s">
        <v>1963</v>
      </c>
    </row>
    <row r="2152" spans="2:9" ht="15" customHeight="1" x14ac:dyDescent="0.25">
      <c r="B2152" s="26" t="s">
        <v>1285</v>
      </c>
      <c r="C2152" s="1">
        <v>2</v>
      </c>
      <c r="D2152" s="27" t="s">
        <v>3302</v>
      </c>
      <c r="E2152" s="25"/>
      <c r="F2152" s="25" t="str">
        <f>IF(INDEX(I.Electricity.P3Y2C9,2)="","",INDEX(I.Electricity.P3Y2C9,2))</f>
        <v/>
      </c>
      <c r="G2152" s="25"/>
      <c r="H2152" s="1" t="str">
        <f t="shared" si="87"/>
        <v>Complete</v>
      </c>
      <c r="I2152" s="48" t="s">
        <v>1964</v>
      </c>
    </row>
    <row r="2153" spans="2:9" ht="15" customHeight="1" x14ac:dyDescent="0.25">
      <c r="B2153" s="34" t="s">
        <v>1285</v>
      </c>
      <c r="C2153" s="35">
        <v>3</v>
      </c>
      <c r="D2153" s="46" t="s">
        <v>3302</v>
      </c>
      <c r="E2153" s="45"/>
      <c r="F2153" s="45" t="str">
        <f>IF(INDEX(I.Electricity.P3Y2C9,3)="","",INDEX(I.Electricity.P3Y2C9,3))</f>
        <v/>
      </c>
      <c r="G2153" s="45"/>
      <c r="H2153" s="35" t="str">
        <f t="shared" si="87"/>
        <v>Complete</v>
      </c>
      <c r="I2153" s="49" t="s">
        <v>1965</v>
      </c>
    </row>
    <row r="2154" spans="2:9" ht="15" customHeight="1" x14ac:dyDescent="0.25">
      <c r="B2154" s="26" t="s">
        <v>1286</v>
      </c>
      <c r="C2154" s="1">
        <v>1</v>
      </c>
      <c r="D2154" s="27" t="s">
        <v>3303</v>
      </c>
      <c r="E2154" s="25"/>
      <c r="F2154" s="25" t="str">
        <f>IF(INDEX(I.Electricity.P3Y3C9,1)="","",INDEX(I.Electricity.P3Y3C9,1))</f>
        <v/>
      </c>
      <c r="G2154" s="25"/>
      <c r="H2154" s="1" t="str">
        <f>IF(AND(I.Facility.ProductCount&gt;=3,I.Product.P3Electricity="Yes",I.Developer.P3C9=TRUE,I.Product.P3Status&lt;&gt;"Yes",F2154=""),"Incomplete","Complete")</f>
        <v>Complete</v>
      </c>
      <c r="I2154" s="48" t="s">
        <v>1966</v>
      </c>
    </row>
    <row r="2155" spans="2:9" ht="15" customHeight="1" x14ac:dyDescent="0.25">
      <c r="B2155" s="26" t="s">
        <v>1286</v>
      </c>
      <c r="C2155" s="1">
        <v>2</v>
      </c>
      <c r="D2155" s="27" t="s">
        <v>3303</v>
      </c>
      <c r="E2155" s="25"/>
      <c r="F2155" s="25" t="str">
        <f>IF(INDEX(I.Electricity.P3Y3C9,2)="","",INDEX(I.Electricity.P3Y3C9,2))</f>
        <v/>
      </c>
      <c r="G2155" s="25"/>
      <c r="H2155" s="1" t="str">
        <f>IF(AND(I.Facility.ProductCount&gt;=3,I.Product.P3Electricity="Yes",I.Developer.P3C9=TRUE,I.Product.P3Status&lt;&gt;"Yes",F2155=""),"Incomplete","Complete")</f>
        <v>Complete</v>
      </c>
      <c r="I2155" s="48" t="s">
        <v>1967</v>
      </c>
    </row>
    <row r="2156" spans="2:9" ht="15" customHeight="1" x14ac:dyDescent="0.25">
      <c r="B2156" s="34" t="s">
        <v>1286</v>
      </c>
      <c r="C2156" s="35">
        <v>3</v>
      </c>
      <c r="D2156" s="46" t="s">
        <v>3303</v>
      </c>
      <c r="E2156" s="45"/>
      <c r="F2156" s="45" t="str">
        <f>IF(INDEX(I.Electricity.P3Y3C9,3)="","",INDEX(I.Electricity.P3Y3C9,3))</f>
        <v/>
      </c>
      <c r="G2156" s="45"/>
      <c r="H2156" s="35" t="str">
        <f>IF(AND(I.Facility.ProductCount&gt;=3,I.Product.P3Electricity="Yes",I.Developer.P3C9=TRUE,I.Product.P3Status&lt;&gt;"Yes",F2156=""),"Incomplete","Complete")</f>
        <v>Complete</v>
      </c>
      <c r="I2156" s="49" t="s">
        <v>1968</v>
      </c>
    </row>
    <row r="2157" spans="2:9" ht="15" customHeight="1" x14ac:dyDescent="0.25">
      <c r="B2157" s="26" t="s">
        <v>1287</v>
      </c>
      <c r="C2157" s="1">
        <v>1</v>
      </c>
      <c r="D2157" s="27" t="s">
        <v>3304</v>
      </c>
      <c r="E2157" s="25"/>
      <c r="F2157" s="25" t="str">
        <f>IF(INDEX(I.Electricity.P4Y1C1,1)="","",INDEX(I.Electricity.P4Y1C1,1))</f>
        <v/>
      </c>
      <c r="G2157" s="25"/>
      <c r="H2157" s="1" t="str">
        <f t="shared" ref="H2157:H2162" si="88">IF(AND(I.Facility.ProductCount&gt;=4,I.Product.P4Electricity="Yes",I.Developer.P4C1=TRUE,F2157=""),"Incomplete","Complete")</f>
        <v>Complete</v>
      </c>
      <c r="I2157" s="48" t="s">
        <v>1970</v>
      </c>
    </row>
    <row r="2158" spans="2:9" ht="15" customHeight="1" x14ac:dyDescent="0.25">
      <c r="B2158" s="26" t="s">
        <v>1287</v>
      </c>
      <c r="C2158" s="1">
        <v>2</v>
      </c>
      <c r="D2158" s="27" t="s">
        <v>3304</v>
      </c>
      <c r="E2158" s="25"/>
      <c r="F2158" s="25" t="str">
        <f>IF(INDEX(I.Electricity.P4Y1C1,2)="","",INDEX(I.Electricity.P4Y1C1,2))</f>
        <v/>
      </c>
      <c r="G2158" s="25"/>
      <c r="H2158" s="1" t="str">
        <f t="shared" si="88"/>
        <v>Complete</v>
      </c>
      <c r="I2158" s="48" t="s">
        <v>1971</v>
      </c>
    </row>
    <row r="2159" spans="2:9" ht="15" customHeight="1" x14ac:dyDescent="0.25">
      <c r="B2159" s="34" t="s">
        <v>1287</v>
      </c>
      <c r="C2159" s="35">
        <v>3</v>
      </c>
      <c r="D2159" s="46" t="s">
        <v>3304</v>
      </c>
      <c r="E2159" s="45"/>
      <c r="F2159" s="45" t="str">
        <f>IF(INDEX(I.Electricity.P4Y1C1,3)="","",INDEX(I.Electricity.P4Y1C1,3))</f>
        <v/>
      </c>
      <c r="G2159" s="45"/>
      <c r="H2159" s="35" t="str">
        <f t="shared" si="88"/>
        <v>Complete</v>
      </c>
      <c r="I2159" s="49" t="s">
        <v>1972</v>
      </c>
    </row>
    <row r="2160" spans="2:9" ht="15" customHeight="1" x14ac:dyDescent="0.25">
      <c r="B2160" s="26" t="s">
        <v>1288</v>
      </c>
      <c r="C2160" s="1">
        <v>1</v>
      </c>
      <c r="D2160" s="27" t="s">
        <v>3305</v>
      </c>
      <c r="E2160" s="25"/>
      <c r="F2160" s="25" t="str">
        <f>IF(INDEX(I.Electricity.P4Y2C1,1)="","",INDEX(I.Electricity.P4Y2C1,1))</f>
        <v/>
      </c>
      <c r="G2160" s="25"/>
      <c r="H2160" s="1" t="str">
        <f t="shared" si="88"/>
        <v>Complete</v>
      </c>
      <c r="I2160" s="48" t="s">
        <v>1973</v>
      </c>
    </row>
    <row r="2161" spans="2:9" ht="15" customHeight="1" x14ac:dyDescent="0.25">
      <c r="B2161" s="26" t="s">
        <v>1288</v>
      </c>
      <c r="C2161" s="1">
        <v>2</v>
      </c>
      <c r="D2161" s="27" t="s">
        <v>3305</v>
      </c>
      <c r="E2161" s="25"/>
      <c r="F2161" s="25" t="str">
        <f>IF(INDEX(I.Electricity.P4Y2C1,2)="","",INDEX(I.Electricity.P4Y2C1,2))</f>
        <v/>
      </c>
      <c r="G2161" s="25"/>
      <c r="H2161" s="1" t="str">
        <f t="shared" si="88"/>
        <v>Complete</v>
      </c>
      <c r="I2161" s="48" t="s">
        <v>1974</v>
      </c>
    </row>
    <row r="2162" spans="2:9" ht="15" customHeight="1" x14ac:dyDescent="0.25">
      <c r="B2162" s="34" t="s">
        <v>1288</v>
      </c>
      <c r="C2162" s="35">
        <v>3</v>
      </c>
      <c r="D2162" s="46" t="s">
        <v>3305</v>
      </c>
      <c r="E2162" s="45"/>
      <c r="F2162" s="45" t="str">
        <f>IF(INDEX(I.Electricity.P4Y2C1,3)="","",INDEX(I.Electricity.P4Y2C1,3))</f>
        <v/>
      </c>
      <c r="G2162" s="45"/>
      <c r="H2162" s="35" t="str">
        <f t="shared" si="88"/>
        <v>Complete</v>
      </c>
      <c r="I2162" s="49" t="s">
        <v>1975</v>
      </c>
    </row>
    <row r="2163" spans="2:9" ht="15" customHeight="1" x14ac:dyDescent="0.25">
      <c r="B2163" s="26" t="s">
        <v>1289</v>
      </c>
      <c r="C2163" s="1">
        <v>1</v>
      </c>
      <c r="D2163" s="27" t="s">
        <v>3306</v>
      </c>
      <c r="E2163" s="25"/>
      <c r="F2163" s="25" t="str">
        <f>IF(INDEX(I.Electricity.P4Y3C1,1)="","",INDEX(I.Electricity.P4Y3C1,1))</f>
        <v/>
      </c>
      <c r="G2163" s="25"/>
      <c r="H2163" s="1" t="str">
        <f>IF(AND(I.Facility.ProductCount&gt;=4,I.Product.P4Electricity="Yes",I.Developer.P4C1=TRUE,I.Product.P4Status&lt;&gt;"Yes",F2163=""),"Incomplete","Complete")</f>
        <v>Complete</v>
      </c>
      <c r="I2163" s="48" t="s">
        <v>1976</v>
      </c>
    </row>
    <row r="2164" spans="2:9" ht="15" customHeight="1" x14ac:dyDescent="0.25">
      <c r="B2164" s="26" t="s">
        <v>1289</v>
      </c>
      <c r="C2164" s="1">
        <v>2</v>
      </c>
      <c r="D2164" s="27" t="s">
        <v>3306</v>
      </c>
      <c r="E2164" s="25"/>
      <c r="F2164" s="25" t="str">
        <f>IF(INDEX(I.Electricity.P4Y3C1,2)="","",INDEX(I.Electricity.P4Y3C1,2))</f>
        <v/>
      </c>
      <c r="G2164" s="25"/>
      <c r="H2164" s="1" t="str">
        <f>IF(AND(I.Facility.ProductCount&gt;=4,I.Product.P4Electricity="Yes",I.Developer.P4C1=TRUE,I.Product.P4Status&lt;&gt;"Yes",F2164=""),"Incomplete","Complete")</f>
        <v>Complete</v>
      </c>
      <c r="I2164" s="48" t="s">
        <v>1977</v>
      </c>
    </row>
    <row r="2165" spans="2:9" ht="15" customHeight="1" x14ac:dyDescent="0.25">
      <c r="B2165" s="34" t="s">
        <v>1289</v>
      </c>
      <c r="C2165" s="35">
        <v>3</v>
      </c>
      <c r="D2165" s="46" t="s">
        <v>3306</v>
      </c>
      <c r="E2165" s="45"/>
      <c r="F2165" s="45" t="str">
        <f>IF(INDEX(I.Electricity.P4Y3C1,3)="","",INDEX(I.Electricity.P4Y3C1,3))</f>
        <v/>
      </c>
      <c r="G2165" s="45"/>
      <c r="H2165" s="35" t="str">
        <f>IF(AND(I.Facility.ProductCount&gt;=4,I.Product.P4Electricity="Yes",I.Developer.P4C1=TRUE,I.Product.P4Status&lt;&gt;"Yes",F2165=""),"Incomplete","Complete")</f>
        <v>Complete</v>
      </c>
      <c r="I2165" s="49" t="s">
        <v>1978</v>
      </c>
    </row>
    <row r="2166" spans="2:9" ht="15" customHeight="1" x14ac:dyDescent="0.25">
      <c r="B2166" s="26" t="s">
        <v>1290</v>
      </c>
      <c r="C2166" s="1">
        <v>1</v>
      </c>
      <c r="D2166" s="27" t="s">
        <v>3307</v>
      </c>
      <c r="E2166" s="25"/>
      <c r="F2166" s="25" t="str">
        <f>IF(INDEX(I.Electricity.P4Y1C2,1)="","",INDEX(I.Electricity.P4Y1C2,1))</f>
        <v/>
      </c>
      <c r="G2166" s="25"/>
      <c r="H2166" s="1" t="str">
        <f t="shared" ref="H2166:H2213" si="89">IF(AND(I.Facility.ProductCount&gt;=4,I.Product.P4Electricity="Yes",I.Developer.P4C2=TRUE,F2166=""),"Incomplete","Complete")</f>
        <v>Complete</v>
      </c>
      <c r="I2166" s="48" t="s">
        <v>1979</v>
      </c>
    </row>
    <row r="2167" spans="2:9" ht="15" customHeight="1" x14ac:dyDescent="0.25">
      <c r="B2167" s="26" t="s">
        <v>1290</v>
      </c>
      <c r="C2167" s="1">
        <v>2</v>
      </c>
      <c r="D2167" s="27" t="s">
        <v>3307</v>
      </c>
      <c r="E2167" s="25"/>
      <c r="F2167" s="25" t="str">
        <f>IF(INDEX(I.Electricity.P4Y1C2,2)="","",INDEX(I.Electricity.P4Y1C2,2))</f>
        <v/>
      </c>
      <c r="G2167" s="25"/>
      <c r="H2167" s="1" t="str">
        <f t="shared" si="89"/>
        <v>Complete</v>
      </c>
      <c r="I2167" s="48" t="s">
        <v>1980</v>
      </c>
    </row>
    <row r="2168" spans="2:9" ht="15" customHeight="1" x14ac:dyDescent="0.25">
      <c r="B2168" s="26" t="s">
        <v>1290</v>
      </c>
      <c r="C2168" s="1">
        <v>3</v>
      </c>
      <c r="D2168" s="27" t="s">
        <v>3307</v>
      </c>
      <c r="E2168" s="25"/>
      <c r="F2168" s="25" t="str">
        <f>IF(INDEX(I.Electricity.P4Y1C2,3)="","",INDEX(I.Electricity.P4Y1C2,3))</f>
        <v/>
      </c>
      <c r="G2168" s="25"/>
      <c r="H2168" s="1" t="str">
        <f t="shared" si="89"/>
        <v>Complete</v>
      </c>
      <c r="I2168" s="48" t="s">
        <v>1981</v>
      </c>
    </row>
    <row r="2169" spans="2:9" ht="15" customHeight="1" x14ac:dyDescent="0.25">
      <c r="B2169" s="26" t="s">
        <v>1290</v>
      </c>
      <c r="C2169" s="1">
        <v>4</v>
      </c>
      <c r="D2169" s="27" t="s">
        <v>3307</v>
      </c>
      <c r="E2169" s="25"/>
      <c r="F2169" s="25" t="str">
        <f>IF(INDEX(I.Electricity.P4Y1C2,4)="","",INDEX(I.Electricity.P4Y1C2,4))</f>
        <v/>
      </c>
      <c r="G2169" s="25"/>
      <c r="H2169" s="1" t="str">
        <f t="shared" si="89"/>
        <v>Complete</v>
      </c>
      <c r="I2169" s="48" t="s">
        <v>1982</v>
      </c>
    </row>
    <row r="2170" spans="2:9" ht="15" customHeight="1" x14ac:dyDescent="0.25">
      <c r="B2170" s="26" t="s">
        <v>1290</v>
      </c>
      <c r="C2170" s="1">
        <v>5</v>
      </c>
      <c r="D2170" s="27" t="s">
        <v>3307</v>
      </c>
      <c r="E2170" s="25"/>
      <c r="F2170" s="25" t="str">
        <f>IF(INDEX(I.Electricity.P4Y1C2,5)="","",INDEX(I.Electricity.P4Y1C2,5))</f>
        <v/>
      </c>
      <c r="G2170" s="25"/>
      <c r="H2170" s="1" t="str">
        <f t="shared" si="89"/>
        <v>Complete</v>
      </c>
      <c r="I2170" s="48" t="s">
        <v>1983</v>
      </c>
    </row>
    <row r="2171" spans="2:9" ht="15" customHeight="1" x14ac:dyDescent="0.25">
      <c r="B2171" s="26" t="s">
        <v>1290</v>
      </c>
      <c r="C2171" s="1">
        <v>6</v>
      </c>
      <c r="D2171" s="27" t="s">
        <v>3307</v>
      </c>
      <c r="E2171" s="25"/>
      <c r="F2171" s="25" t="str">
        <f>IF(INDEX(I.Electricity.P4Y1C2,6)="","",INDEX(I.Electricity.P4Y1C2,6))</f>
        <v/>
      </c>
      <c r="G2171" s="25"/>
      <c r="H2171" s="1" t="str">
        <f t="shared" si="89"/>
        <v>Complete</v>
      </c>
      <c r="I2171" s="48" t="s">
        <v>1984</v>
      </c>
    </row>
    <row r="2172" spans="2:9" ht="15" customHeight="1" x14ac:dyDescent="0.25">
      <c r="B2172" s="26" t="s">
        <v>1290</v>
      </c>
      <c r="C2172" s="1">
        <v>7</v>
      </c>
      <c r="D2172" s="27" t="s">
        <v>3307</v>
      </c>
      <c r="E2172" s="25"/>
      <c r="F2172" s="25" t="str">
        <f>IF(INDEX(I.Electricity.P4Y1C2,7)="","",INDEX(I.Electricity.P4Y1C2,7))</f>
        <v/>
      </c>
      <c r="G2172" s="25"/>
      <c r="H2172" s="1" t="str">
        <f t="shared" si="89"/>
        <v>Complete</v>
      </c>
      <c r="I2172" s="48" t="s">
        <v>1985</v>
      </c>
    </row>
    <row r="2173" spans="2:9" ht="15" customHeight="1" x14ac:dyDescent="0.25">
      <c r="B2173" s="26" t="s">
        <v>1290</v>
      </c>
      <c r="C2173" s="1">
        <v>8</v>
      </c>
      <c r="D2173" s="27" t="s">
        <v>3307</v>
      </c>
      <c r="E2173" s="25"/>
      <c r="F2173" s="25" t="str">
        <f>IF(INDEX(I.Electricity.P4Y1C2,8)="","",INDEX(I.Electricity.P4Y1C2,8))</f>
        <v/>
      </c>
      <c r="G2173" s="25"/>
      <c r="H2173" s="1" t="str">
        <f t="shared" si="89"/>
        <v>Complete</v>
      </c>
      <c r="I2173" s="48" t="s">
        <v>1986</v>
      </c>
    </row>
    <row r="2174" spans="2:9" ht="15" customHeight="1" x14ac:dyDescent="0.25">
      <c r="B2174" s="26" t="s">
        <v>1290</v>
      </c>
      <c r="C2174" s="1">
        <v>9</v>
      </c>
      <c r="D2174" s="27" t="s">
        <v>3307</v>
      </c>
      <c r="E2174" s="25"/>
      <c r="F2174" s="25" t="str">
        <f>IF(INDEX(I.Electricity.P4Y1C2,9)="","",INDEX(I.Electricity.P4Y1C2,9))</f>
        <v/>
      </c>
      <c r="G2174" s="25"/>
      <c r="H2174" s="1" t="str">
        <f t="shared" si="89"/>
        <v>Complete</v>
      </c>
      <c r="I2174" s="48" t="s">
        <v>1987</v>
      </c>
    </row>
    <row r="2175" spans="2:9" ht="15" customHeight="1" x14ac:dyDescent="0.25">
      <c r="B2175" s="26" t="s">
        <v>1290</v>
      </c>
      <c r="C2175" s="1">
        <v>10</v>
      </c>
      <c r="D2175" s="27" t="s">
        <v>3307</v>
      </c>
      <c r="E2175" s="25"/>
      <c r="F2175" s="25" t="str">
        <f>IF(INDEX(I.Electricity.P4Y1C2,10)="","",INDEX(I.Electricity.P4Y1C2,10))</f>
        <v/>
      </c>
      <c r="G2175" s="25"/>
      <c r="H2175" s="1" t="str">
        <f t="shared" si="89"/>
        <v>Complete</v>
      </c>
      <c r="I2175" s="48" t="s">
        <v>1988</v>
      </c>
    </row>
    <row r="2176" spans="2:9" ht="15" customHeight="1" x14ac:dyDescent="0.25">
      <c r="B2176" s="26" t="s">
        <v>1290</v>
      </c>
      <c r="C2176" s="1">
        <v>11</v>
      </c>
      <c r="D2176" s="27" t="s">
        <v>3307</v>
      </c>
      <c r="E2176" s="25"/>
      <c r="F2176" s="25" t="str">
        <f>IF(INDEX(I.Electricity.P4Y1C2,11)="","",INDEX(I.Electricity.P4Y1C2,11))</f>
        <v/>
      </c>
      <c r="G2176" s="25"/>
      <c r="H2176" s="1" t="str">
        <f t="shared" si="89"/>
        <v>Complete</v>
      </c>
      <c r="I2176" s="48" t="s">
        <v>1989</v>
      </c>
    </row>
    <row r="2177" spans="2:9" ht="15" customHeight="1" x14ac:dyDescent="0.25">
      <c r="B2177" s="26" t="s">
        <v>1290</v>
      </c>
      <c r="C2177" s="1">
        <v>12</v>
      </c>
      <c r="D2177" s="27" t="s">
        <v>3307</v>
      </c>
      <c r="E2177" s="25"/>
      <c r="F2177" s="25" t="str">
        <f>IF(INDEX(I.Electricity.P4Y1C2,12)="","",INDEX(I.Electricity.P4Y1C2,12))</f>
        <v/>
      </c>
      <c r="G2177" s="25"/>
      <c r="H2177" s="1" t="str">
        <f t="shared" si="89"/>
        <v>Complete</v>
      </c>
      <c r="I2177" s="48" t="s">
        <v>1990</v>
      </c>
    </row>
    <row r="2178" spans="2:9" ht="15" customHeight="1" x14ac:dyDescent="0.25">
      <c r="B2178" s="26" t="s">
        <v>1290</v>
      </c>
      <c r="C2178" s="1">
        <v>13</v>
      </c>
      <c r="D2178" s="27" t="s">
        <v>3307</v>
      </c>
      <c r="E2178" s="25"/>
      <c r="F2178" s="25" t="str">
        <f>IF(INDEX(I.Electricity.P4Y1C2,13)="","",INDEX(I.Electricity.P4Y1C2,13))</f>
        <v/>
      </c>
      <c r="G2178" s="25"/>
      <c r="H2178" s="1" t="str">
        <f t="shared" si="89"/>
        <v>Complete</v>
      </c>
      <c r="I2178" s="48" t="s">
        <v>1991</v>
      </c>
    </row>
    <row r="2179" spans="2:9" ht="15" customHeight="1" x14ac:dyDescent="0.25">
      <c r="B2179" s="26" t="s">
        <v>1290</v>
      </c>
      <c r="C2179" s="1">
        <v>14</v>
      </c>
      <c r="D2179" s="27" t="s">
        <v>3307</v>
      </c>
      <c r="E2179" s="25"/>
      <c r="F2179" s="25" t="str">
        <f>IF(INDEX(I.Electricity.P4Y1C2,14)="","",INDEX(I.Electricity.P4Y1C2,14))</f>
        <v/>
      </c>
      <c r="G2179" s="25"/>
      <c r="H2179" s="1" t="str">
        <f t="shared" si="89"/>
        <v>Complete</v>
      </c>
      <c r="I2179" s="48" t="s">
        <v>1992</v>
      </c>
    </row>
    <row r="2180" spans="2:9" ht="15" customHeight="1" x14ac:dyDescent="0.25">
      <c r="B2180" s="26" t="s">
        <v>1290</v>
      </c>
      <c r="C2180" s="1">
        <v>15</v>
      </c>
      <c r="D2180" s="27" t="s">
        <v>3307</v>
      </c>
      <c r="E2180" s="25"/>
      <c r="F2180" s="25" t="str">
        <f>IF(INDEX(I.Electricity.P4Y1C2,15)="","",INDEX(I.Electricity.P4Y1C2,15))</f>
        <v/>
      </c>
      <c r="G2180" s="25"/>
      <c r="H2180" s="1" t="str">
        <f t="shared" si="89"/>
        <v>Complete</v>
      </c>
      <c r="I2180" s="48" t="s">
        <v>1993</v>
      </c>
    </row>
    <row r="2181" spans="2:9" ht="15" customHeight="1" x14ac:dyDescent="0.25">
      <c r="B2181" s="26" t="s">
        <v>1290</v>
      </c>
      <c r="C2181" s="1">
        <v>16</v>
      </c>
      <c r="D2181" s="27" t="s">
        <v>3307</v>
      </c>
      <c r="E2181" s="25"/>
      <c r="F2181" s="25" t="str">
        <f>IF(INDEX(I.Electricity.P4Y1C2,16)="","",INDEX(I.Electricity.P4Y1C2,16))</f>
        <v/>
      </c>
      <c r="G2181" s="25"/>
      <c r="H2181" s="1" t="str">
        <f t="shared" si="89"/>
        <v>Complete</v>
      </c>
      <c r="I2181" s="48" t="s">
        <v>1994</v>
      </c>
    </row>
    <row r="2182" spans="2:9" ht="15" customHeight="1" x14ac:dyDescent="0.25">
      <c r="B2182" s="26" t="s">
        <v>1290</v>
      </c>
      <c r="C2182" s="1">
        <v>17</v>
      </c>
      <c r="D2182" s="27" t="s">
        <v>3307</v>
      </c>
      <c r="E2182" s="25"/>
      <c r="F2182" s="25" t="str">
        <f>IF(INDEX(I.Electricity.P4Y1C2,17)="","",INDEX(I.Electricity.P4Y1C2,17))</f>
        <v/>
      </c>
      <c r="G2182" s="25"/>
      <c r="H2182" s="1" t="str">
        <f t="shared" si="89"/>
        <v>Complete</v>
      </c>
      <c r="I2182" s="48" t="s">
        <v>1995</v>
      </c>
    </row>
    <row r="2183" spans="2:9" ht="15" customHeight="1" x14ac:dyDescent="0.25">
      <c r="B2183" s="26" t="s">
        <v>1290</v>
      </c>
      <c r="C2183" s="1">
        <v>18</v>
      </c>
      <c r="D2183" s="27" t="s">
        <v>3307</v>
      </c>
      <c r="E2183" s="25"/>
      <c r="F2183" s="25" t="str">
        <f>IF(INDEX(I.Electricity.P4Y1C2,18)="","",INDEX(I.Electricity.P4Y1C2,18))</f>
        <v/>
      </c>
      <c r="G2183" s="25"/>
      <c r="H2183" s="1" t="str">
        <f t="shared" si="89"/>
        <v>Complete</v>
      </c>
      <c r="I2183" s="48" t="s">
        <v>1996</v>
      </c>
    </row>
    <row r="2184" spans="2:9" ht="15" customHeight="1" x14ac:dyDescent="0.25">
      <c r="B2184" s="26" t="s">
        <v>1290</v>
      </c>
      <c r="C2184" s="1">
        <v>19</v>
      </c>
      <c r="D2184" s="27" t="s">
        <v>3307</v>
      </c>
      <c r="E2184" s="25"/>
      <c r="F2184" s="25" t="str">
        <f>IF(INDEX(I.Electricity.P4Y1C2,19)="","",INDEX(I.Electricity.P4Y1C2,19))</f>
        <v/>
      </c>
      <c r="G2184" s="25"/>
      <c r="H2184" s="1" t="str">
        <f t="shared" si="89"/>
        <v>Complete</v>
      </c>
      <c r="I2184" s="48" t="s">
        <v>1997</v>
      </c>
    </row>
    <row r="2185" spans="2:9" ht="15" customHeight="1" x14ac:dyDescent="0.25">
      <c r="B2185" s="26" t="s">
        <v>1290</v>
      </c>
      <c r="C2185" s="1">
        <v>20</v>
      </c>
      <c r="D2185" s="27" t="s">
        <v>3307</v>
      </c>
      <c r="E2185" s="25"/>
      <c r="F2185" s="25" t="str">
        <f>IF(INDEX(I.Electricity.P4Y1C2,20)="","",INDEX(I.Electricity.P4Y1C2,20))</f>
        <v/>
      </c>
      <c r="G2185" s="25"/>
      <c r="H2185" s="1" t="str">
        <f t="shared" si="89"/>
        <v>Complete</v>
      </c>
      <c r="I2185" s="48" t="s">
        <v>1998</v>
      </c>
    </row>
    <row r="2186" spans="2:9" ht="15" customHeight="1" x14ac:dyDescent="0.25">
      <c r="B2186" s="26" t="s">
        <v>1290</v>
      </c>
      <c r="C2186" s="1">
        <v>21</v>
      </c>
      <c r="D2186" s="27" t="s">
        <v>3307</v>
      </c>
      <c r="E2186" s="25"/>
      <c r="F2186" s="25" t="str">
        <f>IF(INDEX(I.Electricity.P4Y1C2,21)="","",INDEX(I.Electricity.P4Y1C2,21))</f>
        <v/>
      </c>
      <c r="G2186" s="25"/>
      <c r="H2186" s="1" t="str">
        <f t="shared" si="89"/>
        <v>Complete</v>
      </c>
      <c r="I2186" s="48" t="s">
        <v>1999</v>
      </c>
    </row>
    <row r="2187" spans="2:9" ht="15" customHeight="1" x14ac:dyDescent="0.25">
      <c r="B2187" s="26" t="s">
        <v>1290</v>
      </c>
      <c r="C2187" s="1">
        <v>22</v>
      </c>
      <c r="D2187" s="27" t="s">
        <v>3307</v>
      </c>
      <c r="E2187" s="25"/>
      <c r="F2187" s="25" t="str">
        <f>IF(INDEX(I.Electricity.P4Y1C2,22)="","",INDEX(I.Electricity.P4Y1C2,22))</f>
        <v/>
      </c>
      <c r="G2187" s="25"/>
      <c r="H2187" s="1" t="str">
        <f t="shared" si="89"/>
        <v>Complete</v>
      </c>
      <c r="I2187" s="48" t="s">
        <v>2000</v>
      </c>
    </row>
    <row r="2188" spans="2:9" ht="15" customHeight="1" x14ac:dyDescent="0.25">
      <c r="B2188" s="26" t="s">
        <v>1290</v>
      </c>
      <c r="C2188" s="1">
        <v>23</v>
      </c>
      <c r="D2188" s="27" t="s">
        <v>3307</v>
      </c>
      <c r="E2188" s="25"/>
      <c r="F2188" s="25" t="str">
        <f>IF(INDEX(I.Electricity.P4Y1C2,23)="","",INDEX(I.Electricity.P4Y1C2,23))</f>
        <v/>
      </c>
      <c r="G2188" s="25"/>
      <c r="H2188" s="1" t="str">
        <f t="shared" si="89"/>
        <v>Complete</v>
      </c>
      <c r="I2188" s="48" t="s">
        <v>2001</v>
      </c>
    </row>
    <row r="2189" spans="2:9" ht="15" customHeight="1" x14ac:dyDescent="0.25">
      <c r="B2189" s="34" t="s">
        <v>1290</v>
      </c>
      <c r="C2189" s="35">
        <v>24</v>
      </c>
      <c r="D2189" s="46" t="s">
        <v>3307</v>
      </c>
      <c r="E2189" s="45"/>
      <c r="F2189" s="45" t="str">
        <f>IF(INDEX(I.Electricity.P4Y1C2,24)="","",INDEX(I.Electricity.P4Y1C2,24))</f>
        <v/>
      </c>
      <c r="G2189" s="45"/>
      <c r="H2189" s="35" t="str">
        <f t="shared" si="89"/>
        <v>Complete</v>
      </c>
      <c r="I2189" s="49" t="s">
        <v>2002</v>
      </c>
    </row>
    <row r="2190" spans="2:9" ht="15" customHeight="1" x14ac:dyDescent="0.25">
      <c r="B2190" s="26" t="s">
        <v>1291</v>
      </c>
      <c r="C2190" s="1">
        <v>1</v>
      </c>
      <c r="D2190" s="27" t="s">
        <v>3308</v>
      </c>
      <c r="E2190" s="25"/>
      <c r="F2190" s="25" t="str">
        <f>IF(INDEX(I.Electricity.P4Y2C2,1)="","",INDEX(I.Electricity.P4Y2C2,1))</f>
        <v/>
      </c>
      <c r="G2190" s="25"/>
      <c r="H2190" s="1" t="str">
        <f t="shared" si="89"/>
        <v>Complete</v>
      </c>
      <c r="I2190" s="48" t="s">
        <v>2003</v>
      </c>
    </row>
    <row r="2191" spans="2:9" ht="15" customHeight="1" x14ac:dyDescent="0.25">
      <c r="B2191" s="26" t="s">
        <v>1291</v>
      </c>
      <c r="C2191" s="1">
        <v>2</v>
      </c>
      <c r="D2191" s="27" t="s">
        <v>3308</v>
      </c>
      <c r="E2191" s="25"/>
      <c r="F2191" s="25" t="str">
        <f>IF(INDEX(I.Electricity.P4Y2C2,2)="","",INDEX(I.Electricity.P4Y2C2,2))</f>
        <v/>
      </c>
      <c r="G2191" s="25"/>
      <c r="H2191" s="1" t="str">
        <f t="shared" si="89"/>
        <v>Complete</v>
      </c>
      <c r="I2191" s="48" t="s">
        <v>2004</v>
      </c>
    </row>
    <row r="2192" spans="2:9" ht="15" customHeight="1" x14ac:dyDescent="0.25">
      <c r="B2192" s="26" t="s">
        <v>1291</v>
      </c>
      <c r="C2192" s="1">
        <v>3</v>
      </c>
      <c r="D2192" s="27" t="s">
        <v>3308</v>
      </c>
      <c r="E2192" s="25"/>
      <c r="F2192" s="25" t="str">
        <f>IF(INDEX(I.Electricity.P4Y2C2,3)="","",INDEX(I.Electricity.P4Y2C2,3))</f>
        <v/>
      </c>
      <c r="G2192" s="25"/>
      <c r="H2192" s="1" t="str">
        <f t="shared" si="89"/>
        <v>Complete</v>
      </c>
      <c r="I2192" s="48" t="s">
        <v>2005</v>
      </c>
    </row>
    <row r="2193" spans="2:9" ht="15" customHeight="1" x14ac:dyDescent="0.25">
      <c r="B2193" s="26" t="s">
        <v>1291</v>
      </c>
      <c r="C2193" s="1">
        <v>4</v>
      </c>
      <c r="D2193" s="27" t="s">
        <v>3308</v>
      </c>
      <c r="E2193" s="25"/>
      <c r="F2193" s="25" t="str">
        <f>IF(INDEX(I.Electricity.P4Y2C2,4)="","",INDEX(I.Electricity.P4Y2C2,4))</f>
        <v/>
      </c>
      <c r="G2193" s="25"/>
      <c r="H2193" s="1" t="str">
        <f t="shared" si="89"/>
        <v>Complete</v>
      </c>
      <c r="I2193" s="48" t="s">
        <v>2006</v>
      </c>
    </row>
    <row r="2194" spans="2:9" ht="15" customHeight="1" x14ac:dyDescent="0.25">
      <c r="B2194" s="26" t="s">
        <v>1291</v>
      </c>
      <c r="C2194" s="1">
        <v>5</v>
      </c>
      <c r="D2194" s="27" t="s">
        <v>3308</v>
      </c>
      <c r="E2194" s="25"/>
      <c r="F2194" s="25" t="str">
        <f>IF(INDEX(I.Electricity.P4Y2C2,5)="","",INDEX(I.Electricity.P4Y2C2,5))</f>
        <v/>
      </c>
      <c r="G2194" s="25"/>
      <c r="H2194" s="1" t="str">
        <f t="shared" si="89"/>
        <v>Complete</v>
      </c>
      <c r="I2194" s="48" t="s">
        <v>2007</v>
      </c>
    </row>
    <row r="2195" spans="2:9" ht="15" customHeight="1" x14ac:dyDescent="0.25">
      <c r="B2195" s="26" t="s">
        <v>1291</v>
      </c>
      <c r="C2195" s="1">
        <v>6</v>
      </c>
      <c r="D2195" s="27" t="s">
        <v>3308</v>
      </c>
      <c r="E2195" s="25"/>
      <c r="F2195" s="25" t="str">
        <f>IF(INDEX(I.Electricity.P4Y2C2,6)="","",INDEX(I.Electricity.P4Y2C2,6))</f>
        <v/>
      </c>
      <c r="G2195" s="25"/>
      <c r="H2195" s="1" t="str">
        <f t="shared" si="89"/>
        <v>Complete</v>
      </c>
      <c r="I2195" s="48" t="s">
        <v>2008</v>
      </c>
    </row>
    <row r="2196" spans="2:9" ht="15" customHeight="1" x14ac:dyDescent="0.25">
      <c r="B2196" s="26" t="s">
        <v>1291</v>
      </c>
      <c r="C2196" s="1">
        <v>7</v>
      </c>
      <c r="D2196" s="27" t="s">
        <v>3308</v>
      </c>
      <c r="E2196" s="25"/>
      <c r="F2196" s="25" t="str">
        <f>IF(INDEX(I.Electricity.P4Y2C2,7)="","",INDEX(I.Electricity.P4Y2C2,7))</f>
        <v/>
      </c>
      <c r="G2196" s="25"/>
      <c r="H2196" s="1" t="str">
        <f t="shared" si="89"/>
        <v>Complete</v>
      </c>
      <c r="I2196" s="48" t="s">
        <v>2009</v>
      </c>
    </row>
    <row r="2197" spans="2:9" ht="15" customHeight="1" x14ac:dyDescent="0.25">
      <c r="B2197" s="26" t="s">
        <v>1291</v>
      </c>
      <c r="C2197" s="1">
        <v>8</v>
      </c>
      <c r="D2197" s="27" t="s">
        <v>3308</v>
      </c>
      <c r="E2197" s="25"/>
      <c r="F2197" s="25" t="str">
        <f>IF(INDEX(I.Electricity.P4Y2C2,8)="","",INDEX(I.Electricity.P4Y2C2,8))</f>
        <v/>
      </c>
      <c r="G2197" s="25"/>
      <c r="H2197" s="1" t="str">
        <f t="shared" si="89"/>
        <v>Complete</v>
      </c>
      <c r="I2197" s="48" t="s">
        <v>2010</v>
      </c>
    </row>
    <row r="2198" spans="2:9" ht="15" customHeight="1" x14ac:dyDescent="0.25">
      <c r="B2198" s="26" t="s">
        <v>1291</v>
      </c>
      <c r="C2198" s="1">
        <v>9</v>
      </c>
      <c r="D2198" s="27" t="s">
        <v>3308</v>
      </c>
      <c r="E2198" s="25"/>
      <c r="F2198" s="25" t="str">
        <f>IF(INDEX(I.Electricity.P4Y2C2,9)="","",INDEX(I.Electricity.P4Y2C2,9))</f>
        <v/>
      </c>
      <c r="G2198" s="25"/>
      <c r="H2198" s="1" t="str">
        <f t="shared" si="89"/>
        <v>Complete</v>
      </c>
      <c r="I2198" s="48" t="s">
        <v>2011</v>
      </c>
    </row>
    <row r="2199" spans="2:9" ht="15" customHeight="1" x14ac:dyDescent="0.25">
      <c r="B2199" s="26" t="s">
        <v>1291</v>
      </c>
      <c r="C2199" s="1">
        <v>10</v>
      </c>
      <c r="D2199" s="27" t="s">
        <v>3308</v>
      </c>
      <c r="E2199" s="25"/>
      <c r="F2199" s="25" t="str">
        <f>IF(INDEX(I.Electricity.P4Y2C2,10)="","",INDEX(I.Electricity.P4Y2C2,10))</f>
        <v/>
      </c>
      <c r="G2199" s="25"/>
      <c r="H2199" s="1" t="str">
        <f t="shared" si="89"/>
        <v>Complete</v>
      </c>
      <c r="I2199" s="48" t="s">
        <v>2012</v>
      </c>
    </row>
    <row r="2200" spans="2:9" ht="15" customHeight="1" x14ac:dyDescent="0.25">
      <c r="B2200" s="26" t="s">
        <v>1291</v>
      </c>
      <c r="C2200" s="1">
        <v>11</v>
      </c>
      <c r="D2200" s="27" t="s">
        <v>3308</v>
      </c>
      <c r="E2200" s="25"/>
      <c r="F2200" s="25" t="str">
        <f>IF(INDEX(I.Electricity.P4Y2C2,11)="","",INDEX(I.Electricity.P4Y2C2,11))</f>
        <v/>
      </c>
      <c r="G2200" s="25"/>
      <c r="H2200" s="1" t="str">
        <f t="shared" si="89"/>
        <v>Complete</v>
      </c>
      <c r="I2200" s="48" t="s">
        <v>2013</v>
      </c>
    </row>
    <row r="2201" spans="2:9" ht="15" customHeight="1" x14ac:dyDescent="0.25">
      <c r="B2201" s="26" t="s">
        <v>1291</v>
      </c>
      <c r="C2201" s="1">
        <v>12</v>
      </c>
      <c r="D2201" s="27" t="s">
        <v>3308</v>
      </c>
      <c r="E2201" s="25"/>
      <c r="F2201" s="25" t="str">
        <f>IF(INDEX(I.Electricity.P4Y2C2,12)="","",INDEX(I.Electricity.P4Y2C2,12))</f>
        <v/>
      </c>
      <c r="G2201" s="25"/>
      <c r="H2201" s="1" t="str">
        <f t="shared" si="89"/>
        <v>Complete</v>
      </c>
      <c r="I2201" s="48" t="s">
        <v>2014</v>
      </c>
    </row>
    <row r="2202" spans="2:9" ht="15" customHeight="1" x14ac:dyDescent="0.25">
      <c r="B2202" s="26" t="s">
        <v>1291</v>
      </c>
      <c r="C2202" s="1">
        <v>13</v>
      </c>
      <c r="D2202" s="27" t="s">
        <v>3308</v>
      </c>
      <c r="E2202" s="25"/>
      <c r="F2202" s="25" t="str">
        <f>IF(INDEX(I.Electricity.P4Y2C2,13)="","",INDEX(I.Electricity.P4Y2C2,13))</f>
        <v/>
      </c>
      <c r="G2202" s="25"/>
      <c r="H2202" s="1" t="str">
        <f t="shared" si="89"/>
        <v>Complete</v>
      </c>
      <c r="I2202" s="48" t="s">
        <v>2015</v>
      </c>
    </row>
    <row r="2203" spans="2:9" ht="15" customHeight="1" x14ac:dyDescent="0.25">
      <c r="B2203" s="26" t="s">
        <v>1291</v>
      </c>
      <c r="C2203" s="1">
        <v>14</v>
      </c>
      <c r="D2203" s="27" t="s">
        <v>3308</v>
      </c>
      <c r="E2203" s="25"/>
      <c r="F2203" s="25" t="str">
        <f>IF(INDEX(I.Electricity.P4Y2C2,14)="","",INDEX(I.Electricity.P4Y2C2,14))</f>
        <v/>
      </c>
      <c r="G2203" s="25"/>
      <c r="H2203" s="1" t="str">
        <f t="shared" si="89"/>
        <v>Complete</v>
      </c>
      <c r="I2203" s="48" t="s">
        <v>2016</v>
      </c>
    </row>
    <row r="2204" spans="2:9" ht="15" customHeight="1" x14ac:dyDescent="0.25">
      <c r="B2204" s="26" t="s">
        <v>1291</v>
      </c>
      <c r="C2204" s="1">
        <v>15</v>
      </c>
      <c r="D2204" s="27" t="s">
        <v>3308</v>
      </c>
      <c r="E2204" s="25"/>
      <c r="F2204" s="25" t="str">
        <f>IF(INDEX(I.Electricity.P4Y2C2,15)="","",INDEX(I.Electricity.P4Y2C2,15))</f>
        <v/>
      </c>
      <c r="G2204" s="25"/>
      <c r="H2204" s="1" t="str">
        <f t="shared" si="89"/>
        <v>Complete</v>
      </c>
      <c r="I2204" s="48" t="s">
        <v>2017</v>
      </c>
    </row>
    <row r="2205" spans="2:9" ht="15" customHeight="1" x14ac:dyDescent="0.25">
      <c r="B2205" s="26" t="s">
        <v>1291</v>
      </c>
      <c r="C2205" s="1">
        <v>16</v>
      </c>
      <c r="D2205" s="27" t="s">
        <v>3308</v>
      </c>
      <c r="E2205" s="25"/>
      <c r="F2205" s="25" t="str">
        <f>IF(INDEX(I.Electricity.P4Y2C2,16)="","",INDEX(I.Electricity.P4Y2C2,16))</f>
        <v/>
      </c>
      <c r="G2205" s="25"/>
      <c r="H2205" s="1" t="str">
        <f t="shared" si="89"/>
        <v>Complete</v>
      </c>
      <c r="I2205" s="48" t="s">
        <v>2018</v>
      </c>
    </row>
    <row r="2206" spans="2:9" ht="15" customHeight="1" x14ac:dyDescent="0.25">
      <c r="B2206" s="26" t="s">
        <v>1291</v>
      </c>
      <c r="C2206" s="1">
        <v>17</v>
      </c>
      <c r="D2206" s="27" t="s">
        <v>3308</v>
      </c>
      <c r="E2206" s="25"/>
      <c r="F2206" s="25" t="str">
        <f>IF(INDEX(I.Electricity.P4Y2C2,17)="","",INDEX(I.Electricity.P4Y2C2,17))</f>
        <v/>
      </c>
      <c r="G2206" s="25"/>
      <c r="H2206" s="1" t="str">
        <f t="shared" si="89"/>
        <v>Complete</v>
      </c>
      <c r="I2206" s="48" t="s">
        <v>2019</v>
      </c>
    </row>
    <row r="2207" spans="2:9" ht="15" customHeight="1" x14ac:dyDescent="0.25">
      <c r="B2207" s="26" t="s">
        <v>1291</v>
      </c>
      <c r="C2207" s="1">
        <v>18</v>
      </c>
      <c r="D2207" s="27" t="s">
        <v>3308</v>
      </c>
      <c r="E2207" s="25"/>
      <c r="F2207" s="25" t="str">
        <f>IF(INDEX(I.Electricity.P4Y2C2,18)="","",INDEX(I.Electricity.P4Y2C2,18))</f>
        <v/>
      </c>
      <c r="G2207" s="25"/>
      <c r="H2207" s="1" t="str">
        <f t="shared" si="89"/>
        <v>Complete</v>
      </c>
      <c r="I2207" s="48" t="s">
        <v>2020</v>
      </c>
    </row>
    <row r="2208" spans="2:9" ht="15" customHeight="1" x14ac:dyDescent="0.25">
      <c r="B2208" s="26" t="s">
        <v>1291</v>
      </c>
      <c r="C2208" s="1">
        <v>19</v>
      </c>
      <c r="D2208" s="27" t="s">
        <v>3308</v>
      </c>
      <c r="E2208" s="25"/>
      <c r="F2208" s="25" t="str">
        <f>IF(INDEX(I.Electricity.P4Y2C2,19)="","",INDEX(I.Electricity.P4Y2C2,19))</f>
        <v/>
      </c>
      <c r="G2208" s="25"/>
      <c r="H2208" s="1" t="str">
        <f t="shared" si="89"/>
        <v>Complete</v>
      </c>
      <c r="I2208" s="48" t="s">
        <v>2021</v>
      </c>
    </row>
    <row r="2209" spans="2:9" ht="15" customHeight="1" x14ac:dyDescent="0.25">
      <c r="B2209" s="26" t="s">
        <v>1291</v>
      </c>
      <c r="C2209" s="1">
        <v>20</v>
      </c>
      <c r="D2209" s="27" t="s">
        <v>3308</v>
      </c>
      <c r="E2209" s="25"/>
      <c r="F2209" s="25" t="str">
        <f>IF(INDEX(I.Electricity.P4Y2C2,20)="","",INDEX(I.Electricity.P4Y2C2,20))</f>
        <v/>
      </c>
      <c r="G2209" s="25"/>
      <c r="H2209" s="1" t="str">
        <f t="shared" si="89"/>
        <v>Complete</v>
      </c>
      <c r="I2209" s="48" t="s">
        <v>2022</v>
      </c>
    </row>
    <row r="2210" spans="2:9" ht="15" customHeight="1" x14ac:dyDescent="0.25">
      <c r="B2210" s="26" t="s">
        <v>1291</v>
      </c>
      <c r="C2210" s="1">
        <v>21</v>
      </c>
      <c r="D2210" s="27" t="s">
        <v>3308</v>
      </c>
      <c r="E2210" s="25"/>
      <c r="F2210" s="25" t="str">
        <f>IF(INDEX(I.Electricity.P4Y2C2,21)="","",INDEX(I.Electricity.P4Y2C2,21))</f>
        <v/>
      </c>
      <c r="G2210" s="25"/>
      <c r="H2210" s="1" t="str">
        <f t="shared" si="89"/>
        <v>Complete</v>
      </c>
      <c r="I2210" s="48" t="s">
        <v>2023</v>
      </c>
    </row>
    <row r="2211" spans="2:9" ht="15" customHeight="1" x14ac:dyDescent="0.25">
      <c r="B2211" s="26" t="s">
        <v>1291</v>
      </c>
      <c r="C2211" s="1">
        <v>22</v>
      </c>
      <c r="D2211" s="27" t="s">
        <v>3308</v>
      </c>
      <c r="E2211" s="25"/>
      <c r="F2211" s="25" t="str">
        <f>IF(INDEX(I.Electricity.P4Y2C2,22)="","",INDEX(I.Electricity.P4Y2C2,22))</f>
        <v/>
      </c>
      <c r="G2211" s="25"/>
      <c r="H2211" s="1" t="str">
        <f t="shared" si="89"/>
        <v>Complete</v>
      </c>
      <c r="I2211" s="48" t="s">
        <v>2024</v>
      </c>
    </row>
    <row r="2212" spans="2:9" ht="15" customHeight="1" x14ac:dyDescent="0.25">
      <c r="B2212" s="26" t="s">
        <v>1291</v>
      </c>
      <c r="C2212" s="1">
        <v>23</v>
      </c>
      <c r="D2212" s="27" t="s">
        <v>3308</v>
      </c>
      <c r="E2212" s="25"/>
      <c r="F2212" s="25" t="str">
        <f>IF(INDEX(I.Electricity.P4Y2C2,23)="","",INDEX(I.Electricity.P4Y2C2,23))</f>
        <v/>
      </c>
      <c r="G2212" s="25"/>
      <c r="H2212" s="1" t="str">
        <f t="shared" si="89"/>
        <v>Complete</v>
      </c>
      <c r="I2212" s="48" t="s">
        <v>2025</v>
      </c>
    </row>
    <row r="2213" spans="2:9" ht="15" customHeight="1" x14ac:dyDescent="0.25">
      <c r="B2213" s="34" t="s">
        <v>1291</v>
      </c>
      <c r="C2213" s="35">
        <v>24</v>
      </c>
      <c r="D2213" s="46" t="s">
        <v>3308</v>
      </c>
      <c r="E2213" s="45"/>
      <c r="F2213" s="45" t="str">
        <f>IF(INDEX(I.Electricity.P4Y2C2,24)="","",INDEX(I.Electricity.P4Y2C2,24))</f>
        <v/>
      </c>
      <c r="G2213" s="45"/>
      <c r="H2213" s="35" t="str">
        <f t="shared" si="89"/>
        <v>Complete</v>
      </c>
      <c r="I2213" s="49" t="s">
        <v>2026</v>
      </c>
    </row>
    <row r="2214" spans="2:9" ht="15" customHeight="1" x14ac:dyDescent="0.25">
      <c r="B2214" s="26" t="s">
        <v>1292</v>
      </c>
      <c r="C2214" s="1">
        <v>1</v>
      </c>
      <c r="D2214" s="27" t="s">
        <v>3309</v>
      </c>
      <c r="E2214" s="25"/>
      <c r="F2214" s="25" t="str">
        <f>IF(INDEX(I.Electricity.P4Y3C2,1)="","",INDEX(I.Electricity.P4Y3C2,1))</f>
        <v/>
      </c>
      <c r="G2214" s="25"/>
      <c r="H2214" s="1" t="str">
        <f t="shared" ref="H2214:H2237" si="90">IF(AND(I.Facility.ProductCount&gt;=4,I.Product.P4Electricity="Yes",I.Developer.P4C2=TRUE,I.Product.P4Status&lt;&gt;"Yes",F2214=""),"Incomplete","Complete")</f>
        <v>Complete</v>
      </c>
      <c r="I2214" s="48" t="s">
        <v>2027</v>
      </c>
    </row>
    <row r="2215" spans="2:9" ht="15" customHeight="1" x14ac:dyDescent="0.25">
      <c r="B2215" s="26" t="s">
        <v>1292</v>
      </c>
      <c r="C2215" s="1">
        <v>2</v>
      </c>
      <c r="D2215" s="27" t="s">
        <v>3309</v>
      </c>
      <c r="E2215" s="25"/>
      <c r="F2215" s="25" t="str">
        <f>IF(INDEX(I.Electricity.P4Y3C2,2)="","",INDEX(I.Electricity.P4Y3C2,2))</f>
        <v/>
      </c>
      <c r="G2215" s="25"/>
      <c r="H2215" s="1" t="str">
        <f t="shared" si="90"/>
        <v>Complete</v>
      </c>
      <c r="I2215" s="48" t="s">
        <v>2028</v>
      </c>
    </row>
    <row r="2216" spans="2:9" ht="15" customHeight="1" x14ac:dyDescent="0.25">
      <c r="B2216" s="26" t="s">
        <v>1292</v>
      </c>
      <c r="C2216" s="1">
        <v>3</v>
      </c>
      <c r="D2216" s="27" t="s">
        <v>3309</v>
      </c>
      <c r="E2216" s="25"/>
      <c r="F2216" s="25" t="str">
        <f>IF(INDEX(I.Electricity.P4Y3C2,3)="","",INDEX(I.Electricity.P4Y3C2,3))</f>
        <v/>
      </c>
      <c r="G2216" s="25"/>
      <c r="H2216" s="1" t="str">
        <f t="shared" si="90"/>
        <v>Complete</v>
      </c>
      <c r="I2216" s="48" t="s">
        <v>2029</v>
      </c>
    </row>
    <row r="2217" spans="2:9" ht="15" customHeight="1" x14ac:dyDescent="0.25">
      <c r="B2217" s="26" t="s">
        <v>1292</v>
      </c>
      <c r="C2217" s="1">
        <v>4</v>
      </c>
      <c r="D2217" s="27" t="s">
        <v>3309</v>
      </c>
      <c r="E2217" s="25"/>
      <c r="F2217" s="25" t="str">
        <f>IF(INDEX(I.Electricity.P4Y3C2,4)="","",INDEX(I.Electricity.P4Y3C2,4))</f>
        <v/>
      </c>
      <c r="G2217" s="25"/>
      <c r="H2217" s="1" t="str">
        <f t="shared" si="90"/>
        <v>Complete</v>
      </c>
      <c r="I2217" s="48" t="s">
        <v>2030</v>
      </c>
    </row>
    <row r="2218" spans="2:9" ht="15" customHeight="1" x14ac:dyDescent="0.25">
      <c r="B2218" s="26" t="s">
        <v>1292</v>
      </c>
      <c r="C2218" s="1">
        <v>5</v>
      </c>
      <c r="D2218" s="27" t="s">
        <v>3309</v>
      </c>
      <c r="E2218" s="25"/>
      <c r="F2218" s="25" t="str">
        <f>IF(INDEX(I.Electricity.P4Y3C2,5)="","",INDEX(I.Electricity.P4Y3C2,5))</f>
        <v/>
      </c>
      <c r="G2218" s="25"/>
      <c r="H2218" s="1" t="str">
        <f t="shared" si="90"/>
        <v>Complete</v>
      </c>
      <c r="I2218" s="48" t="s">
        <v>2031</v>
      </c>
    </row>
    <row r="2219" spans="2:9" ht="15" customHeight="1" x14ac:dyDescent="0.25">
      <c r="B2219" s="26" t="s">
        <v>1292</v>
      </c>
      <c r="C2219" s="1">
        <v>6</v>
      </c>
      <c r="D2219" s="27" t="s">
        <v>3309</v>
      </c>
      <c r="E2219" s="25"/>
      <c r="F2219" s="25" t="str">
        <f>IF(INDEX(I.Electricity.P4Y3C2,6)="","",INDEX(I.Electricity.P4Y3C2,6))</f>
        <v/>
      </c>
      <c r="G2219" s="25"/>
      <c r="H2219" s="1" t="str">
        <f t="shared" si="90"/>
        <v>Complete</v>
      </c>
      <c r="I2219" s="48" t="s">
        <v>2032</v>
      </c>
    </row>
    <row r="2220" spans="2:9" ht="15" customHeight="1" x14ac:dyDescent="0.25">
      <c r="B2220" s="26" t="s">
        <v>1292</v>
      </c>
      <c r="C2220" s="1">
        <v>7</v>
      </c>
      <c r="D2220" s="27" t="s">
        <v>3309</v>
      </c>
      <c r="E2220" s="25"/>
      <c r="F2220" s="25" t="str">
        <f>IF(INDEX(I.Electricity.P4Y3C2,7)="","",INDEX(I.Electricity.P4Y3C2,7))</f>
        <v/>
      </c>
      <c r="G2220" s="25"/>
      <c r="H2220" s="1" t="str">
        <f t="shared" si="90"/>
        <v>Complete</v>
      </c>
      <c r="I2220" s="48" t="s">
        <v>2033</v>
      </c>
    </row>
    <row r="2221" spans="2:9" ht="15" customHeight="1" x14ac:dyDescent="0.25">
      <c r="B2221" s="26" t="s">
        <v>1292</v>
      </c>
      <c r="C2221" s="1">
        <v>8</v>
      </c>
      <c r="D2221" s="27" t="s">
        <v>3309</v>
      </c>
      <c r="E2221" s="25"/>
      <c r="F2221" s="25" t="str">
        <f>IF(INDEX(I.Electricity.P4Y3C2,8)="","",INDEX(I.Electricity.P4Y3C2,8))</f>
        <v/>
      </c>
      <c r="G2221" s="25"/>
      <c r="H2221" s="1" t="str">
        <f t="shared" si="90"/>
        <v>Complete</v>
      </c>
      <c r="I2221" s="48" t="s">
        <v>2034</v>
      </c>
    </row>
    <row r="2222" spans="2:9" ht="15" customHeight="1" x14ac:dyDescent="0.25">
      <c r="B2222" s="26" t="s">
        <v>1292</v>
      </c>
      <c r="C2222" s="1">
        <v>9</v>
      </c>
      <c r="D2222" s="27" t="s">
        <v>3309</v>
      </c>
      <c r="E2222" s="25"/>
      <c r="F2222" s="25" t="str">
        <f>IF(INDEX(I.Electricity.P4Y3C2,9)="","",INDEX(I.Electricity.P4Y3C2,9))</f>
        <v/>
      </c>
      <c r="G2222" s="25"/>
      <c r="H2222" s="1" t="str">
        <f t="shared" si="90"/>
        <v>Complete</v>
      </c>
      <c r="I2222" s="48" t="s">
        <v>2035</v>
      </c>
    </row>
    <row r="2223" spans="2:9" ht="15" customHeight="1" x14ac:dyDescent="0.25">
      <c r="B2223" s="26" t="s">
        <v>1292</v>
      </c>
      <c r="C2223" s="1">
        <v>10</v>
      </c>
      <c r="D2223" s="27" t="s">
        <v>3309</v>
      </c>
      <c r="E2223" s="25"/>
      <c r="F2223" s="25" t="str">
        <f>IF(INDEX(I.Electricity.P4Y3C2,10)="","",INDEX(I.Electricity.P4Y3C2,10))</f>
        <v/>
      </c>
      <c r="G2223" s="25"/>
      <c r="H2223" s="1" t="str">
        <f t="shared" si="90"/>
        <v>Complete</v>
      </c>
      <c r="I2223" s="48" t="s">
        <v>2036</v>
      </c>
    </row>
    <row r="2224" spans="2:9" ht="15" customHeight="1" x14ac:dyDescent="0.25">
      <c r="B2224" s="26" t="s">
        <v>1292</v>
      </c>
      <c r="C2224" s="1">
        <v>11</v>
      </c>
      <c r="D2224" s="27" t="s">
        <v>3309</v>
      </c>
      <c r="E2224" s="25"/>
      <c r="F2224" s="25" t="str">
        <f>IF(INDEX(I.Electricity.P4Y3C2,11)="","",INDEX(I.Electricity.P4Y3C2,11))</f>
        <v/>
      </c>
      <c r="G2224" s="25"/>
      <c r="H2224" s="1" t="str">
        <f t="shared" si="90"/>
        <v>Complete</v>
      </c>
      <c r="I2224" s="48" t="s">
        <v>2037</v>
      </c>
    </row>
    <row r="2225" spans="2:9" ht="15" customHeight="1" x14ac:dyDescent="0.25">
      <c r="B2225" s="26" t="s">
        <v>1292</v>
      </c>
      <c r="C2225" s="1">
        <v>12</v>
      </c>
      <c r="D2225" s="27" t="s">
        <v>3309</v>
      </c>
      <c r="E2225" s="25"/>
      <c r="F2225" s="25" t="str">
        <f>IF(INDEX(I.Electricity.P4Y3C2,12)="","",INDEX(I.Electricity.P4Y3C2,12))</f>
        <v/>
      </c>
      <c r="G2225" s="25"/>
      <c r="H2225" s="1" t="str">
        <f t="shared" si="90"/>
        <v>Complete</v>
      </c>
      <c r="I2225" s="48" t="s">
        <v>2038</v>
      </c>
    </row>
    <row r="2226" spans="2:9" ht="15" customHeight="1" x14ac:dyDescent="0.25">
      <c r="B2226" s="26" t="s">
        <v>1292</v>
      </c>
      <c r="C2226" s="1">
        <v>13</v>
      </c>
      <c r="D2226" s="27" t="s">
        <v>3309</v>
      </c>
      <c r="E2226" s="25"/>
      <c r="F2226" s="25" t="str">
        <f>IF(INDEX(I.Electricity.P4Y3C2,13)="","",INDEX(I.Electricity.P4Y3C2,13))</f>
        <v/>
      </c>
      <c r="G2226" s="25"/>
      <c r="H2226" s="1" t="str">
        <f t="shared" si="90"/>
        <v>Complete</v>
      </c>
      <c r="I2226" s="48" t="s">
        <v>2039</v>
      </c>
    </row>
    <row r="2227" spans="2:9" ht="15" customHeight="1" x14ac:dyDescent="0.25">
      <c r="B2227" s="26" t="s">
        <v>1292</v>
      </c>
      <c r="C2227" s="1">
        <v>14</v>
      </c>
      <c r="D2227" s="27" t="s">
        <v>3309</v>
      </c>
      <c r="E2227" s="25"/>
      <c r="F2227" s="25" t="str">
        <f>IF(INDEX(I.Electricity.P4Y3C2,14)="","",INDEX(I.Electricity.P4Y3C2,14))</f>
        <v/>
      </c>
      <c r="G2227" s="25"/>
      <c r="H2227" s="1" t="str">
        <f t="shared" si="90"/>
        <v>Complete</v>
      </c>
      <c r="I2227" s="48" t="s">
        <v>2040</v>
      </c>
    </row>
    <row r="2228" spans="2:9" ht="15" customHeight="1" x14ac:dyDescent="0.25">
      <c r="B2228" s="26" t="s">
        <v>1292</v>
      </c>
      <c r="C2228" s="1">
        <v>15</v>
      </c>
      <c r="D2228" s="27" t="s">
        <v>3309</v>
      </c>
      <c r="E2228" s="25"/>
      <c r="F2228" s="25" t="str">
        <f>IF(INDEX(I.Electricity.P4Y3C2,15)="","",INDEX(I.Electricity.P4Y3C2,15))</f>
        <v/>
      </c>
      <c r="G2228" s="25"/>
      <c r="H2228" s="1" t="str">
        <f t="shared" si="90"/>
        <v>Complete</v>
      </c>
      <c r="I2228" s="48" t="s">
        <v>2041</v>
      </c>
    </row>
    <row r="2229" spans="2:9" ht="15" customHeight="1" x14ac:dyDescent="0.25">
      <c r="B2229" s="26" t="s">
        <v>1292</v>
      </c>
      <c r="C2229" s="1">
        <v>16</v>
      </c>
      <c r="D2229" s="27" t="s">
        <v>3309</v>
      </c>
      <c r="E2229" s="25"/>
      <c r="F2229" s="25" t="str">
        <f>IF(INDEX(I.Electricity.P4Y3C2,16)="","",INDEX(I.Electricity.P4Y3C2,16))</f>
        <v/>
      </c>
      <c r="G2229" s="25"/>
      <c r="H2229" s="1" t="str">
        <f t="shared" si="90"/>
        <v>Complete</v>
      </c>
      <c r="I2229" s="48" t="s">
        <v>2042</v>
      </c>
    </row>
    <row r="2230" spans="2:9" ht="15" customHeight="1" x14ac:dyDescent="0.25">
      <c r="B2230" s="26" t="s">
        <v>1292</v>
      </c>
      <c r="C2230" s="1">
        <v>17</v>
      </c>
      <c r="D2230" s="27" t="s">
        <v>3309</v>
      </c>
      <c r="E2230" s="25"/>
      <c r="F2230" s="25" t="str">
        <f>IF(INDEX(I.Electricity.P4Y3C2,17)="","",INDEX(I.Electricity.P4Y3C2,17))</f>
        <v/>
      </c>
      <c r="G2230" s="25"/>
      <c r="H2230" s="1" t="str">
        <f t="shared" si="90"/>
        <v>Complete</v>
      </c>
      <c r="I2230" s="48" t="s">
        <v>2043</v>
      </c>
    </row>
    <row r="2231" spans="2:9" ht="15" customHeight="1" x14ac:dyDescent="0.25">
      <c r="B2231" s="26" t="s">
        <v>1292</v>
      </c>
      <c r="C2231" s="1">
        <v>18</v>
      </c>
      <c r="D2231" s="27" t="s">
        <v>3309</v>
      </c>
      <c r="E2231" s="25"/>
      <c r="F2231" s="25" t="str">
        <f>IF(INDEX(I.Electricity.P4Y3C2,18)="","",INDEX(I.Electricity.P4Y3C2,18))</f>
        <v/>
      </c>
      <c r="G2231" s="25"/>
      <c r="H2231" s="1" t="str">
        <f t="shared" si="90"/>
        <v>Complete</v>
      </c>
      <c r="I2231" s="48" t="s">
        <v>2044</v>
      </c>
    </row>
    <row r="2232" spans="2:9" ht="15" customHeight="1" x14ac:dyDescent="0.25">
      <c r="B2232" s="26" t="s">
        <v>1292</v>
      </c>
      <c r="C2232" s="1">
        <v>19</v>
      </c>
      <c r="D2232" s="27" t="s">
        <v>3309</v>
      </c>
      <c r="E2232" s="25"/>
      <c r="F2232" s="25" t="str">
        <f>IF(INDEX(I.Electricity.P4Y3C2,19)="","",INDEX(I.Electricity.P4Y3C2,19))</f>
        <v/>
      </c>
      <c r="G2232" s="25"/>
      <c r="H2232" s="1" t="str">
        <f t="shared" si="90"/>
        <v>Complete</v>
      </c>
      <c r="I2232" s="48" t="s">
        <v>2045</v>
      </c>
    </row>
    <row r="2233" spans="2:9" ht="15" customHeight="1" x14ac:dyDescent="0.25">
      <c r="B2233" s="26" t="s">
        <v>1292</v>
      </c>
      <c r="C2233" s="1">
        <v>20</v>
      </c>
      <c r="D2233" s="27" t="s">
        <v>3309</v>
      </c>
      <c r="E2233" s="25"/>
      <c r="F2233" s="25" t="str">
        <f>IF(INDEX(I.Electricity.P4Y3C2,20)="","",INDEX(I.Electricity.P4Y3C2,20))</f>
        <v/>
      </c>
      <c r="G2233" s="25"/>
      <c r="H2233" s="1" t="str">
        <f t="shared" si="90"/>
        <v>Complete</v>
      </c>
      <c r="I2233" s="48" t="s">
        <v>2046</v>
      </c>
    </row>
    <row r="2234" spans="2:9" ht="15" customHeight="1" x14ac:dyDescent="0.25">
      <c r="B2234" s="26" t="s">
        <v>1292</v>
      </c>
      <c r="C2234" s="1">
        <v>21</v>
      </c>
      <c r="D2234" s="27" t="s">
        <v>3309</v>
      </c>
      <c r="E2234" s="25"/>
      <c r="F2234" s="25" t="str">
        <f>IF(INDEX(I.Electricity.P4Y3C2,21)="","",INDEX(I.Electricity.P4Y3C2,21))</f>
        <v/>
      </c>
      <c r="G2234" s="25"/>
      <c r="H2234" s="1" t="str">
        <f t="shared" si="90"/>
        <v>Complete</v>
      </c>
      <c r="I2234" s="48" t="s">
        <v>2047</v>
      </c>
    </row>
    <row r="2235" spans="2:9" ht="15" customHeight="1" x14ac:dyDescent="0.25">
      <c r="B2235" s="26" t="s">
        <v>1292</v>
      </c>
      <c r="C2235" s="1">
        <v>22</v>
      </c>
      <c r="D2235" s="27" t="s">
        <v>3309</v>
      </c>
      <c r="E2235" s="25"/>
      <c r="F2235" s="25" t="str">
        <f>IF(INDEX(I.Electricity.P4Y3C2,22)="","",INDEX(I.Electricity.P4Y3C2,22))</f>
        <v/>
      </c>
      <c r="G2235" s="25"/>
      <c r="H2235" s="1" t="str">
        <f t="shared" si="90"/>
        <v>Complete</v>
      </c>
      <c r="I2235" s="48" t="s">
        <v>2048</v>
      </c>
    </row>
    <row r="2236" spans="2:9" ht="15" customHeight="1" x14ac:dyDescent="0.25">
      <c r="B2236" s="26" t="s">
        <v>1292</v>
      </c>
      <c r="C2236" s="1">
        <v>23</v>
      </c>
      <c r="D2236" s="27" t="s">
        <v>3309</v>
      </c>
      <c r="E2236" s="25"/>
      <c r="F2236" s="25" t="str">
        <f>IF(INDEX(I.Electricity.P4Y3C2,23)="","",INDEX(I.Electricity.P4Y3C2,23))</f>
        <v/>
      </c>
      <c r="G2236" s="25"/>
      <c r="H2236" s="1" t="str">
        <f t="shared" si="90"/>
        <v>Complete</v>
      </c>
      <c r="I2236" s="48" t="s">
        <v>2049</v>
      </c>
    </row>
    <row r="2237" spans="2:9" ht="15" customHeight="1" x14ac:dyDescent="0.25">
      <c r="B2237" s="34" t="s">
        <v>1292</v>
      </c>
      <c r="C2237" s="35">
        <v>24</v>
      </c>
      <c r="D2237" s="46" t="s">
        <v>3309</v>
      </c>
      <c r="E2237" s="45"/>
      <c r="F2237" s="45" t="str">
        <f>IF(INDEX(I.Electricity.P4Y3C2,24)="","",INDEX(I.Electricity.P4Y3C2,24))</f>
        <v/>
      </c>
      <c r="G2237" s="45"/>
      <c r="H2237" s="35" t="str">
        <f t="shared" si="90"/>
        <v>Complete</v>
      </c>
      <c r="I2237" s="49" t="s">
        <v>2050</v>
      </c>
    </row>
    <row r="2238" spans="2:9" ht="15" customHeight="1" x14ac:dyDescent="0.25">
      <c r="B2238" s="26" t="s">
        <v>1293</v>
      </c>
      <c r="C2238" s="1">
        <v>1</v>
      </c>
      <c r="D2238" s="27" t="s">
        <v>3310</v>
      </c>
      <c r="E2238" s="25"/>
      <c r="F2238" s="25" t="str">
        <f>IF(INDEX(I.Electricity.P4Y1C3,1)="","",INDEX(I.Electricity.P4Y1C3,1))</f>
        <v/>
      </c>
      <c r="G2238" s="25"/>
      <c r="H2238" s="1" t="str">
        <f t="shared" ref="H2238:H2279" si="91">IF(AND(I.Facility.ProductCount&gt;=4,I.Product.P4Electricity="Yes",I.Developer.P4C3=TRUE,F2238=""),"Incomplete","Complete")</f>
        <v>Complete</v>
      </c>
      <c r="I2238" s="48" t="s">
        <v>2051</v>
      </c>
    </row>
    <row r="2239" spans="2:9" ht="15" customHeight="1" x14ac:dyDescent="0.25">
      <c r="B2239" s="26" t="s">
        <v>1293</v>
      </c>
      <c r="C2239" s="1">
        <v>2</v>
      </c>
      <c r="D2239" s="27" t="s">
        <v>3310</v>
      </c>
      <c r="E2239" s="25"/>
      <c r="F2239" s="25" t="str">
        <f>IF(INDEX(I.Electricity.P4Y1C3,2)="","",INDEX(I.Electricity.P4Y1C3,2))</f>
        <v/>
      </c>
      <c r="G2239" s="25"/>
      <c r="H2239" s="1" t="str">
        <f t="shared" si="91"/>
        <v>Complete</v>
      </c>
      <c r="I2239" s="48" t="s">
        <v>2052</v>
      </c>
    </row>
    <row r="2240" spans="2:9" ht="15" customHeight="1" x14ac:dyDescent="0.25">
      <c r="B2240" s="26" t="s">
        <v>1293</v>
      </c>
      <c r="C2240" s="1">
        <v>3</v>
      </c>
      <c r="D2240" s="27" t="s">
        <v>3310</v>
      </c>
      <c r="E2240" s="25"/>
      <c r="F2240" s="25" t="str">
        <f>IF(INDEX(I.Electricity.P4Y1C3,3)="","",INDEX(I.Electricity.P4Y1C3,3))</f>
        <v/>
      </c>
      <c r="G2240" s="25"/>
      <c r="H2240" s="1" t="str">
        <f t="shared" si="91"/>
        <v>Complete</v>
      </c>
      <c r="I2240" s="48" t="s">
        <v>2053</v>
      </c>
    </row>
    <row r="2241" spans="2:9" ht="15" customHeight="1" x14ac:dyDescent="0.25">
      <c r="B2241" s="26" t="s">
        <v>1293</v>
      </c>
      <c r="C2241" s="1">
        <v>4</v>
      </c>
      <c r="D2241" s="27" t="s">
        <v>3310</v>
      </c>
      <c r="E2241" s="25"/>
      <c r="F2241" s="25" t="str">
        <f>IF(INDEX(I.Electricity.P4Y1C3,4)="","",INDEX(I.Electricity.P4Y1C3,4))</f>
        <v/>
      </c>
      <c r="G2241" s="25"/>
      <c r="H2241" s="1" t="str">
        <f t="shared" si="91"/>
        <v>Complete</v>
      </c>
      <c r="I2241" s="48" t="s">
        <v>2054</v>
      </c>
    </row>
    <row r="2242" spans="2:9" ht="15" customHeight="1" x14ac:dyDescent="0.25">
      <c r="B2242" s="26" t="s">
        <v>1293</v>
      </c>
      <c r="C2242" s="1">
        <v>5</v>
      </c>
      <c r="D2242" s="27" t="s">
        <v>3310</v>
      </c>
      <c r="E2242" s="25"/>
      <c r="F2242" s="25" t="str">
        <f>IF(INDEX(I.Electricity.P4Y1C3,5)="","",INDEX(I.Electricity.P4Y1C3,5))</f>
        <v/>
      </c>
      <c r="G2242" s="25"/>
      <c r="H2242" s="1" t="str">
        <f t="shared" si="91"/>
        <v>Complete</v>
      </c>
      <c r="I2242" s="48" t="s">
        <v>2055</v>
      </c>
    </row>
    <row r="2243" spans="2:9" ht="15" customHeight="1" x14ac:dyDescent="0.25">
      <c r="B2243" s="26" t="s">
        <v>1293</v>
      </c>
      <c r="C2243" s="1">
        <v>6</v>
      </c>
      <c r="D2243" s="27" t="s">
        <v>3310</v>
      </c>
      <c r="E2243" s="25"/>
      <c r="F2243" s="25" t="str">
        <f>IF(INDEX(I.Electricity.P4Y1C3,6)="","",INDEX(I.Electricity.P4Y1C3,6))</f>
        <v/>
      </c>
      <c r="G2243" s="25"/>
      <c r="H2243" s="1" t="str">
        <f t="shared" si="91"/>
        <v>Complete</v>
      </c>
      <c r="I2243" s="48" t="s">
        <v>2056</v>
      </c>
    </row>
    <row r="2244" spans="2:9" ht="15" customHeight="1" x14ac:dyDescent="0.25">
      <c r="B2244" s="26" t="s">
        <v>1293</v>
      </c>
      <c r="C2244" s="1">
        <v>7</v>
      </c>
      <c r="D2244" s="27" t="s">
        <v>3310</v>
      </c>
      <c r="E2244" s="25"/>
      <c r="F2244" s="25" t="str">
        <f>IF(INDEX(I.Electricity.P4Y1C3,7)="","",INDEX(I.Electricity.P4Y1C3,7))</f>
        <v/>
      </c>
      <c r="G2244" s="25"/>
      <c r="H2244" s="1" t="str">
        <f t="shared" si="91"/>
        <v>Complete</v>
      </c>
      <c r="I2244" s="48" t="s">
        <v>2057</v>
      </c>
    </row>
    <row r="2245" spans="2:9" ht="15" customHeight="1" x14ac:dyDescent="0.25">
      <c r="B2245" s="26" t="s">
        <v>1293</v>
      </c>
      <c r="C2245" s="1">
        <v>8</v>
      </c>
      <c r="D2245" s="27" t="s">
        <v>3310</v>
      </c>
      <c r="E2245" s="25"/>
      <c r="F2245" s="25" t="str">
        <f>IF(INDEX(I.Electricity.P4Y1C3,8)="","",INDEX(I.Electricity.P4Y1C3,8))</f>
        <v/>
      </c>
      <c r="G2245" s="25"/>
      <c r="H2245" s="1" t="str">
        <f t="shared" si="91"/>
        <v>Complete</v>
      </c>
      <c r="I2245" s="48" t="s">
        <v>2058</v>
      </c>
    </row>
    <row r="2246" spans="2:9" ht="15" customHeight="1" x14ac:dyDescent="0.25">
      <c r="B2246" s="26" t="s">
        <v>1293</v>
      </c>
      <c r="C2246" s="1">
        <v>9</v>
      </c>
      <c r="D2246" s="27" t="s">
        <v>3310</v>
      </c>
      <c r="E2246" s="25"/>
      <c r="F2246" s="25" t="str">
        <f>IF(INDEX(I.Electricity.P4Y1C3,9)="","",INDEX(I.Electricity.P4Y1C3,9))</f>
        <v/>
      </c>
      <c r="G2246" s="25"/>
      <c r="H2246" s="1" t="str">
        <f t="shared" si="91"/>
        <v>Complete</v>
      </c>
      <c r="I2246" s="48" t="s">
        <v>2059</v>
      </c>
    </row>
    <row r="2247" spans="2:9" ht="15" customHeight="1" x14ac:dyDescent="0.25">
      <c r="B2247" s="26" t="s">
        <v>1293</v>
      </c>
      <c r="C2247" s="1">
        <v>10</v>
      </c>
      <c r="D2247" s="27" t="s">
        <v>3310</v>
      </c>
      <c r="E2247" s="25"/>
      <c r="F2247" s="25" t="str">
        <f>IF(INDEX(I.Electricity.P4Y1C3,10)="","",INDEX(I.Electricity.P4Y1C3,10))</f>
        <v/>
      </c>
      <c r="G2247" s="25"/>
      <c r="H2247" s="1" t="str">
        <f t="shared" si="91"/>
        <v>Complete</v>
      </c>
      <c r="I2247" s="48" t="s">
        <v>2060</v>
      </c>
    </row>
    <row r="2248" spans="2:9" ht="15" customHeight="1" x14ac:dyDescent="0.25">
      <c r="B2248" s="26" t="s">
        <v>1293</v>
      </c>
      <c r="C2248" s="1">
        <v>11</v>
      </c>
      <c r="D2248" s="27" t="s">
        <v>3310</v>
      </c>
      <c r="E2248" s="25"/>
      <c r="F2248" s="25" t="str">
        <f>IF(INDEX(I.Electricity.P4Y1C3,11)="","",INDEX(I.Electricity.P4Y1C3,11))</f>
        <v/>
      </c>
      <c r="G2248" s="25"/>
      <c r="H2248" s="1" t="str">
        <f t="shared" si="91"/>
        <v>Complete</v>
      </c>
      <c r="I2248" s="48" t="s">
        <v>2061</v>
      </c>
    </row>
    <row r="2249" spans="2:9" ht="15" customHeight="1" x14ac:dyDescent="0.25">
      <c r="B2249" s="26" t="s">
        <v>1293</v>
      </c>
      <c r="C2249" s="1">
        <v>12</v>
      </c>
      <c r="D2249" s="27" t="s">
        <v>3310</v>
      </c>
      <c r="E2249" s="25"/>
      <c r="F2249" s="25" t="str">
        <f>IF(INDEX(I.Electricity.P4Y1C3,12)="","",INDEX(I.Electricity.P4Y1C3,12))</f>
        <v/>
      </c>
      <c r="G2249" s="25"/>
      <c r="H2249" s="1" t="str">
        <f t="shared" si="91"/>
        <v>Complete</v>
      </c>
      <c r="I2249" s="48" t="s">
        <v>2062</v>
      </c>
    </row>
    <row r="2250" spans="2:9" ht="15" customHeight="1" x14ac:dyDescent="0.25">
      <c r="B2250" s="26" t="s">
        <v>1293</v>
      </c>
      <c r="C2250" s="1">
        <v>13</v>
      </c>
      <c r="D2250" s="27" t="s">
        <v>3310</v>
      </c>
      <c r="E2250" s="25"/>
      <c r="F2250" s="25" t="str">
        <f>IF(INDEX(I.Electricity.P4Y1C3,13)="","",INDEX(I.Electricity.P4Y1C3,13))</f>
        <v/>
      </c>
      <c r="G2250" s="25"/>
      <c r="H2250" s="1" t="str">
        <f t="shared" si="91"/>
        <v>Complete</v>
      </c>
      <c r="I2250" s="48" t="s">
        <v>2063</v>
      </c>
    </row>
    <row r="2251" spans="2:9" ht="15" customHeight="1" x14ac:dyDescent="0.25">
      <c r="B2251" s="26" t="s">
        <v>1293</v>
      </c>
      <c r="C2251" s="1">
        <v>14</v>
      </c>
      <c r="D2251" s="27" t="s">
        <v>3310</v>
      </c>
      <c r="E2251" s="25"/>
      <c r="F2251" s="25" t="str">
        <f>IF(INDEX(I.Electricity.P4Y1C3,14)="","",INDEX(I.Electricity.P4Y1C3,14))</f>
        <v/>
      </c>
      <c r="G2251" s="25"/>
      <c r="H2251" s="1" t="str">
        <f t="shared" si="91"/>
        <v>Complete</v>
      </c>
      <c r="I2251" s="48" t="s">
        <v>2064</v>
      </c>
    </row>
    <row r="2252" spans="2:9" ht="15" customHeight="1" x14ac:dyDescent="0.25">
      <c r="B2252" s="26" t="s">
        <v>1293</v>
      </c>
      <c r="C2252" s="1">
        <v>15</v>
      </c>
      <c r="D2252" s="27" t="s">
        <v>3310</v>
      </c>
      <c r="E2252" s="25"/>
      <c r="F2252" s="25" t="str">
        <f>IF(INDEX(I.Electricity.P4Y1C3,15)="","",INDEX(I.Electricity.P4Y1C3,15))</f>
        <v/>
      </c>
      <c r="G2252" s="25"/>
      <c r="H2252" s="1" t="str">
        <f t="shared" si="91"/>
        <v>Complete</v>
      </c>
      <c r="I2252" s="48" t="s">
        <v>2065</v>
      </c>
    </row>
    <row r="2253" spans="2:9" ht="15" customHeight="1" x14ac:dyDescent="0.25">
      <c r="B2253" s="26" t="s">
        <v>1293</v>
      </c>
      <c r="C2253" s="1">
        <v>16</v>
      </c>
      <c r="D2253" s="27" t="s">
        <v>3310</v>
      </c>
      <c r="E2253" s="25"/>
      <c r="F2253" s="25" t="str">
        <f>IF(INDEX(I.Electricity.P4Y1C3,16)="","",INDEX(I.Electricity.P4Y1C3,16))</f>
        <v/>
      </c>
      <c r="G2253" s="25"/>
      <c r="H2253" s="1" t="str">
        <f t="shared" si="91"/>
        <v>Complete</v>
      </c>
      <c r="I2253" s="48" t="s">
        <v>2066</v>
      </c>
    </row>
    <row r="2254" spans="2:9" ht="15" customHeight="1" x14ac:dyDescent="0.25">
      <c r="B2254" s="26" t="s">
        <v>1293</v>
      </c>
      <c r="C2254" s="1">
        <v>17</v>
      </c>
      <c r="D2254" s="27" t="s">
        <v>3310</v>
      </c>
      <c r="E2254" s="25"/>
      <c r="F2254" s="25" t="str">
        <f>IF(INDEX(I.Electricity.P4Y1C3,17)="","",INDEX(I.Electricity.P4Y1C3,17))</f>
        <v/>
      </c>
      <c r="G2254" s="25"/>
      <c r="H2254" s="1" t="str">
        <f t="shared" si="91"/>
        <v>Complete</v>
      </c>
      <c r="I2254" s="48" t="s">
        <v>2067</v>
      </c>
    </row>
    <row r="2255" spans="2:9" ht="15" customHeight="1" x14ac:dyDescent="0.25">
      <c r="B2255" s="26" t="s">
        <v>1293</v>
      </c>
      <c r="C2255" s="1">
        <v>18</v>
      </c>
      <c r="D2255" s="27" t="s">
        <v>3310</v>
      </c>
      <c r="E2255" s="25"/>
      <c r="F2255" s="25" t="str">
        <f>IF(INDEX(I.Electricity.P4Y1C3,18)="","",INDEX(I.Electricity.P4Y1C3,18))</f>
        <v/>
      </c>
      <c r="G2255" s="25"/>
      <c r="H2255" s="1" t="str">
        <f t="shared" si="91"/>
        <v>Complete</v>
      </c>
      <c r="I2255" s="48" t="s">
        <v>2068</v>
      </c>
    </row>
    <row r="2256" spans="2:9" ht="15" customHeight="1" x14ac:dyDescent="0.25">
      <c r="B2256" s="26" t="s">
        <v>1293</v>
      </c>
      <c r="C2256" s="1">
        <v>19</v>
      </c>
      <c r="D2256" s="27" t="s">
        <v>3310</v>
      </c>
      <c r="E2256" s="25"/>
      <c r="F2256" s="25" t="str">
        <f>IF(INDEX(I.Electricity.P4Y1C3,19)="","",INDEX(I.Electricity.P4Y1C3,19))</f>
        <v/>
      </c>
      <c r="G2256" s="25"/>
      <c r="H2256" s="1" t="str">
        <f t="shared" si="91"/>
        <v>Complete</v>
      </c>
      <c r="I2256" s="48" t="s">
        <v>2069</v>
      </c>
    </row>
    <row r="2257" spans="2:9" ht="15" customHeight="1" x14ac:dyDescent="0.25">
      <c r="B2257" s="26" t="s">
        <v>1293</v>
      </c>
      <c r="C2257" s="1">
        <v>20</v>
      </c>
      <c r="D2257" s="27" t="s">
        <v>3310</v>
      </c>
      <c r="E2257" s="25"/>
      <c r="F2257" s="25" t="str">
        <f>IF(INDEX(I.Electricity.P4Y1C3,20)="","",INDEX(I.Electricity.P4Y1C3,20))</f>
        <v/>
      </c>
      <c r="G2257" s="25"/>
      <c r="H2257" s="1" t="str">
        <f t="shared" si="91"/>
        <v>Complete</v>
      </c>
      <c r="I2257" s="48" t="s">
        <v>2070</v>
      </c>
    </row>
    <row r="2258" spans="2:9" ht="15" customHeight="1" x14ac:dyDescent="0.25">
      <c r="B2258" s="34" t="s">
        <v>1293</v>
      </c>
      <c r="C2258" s="35">
        <v>21</v>
      </c>
      <c r="D2258" s="46" t="s">
        <v>3310</v>
      </c>
      <c r="E2258" s="45"/>
      <c r="F2258" s="45" t="str">
        <f>IF(INDEX(I.Electricity.P4Y1C3,21)="","",INDEX(I.Electricity.P4Y1C3,21))</f>
        <v/>
      </c>
      <c r="G2258" s="45"/>
      <c r="H2258" s="35" t="str">
        <f t="shared" si="91"/>
        <v>Complete</v>
      </c>
      <c r="I2258" s="49" t="s">
        <v>2071</v>
      </c>
    </row>
    <row r="2259" spans="2:9" ht="15" customHeight="1" x14ac:dyDescent="0.25">
      <c r="B2259" s="26" t="s">
        <v>1294</v>
      </c>
      <c r="C2259" s="1">
        <v>1</v>
      </c>
      <c r="D2259" s="27" t="s">
        <v>3311</v>
      </c>
      <c r="E2259" s="25"/>
      <c r="F2259" s="25" t="str">
        <f>IF(INDEX(I.Electricity.P4Y2C3,1)="","",INDEX(I.Electricity.P4Y2C3,1))</f>
        <v/>
      </c>
      <c r="G2259" s="25"/>
      <c r="H2259" s="1" t="str">
        <f t="shared" si="91"/>
        <v>Complete</v>
      </c>
      <c r="I2259" s="48" t="s">
        <v>2072</v>
      </c>
    </row>
    <row r="2260" spans="2:9" ht="15" customHeight="1" x14ac:dyDescent="0.25">
      <c r="B2260" s="26" t="s">
        <v>1294</v>
      </c>
      <c r="C2260" s="1">
        <v>2</v>
      </c>
      <c r="D2260" s="27" t="s">
        <v>3311</v>
      </c>
      <c r="E2260" s="25"/>
      <c r="F2260" s="25" t="str">
        <f>IF(INDEX(I.Electricity.P4Y2C3,2)="","",INDEX(I.Electricity.P4Y2C3,2))</f>
        <v/>
      </c>
      <c r="G2260" s="25"/>
      <c r="H2260" s="1" t="str">
        <f t="shared" si="91"/>
        <v>Complete</v>
      </c>
      <c r="I2260" s="48" t="s">
        <v>2073</v>
      </c>
    </row>
    <row r="2261" spans="2:9" ht="15" customHeight="1" x14ac:dyDescent="0.25">
      <c r="B2261" s="26" t="s">
        <v>1294</v>
      </c>
      <c r="C2261" s="1">
        <v>3</v>
      </c>
      <c r="D2261" s="27" t="s">
        <v>3311</v>
      </c>
      <c r="E2261" s="25"/>
      <c r="F2261" s="25" t="str">
        <f>IF(INDEX(I.Electricity.P4Y2C3,3)="","",INDEX(I.Electricity.P4Y2C3,3))</f>
        <v/>
      </c>
      <c r="G2261" s="25"/>
      <c r="H2261" s="1" t="str">
        <f t="shared" si="91"/>
        <v>Complete</v>
      </c>
      <c r="I2261" s="48" t="s">
        <v>2074</v>
      </c>
    </row>
    <row r="2262" spans="2:9" ht="15" customHeight="1" x14ac:dyDescent="0.25">
      <c r="B2262" s="26" t="s">
        <v>1294</v>
      </c>
      <c r="C2262" s="1">
        <v>4</v>
      </c>
      <c r="D2262" s="27" t="s">
        <v>3311</v>
      </c>
      <c r="E2262" s="25"/>
      <c r="F2262" s="25" t="str">
        <f>IF(INDEX(I.Electricity.P4Y2C3,4)="","",INDEX(I.Electricity.P4Y2C3,4))</f>
        <v/>
      </c>
      <c r="G2262" s="25"/>
      <c r="H2262" s="1" t="str">
        <f t="shared" si="91"/>
        <v>Complete</v>
      </c>
      <c r="I2262" s="48" t="s">
        <v>2075</v>
      </c>
    </row>
    <row r="2263" spans="2:9" ht="15" customHeight="1" x14ac:dyDescent="0.25">
      <c r="B2263" s="26" t="s">
        <v>1294</v>
      </c>
      <c r="C2263" s="1">
        <v>5</v>
      </c>
      <c r="D2263" s="27" t="s">
        <v>3311</v>
      </c>
      <c r="E2263" s="25"/>
      <c r="F2263" s="25" t="str">
        <f>IF(INDEX(I.Electricity.P4Y2C3,5)="","",INDEX(I.Electricity.P4Y2C3,5))</f>
        <v/>
      </c>
      <c r="G2263" s="25"/>
      <c r="H2263" s="1" t="str">
        <f t="shared" si="91"/>
        <v>Complete</v>
      </c>
      <c r="I2263" s="48" t="s">
        <v>2076</v>
      </c>
    </row>
    <row r="2264" spans="2:9" ht="15" customHeight="1" x14ac:dyDescent="0.25">
      <c r="B2264" s="26" t="s">
        <v>1294</v>
      </c>
      <c r="C2264" s="1">
        <v>6</v>
      </c>
      <c r="D2264" s="27" t="s">
        <v>3311</v>
      </c>
      <c r="E2264" s="25"/>
      <c r="F2264" s="25" t="str">
        <f>IF(INDEX(I.Electricity.P4Y2C3,6)="","",INDEX(I.Electricity.P4Y2C3,6))</f>
        <v/>
      </c>
      <c r="G2264" s="25"/>
      <c r="H2264" s="1" t="str">
        <f t="shared" si="91"/>
        <v>Complete</v>
      </c>
      <c r="I2264" s="48" t="s">
        <v>2077</v>
      </c>
    </row>
    <row r="2265" spans="2:9" ht="15" customHeight="1" x14ac:dyDescent="0.25">
      <c r="B2265" s="26" t="s">
        <v>1294</v>
      </c>
      <c r="C2265" s="1">
        <v>7</v>
      </c>
      <c r="D2265" s="27" t="s">
        <v>3311</v>
      </c>
      <c r="E2265" s="25"/>
      <c r="F2265" s="25" t="str">
        <f>IF(INDEX(I.Electricity.P4Y2C3,7)="","",INDEX(I.Electricity.P4Y2C3,7))</f>
        <v/>
      </c>
      <c r="G2265" s="25"/>
      <c r="H2265" s="1" t="str">
        <f t="shared" si="91"/>
        <v>Complete</v>
      </c>
      <c r="I2265" s="48" t="s">
        <v>2078</v>
      </c>
    </row>
    <row r="2266" spans="2:9" ht="15" customHeight="1" x14ac:dyDescent="0.25">
      <c r="B2266" s="26" t="s">
        <v>1294</v>
      </c>
      <c r="C2266" s="1">
        <v>8</v>
      </c>
      <c r="D2266" s="27" t="s">
        <v>3311</v>
      </c>
      <c r="E2266" s="25"/>
      <c r="F2266" s="25" t="str">
        <f>IF(INDEX(I.Electricity.P4Y2C3,8)="","",INDEX(I.Electricity.P4Y2C3,8))</f>
        <v/>
      </c>
      <c r="G2266" s="25"/>
      <c r="H2266" s="1" t="str">
        <f t="shared" si="91"/>
        <v>Complete</v>
      </c>
      <c r="I2266" s="48" t="s">
        <v>2079</v>
      </c>
    </row>
    <row r="2267" spans="2:9" ht="15" customHeight="1" x14ac:dyDescent="0.25">
      <c r="B2267" s="26" t="s">
        <v>1294</v>
      </c>
      <c r="C2267" s="1">
        <v>9</v>
      </c>
      <c r="D2267" s="27" t="s">
        <v>3311</v>
      </c>
      <c r="E2267" s="25"/>
      <c r="F2267" s="25" t="str">
        <f>IF(INDEX(I.Electricity.P4Y2C3,9)="","",INDEX(I.Electricity.P4Y2C3,9))</f>
        <v/>
      </c>
      <c r="G2267" s="25"/>
      <c r="H2267" s="1" t="str">
        <f t="shared" si="91"/>
        <v>Complete</v>
      </c>
      <c r="I2267" s="48" t="s">
        <v>2080</v>
      </c>
    </row>
    <row r="2268" spans="2:9" ht="15" customHeight="1" x14ac:dyDescent="0.25">
      <c r="B2268" s="26" t="s">
        <v>1294</v>
      </c>
      <c r="C2268" s="1">
        <v>10</v>
      </c>
      <c r="D2268" s="27" t="s">
        <v>3311</v>
      </c>
      <c r="E2268" s="25"/>
      <c r="F2268" s="25" t="str">
        <f>IF(INDEX(I.Electricity.P4Y2C3,10)="","",INDEX(I.Electricity.P4Y2C3,10))</f>
        <v/>
      </c>
      <c r="G2268" s="25"/>
      <c r="H2268" s="1" t="str">
        <f t="shared" si="91"/>
        <v>Complete</v>
      </c>
      <c r="I2268" s="48" t="s">
        <v>2081</v>
      </c>
    </row>
    <row r="2269" spans="2:9" ht="15" customHeight="1" x14ac:dyDescent="0.25">
      <c r="B2269" s="26" t="s">
        <v>1294</v>
      </c>
      <c r="C2269" s="1">
        <v>11</v>
      </c>
      <c r="D2269" s="27" t="s">
        <v>3311</v>
      </c>
      <c r="E2269" s="25"/>
      <c r="F2269" s="25" t="str">
        <f>IF(INDEX(I.Electricity.P4Y2C3,11)="","",INDEX(I.Electricity.P4Y2C3,11))</f>
        <v/>
      </c>
      <c r="G2269" s="25"/>
      <c r="H2269" s="1" t="str">
        <f t="shared" si="91"/>
        <v>Complete</v>
      </c>
      <c r="I2269" s="48" t="s">
        <v>2082</v>
      </c>
    </row>
    <row r="2270" spans="2:9" ht="15" customHeight="1" x14ac:dyDescent="0.25">
      <c r="B2270" s="26" t="s">
        <v>1294</v>
      </c>
      <c r="C2270" s="1">
        <v>12</v>
      </c>
      <c r="D2270" s="27" t="s">
        <v>3311</v>
      </c>
      <c r="E2270" s="25"/>
      <c r="F2270" s="25" t="str">
        <f>IF(INDEX(I.Electricity.P4Y2C3,12)="","",INDEX(I.Electricity.P4Y2C3,12))</f>
        <v/>
      </c>
      <c r="G2270" s="25"/>
      <c r="H2270" s="1" t="str">
        <f t="shared" si="91"/>
        <v>Complete</v>
      </c>
      <c r="I2270" s="48" t="s">
        <v>2083</v>
      </c>
    </row>
    <row r="2271" spans="2:9" ht="15" customHeight="1" x14ac:dyDescent="0.25">
      <c r="B2271" s="26" t="s">
        <v>1294</v>
      </c>
      <c r="C2271" s="1">
        <v>13</v>
      </c>
      <c r="D2271" s="27" t="s">
        <v>3311</v>
      </c>
      <c r="E2271" s="25"/>
      <c r="F2271" s="25" t="str">
        <f>IF(INDEX(I.Electricity.P4Y2C3,13)="","",INDEX(I.Electricity.P4Y2C3,13))</f>
        <v/>
      </c>
      <c r="G2271" s="25"/>
      <c r="H2271" s="1" t="str">
        <f t="shared" si="91"/>
        <v>Complete</v>
      </c>
      <c r="I2271" s="48" t="s">
        <v>2084</v>
      </c>
    </row>
    <row r="2272" spans="2:9" ht="15" customHeight="1" x14ac:dyDescent="0.25">
      <c r="B2272" s="26" t="s">
        <v>1294</v>
      </c>
      <c r="C2272" s="1">
        <v>14</v>
      </c>
      <c r="D2272" s="27" t="s">
        <v>3311</v>
      </c>
      <c r="E2272" s="25"/>
      <c r="F2272" s="25" t="str">
        <f>IF(INDEX(I.Electricity.P4Y2C3,14)="","",INDEX(I.Electricity.P4Y2C3,14))</f>
        <v/>
      </c>
      <c r="G2272" s="25"/>
      <c r="H2272" s="1" t="str">
        <f t="shared" si="91"/>
        <v>Complete</v>
      </c>
      <c r="I2272" s="48" t="s">
        <v>2085</v>
      </c>
    </row>
    <row r="2273" spans="2:9" ht="15" customHeight="1" x14ac:dyDescent="0.25">
      <c r="B2273" s="26" t="s">
        <v>1294</v>
      </c>
      <c r="C2273" s="1">
        <v>15</v>
      </c>
      <c r="D2273" s="27" t="s">
        <v>3311</v>
      </c>
      <c r="E2273" s="25"/>
      <c r="F2273" s="25" t="str">
        <f>IF(INDEX(I.Electricity.P4Y2C3,15)="","",INDEX(I.Electricity.P4Y2C3,15))</f>
        <v/>
      </c>
      <c r="G2273" s="25"/>
      <c r="H2273" s="1" t="str">
        <f t="shared" si="91"/>
        <v>Complete</v>
      </c>
      <c r="I2273" s="48" t="s">
        <v>2086</v>
      </c>
    </row>
    <row r="2274" spans="2:9" ht="15" customHeight="1" x14ac:dyDescent="0.25">
      <c r="B2274" s="26" t="s">
        <v>1294</v>
      </c>
      <c r="C2274" s="1">
        <v>16</v>
      </c>
      <c r="D2274" s="27" t="s">
        <v>3311</v>
      </c>
      <c r="E2274" s="25"/>
      <c r="F2274" s="25" t="str">
        <f>IF(INDEX(I.Electricity.P4Y2C3,16)="","",INDEX(I.Electricity.P4Y2C3,16))</f>
        <v/>
      </c>
      <c r="G2274" s="25"/>
      <c r="H2274" s="1" t="str">
        <f t="shared" si="91"/>
        <v>Complete</v>
      </c>
      <c r="I2274" s="48" t="s">
        <v>2087</v>
      </c>
    </row>
    <row r="2275" spans="2:9" ht="15" customHeight="1" x14ac:dyDescent="0.25">
      <c r="B2275" s="26" t="s">
        <v>1294</v>
      </c>
      <c r="C2275" s="1">
        <v>17</v>
      </c>
      <c r="D2275" s="27" t="s">
        <v>3311</v>
      </c>
      <c r="E2275" s="25"/>
      <c r="F2275" s="25" t="str">
        <f>IF(INDEX(I.Electricity.P4Y2C3,17)="","",INDEX(I.Electricity.P4Y2C3,17))</f>
        <v/>
      </c>
      <c r="G2275" s="25"/>
      <c r="H2275" s="1" t="str">
        <f t="shared" si="91"/>
        <v>Complete</v>
      </c>
      <c r="I2275" s="48" t="s">
        <v>2088</v>
      </c>
    </row>
    <row r="2276" spans="2:9" ht="15" customHeight="1" x14ac:dyDescent="0.25">
      <c r="B2276" s="26" t="s">
        <v>1294</v>
      </c>
      <c r="C2276" s="1">
        <v>18</v>
      </c>
      <c r="D2276" s="27" t="s">
        <v>3311</v>
      </c>
      <c r="E2276" s="25"/>
      <c r="F2276" s="25" t="str">
        <f>IF(INDEX(I.Electricity.P4Y2C3,18)="","",INDEX(I.Electricity.P4Y2C3,18))</f>
        <v/>
      </c>
      <c r="G2276" s="25"/>
      <c r="H2276" s="1" t="str">
        <f t="shared" si="91"/>
        <v>Complete</v>
      </c>
      <c r="I2276" s="48" t="s">
        <v>2089</v>
      </c>
    </row>
    <row r="2277" spans="2:9" ht="15" customHeight="1" x14ac:dyDescent="0.25">
      <c r="B2277" s="26" t="s">
        <v>1294</v>
      </c>
      <c r="C2277" s="1">
        <v>19</v>
      </c>
      <c r="D2277" s="27" t="s">
        <v>3311</v>
      </c>
      <c r="E2277" s="25"/>
      <c r="F2277" s="25" t="str">
        <f>IF(INDEX(I.Electricity.P4Y2C3,19)="","",INDEX(I.Electricity.P4Y2C3,19))</f>
        <v/>
      </c>
      <c r="G2277" s="25"/>
      <c r="H2277" s="1" t="str">
        <f t="shared" si="91"/>
        <v>Complete</v>
      </c>
      <c r="I2277" s="48" t="s">
        <v>2090</v>
      </c>
    </row>
    <row r="2278" spans="2:9" ht="15" customHeight="1" x14ac:dyDescent="0.25">
      <c r="B2278" s="26" t="s">
        <v>1294</v>
      </c>
      <c r="C2278" s="1">
        <v>20</v>
      </c>
      <c r="D2278" s="27" t="s">
        <v>3311</v>
      </c>
      <c r="E2278" s="25"/>
      <c r="F2278" s="25" t="str">
        <f>IF(INDEX(I.Electricity.P4Y2C3,20)="","",INDEX(I.Electricity.P4Y2C3,20))</f>
        <v/>
      </c>
      <c r="G2278" s="25"/>
      <c r="H2278" s="1" t="str">
        <f t="shared" si="91"/>
        <v>Complete</v>
      </c>
      <c r="I2278" s="48" t="s">
        <v>2091</v>
      </c>
    </row>
    <row r="2279" spans="2:9" ht="15" customHeight="1" x14ac:dyDescent="0.25">
      <c r="B2279" s="34" t="s">
        <v>1294</v>
      </c>
      <c r="C2279" s="35">
        <v>21</v>
      </c>
      <c r="D2279" s="46" t="s">
        <v>3311</v>
      </c>
      <c r="E2279" s="45"/>
      <c r="F2279" s="45" t="str">
        <f>IF(INDEX(I.Electricity.P4Y2C3,21)="","",INDEX(I.Electricity.P4Y2C3,21))</f>
        <v/>
      </c>
      <c r="G2279" s="45"/>
      <c r="H2279" s="35" t="str">
        <f t="shared" si="91"/>
        <v>Complete</v>
      </c>
      <c r="I2279" s="49" t="s">
        <v>2092</v>
      </c>
    </row>
    <row r="2280" spans="2:9" ht="15" customHeight="1" x14ac:dyDescent="0.25">
      <c r="B2280" s="26" t="s">
        <v>1295</v>
      </c>
      <c r="C2280" s="1">
        <v>1</v>
      </c>
      <c r="D2280" s="27" t="s">
        <v>3312</v>
      </c>
      <c r="E2280" s="25"/>
      <c r="F2280" s="25" t="str">
        <f>IF(INDEX(I.Electricity.P4Y3C3,1)="","",INDEX(I.Electricity.P4Y3C3,1))</f>
        <v/>
      </c>
      <c r="G2280" s="25"/>
      <c r="H2280" s="1" t="str">
        <f t="shared" ref="H2280:H2300" si="92">IF(AND(I.Facility.ProductCount&gt;=4,I.Product.P4Electricity="Yes",I.Developer.P4C3=TRUE,I.Product.P4Status&lt;&gt;"Yes",F2280=""),"Incomplete","Complete")</f>
        <v>Complete</v>
      </c>
      <c r="I2280" s="48" t="s">
        <v>2093</v>
      </c>
    </row>
    <row r="2281" spans="2:9" ht="15" customHeight="1" x14ac:dyDescent="0.25">
      <c r="B2281" s="26" t="s">
        <v>1295</v>
      </c>
      <c r="C2281" s="1">
        <v>2</v>
      </c>
      <c r="D2281" s="27" t="s">
        <v>3312</v>
      </c>
      <c r="E2281" s="25"/>
      <c r="F2281" s="25" t="str">
        <f>IF(INDEX(I.Electricity.P4Y3C3,2)="","",INDEX(I.Electricity.P4Y3C3,2))</f>
        <v/>
      </c>
      <c r="G2281" s="25"/>
      <c r="H2281" s="1" t="str">
        <f t="shared" si="92"/>
        <v>Complete</v>
      </c>
      <c r="I2281" s="48" t="s">
        <v>2094</v>
      </c>
    </row>
    <row r="2282" spans="2:9" ht="15" customHeight="1" x14ac:dyDescent="0.25">
      <c r="B2282" s="26" t="s">
        <v>1295</v>
      </c>
      <c r="C2282" s="1">
        <v>3</v>
      </c>
      <c r="D2282" s="27" t="s">
        <v>3312</v>
      </c>
      <c r="E2282" s="25"/>
      <c r="F2282" s="25" t="str">
        <f>IF(INDEX(I.Electricity.P4Y3C3,3)="","",INDEX(I.Electricity.P4Y3C3,3))</f>
        <v/>
      </c>
      <c r="G2282" s="25"/>
      <c r="H2282" s="1" t="str">
        <f t="shared" si="92"/>
        <v>Complete</v>
      </c>
      <c r="I2282" s="48" t="s">
        <v>2095</v>
      </c>
    </row>
    <row r="2283" spans="2:9" ht="15" customHeight="1" x14ac:dyDescent="0.25">
      <c r="B2283" s="26" t="s">
        <v>1295</v>
      </c>
      <c r="C2283" s="1">
        <v>4</v>
      </c>
      <c r="D2283" s="27" t="s">
        <v>3312</v>
      </c>
      <c r="E2283" s="25"/>
      <c r="F2283" s="25" t="str">
        <f>IF(INDEX(I.Electricity.P4Y3C3,4)="","",INDEX(I.Electricity.P4Y3C3,4))</f>
        <v/>
      </c>
      <c r="G2283" s="25"/>
      <c r="H2283" s="1" t="str">
        <f t="shared" si="92"/>
        <v>Complete</v>
      </c>
      <c r="I2283" s="48" t="s">
        <v>2096</v>
      </c>
    </row>
    <row r="2284" spans="2:9" ht="15" customHeight="1" x14ac:dyDescent="0.25">
      <c r="B2284" s="26" t="s">
        <v>1295</v>
      </c>
      <c r="C2284" s="1">
        <v>5</v>
      </c>
      <c r="D2284" s="27" t="s">
        <v>3312</v>
      </c>
      <c r="E2284" s="25"/>
      <c r="F2284" s="25" t="str">
        <f>IF(INDEX(I.Electricity.P4Y3C3,5)="","",INDEX(I.Electricity.P4Y3C3,5))</f>
        <v/>
      </c>
      <c r="G2284" s="25"/>
      <c r="H2284" s="1" t="str">
        <f t="shared" si="92"/>
        <v>Complete</v>
      </c>
      <c r="I2284" s="48" t="s">
        <v>2097</v>
      </c>
    </row>
    <row r="2285" spans="2:9" ht="15" customHeight="1" x14ac:dyDescent="0.25">
      <c r="B2285" s="26" t="s">
        <v>1295</v>
      </c>
      <c r="C2285" s="1">
        <v>6</v>
      </c>
      <c r="D2285" s="27" t="s">
        <v>3312</v>
      </c>
      <c r="E2285" s="25"/>
      <c r="F2285" s="25" t="str">
        <f>IF(INDEX(I.Electricity.P4Y3C3,6)="","",INDEX(I.Electricity.P4Y3C3,6))</f>
        <v/>
      </c>
      <c r="G2285" s="25"/>
      <c r="H2285" s="1" t="str">
        <f t="shared" si="92"/>
        <v>Complete</v>
      </c>
      <c r="I2285" s="48" t="s">
        <v>2098</v>
      </c>
    </row>
    <row r="2286" spans="2:9" ht="15" customHeight="1" x14ac:dyDescent="0.25">
      <c r="B2286" s="26" t="s">
        <v>1295</v>
      </c>
      <c r="C2286" s="1">
        <v>7</v>
      </c>
      <c r="D2286" s="27" t="s">
        <v>3312</v>
      </c>
      <c r="E2286" s="25"/>
      <c r="F2286" s="25" t="str">
        <f>IF(INDEX(I.Electricity.P4Y3C3,7)="","",INDEX(I.Electricity.P4Y3C3,7))</f>
        <v/>
      </c>
      <c r="G2286" s="25"/>
      <c r="H2286" s="1" t="str">
        <f t="shared" si="92"/>
        <v>Complete</v>
      </c>
      <c r="I2286" s="48" t="s">
        <v>2099</v>
      </c>
    </row>
    <row r="2287" spans="2:9" ht="15" customHeight="1" x14ac:dyDescent="0.25">
      <c r="B2287" s="26" t="s">
        <v>1295</v>
      </c>
      <c r="C2287" s="1">
        <v>8</v>
      </c>
      <c r="D2287" s="27" t="s">
        <v>3312</v>
      </c>
      <c r="E2287" s="25"/>
      <c r="F2287" s="25" t="str">
        <f>IF(INDEX(I.Electricity.P4Y3C3,8)="","",INDEX(I.Electricity.P4Y3C3,8))</f>
        <v/>
      </c>
      <c r="G2287" s="25"/>
      <c r="H2287" s="1" t="str">
        <f t="shared" si="92"/>
        <v>Complete</v>
      </c>
      <c r="I2287" s="48" t="s">
        <v>2100</v>
      </c>
    </row>
    <row r="2288" spans="2:9" ht="15" customHeight="1" x14ac:dyDescent="0.25">
      <c r="B2288" s="26" t="s">
        <v>1295</v>
      </c>
      <c r="C2288" s="1">
        <v>9</v>
      </c>
      <c r="D2288" s="27" t="s">
        <v>3312</v>
      </c>
      <c r="E2288" s="25"/>
      <c r="F2288" s="25" t="str">
        <f>IF(INDEX(I.Electricity.P4Y3C3,9)="","",INDEX(I.Electricity.P4Y3C3,9))</f>
        <v/>
      </c>
      <c r="G2288" s="25"/>
      <c r="H2288" s="1" t="str">
        <f t="shared" si="92"/>
        <v>Complete</v>
      </c>
      <c r="I2288" s="48" t="s">
        <v>2101</v>
      </c>
    </row>
    <row r="2289" spans="2:9" ht="15" customHeight="1" x14ac:dyDescent="0.25">
      <c r="B2289" s="26" t="s">
        <v>1295</v>
      </c>
      <c r="C2289" s="1">
        <v>10</v>
      </c>
      <c r="D2289" s="27" t="s">
        <v>3312</v>
      </c>
      <c r="E2289" s="25"/>
      <c r="F2289" s="25" t="str">
        <f>IF(INDEX(I.Electricity.P4Y3C3,10)="","",INDEX(I.Electricity.P4Y3C3,10))</f>
        <v/>
      </c>
      <c r="G2289" s="25"/>
      <c r="H2289" s="1" t="str">
        <f t="shared" si="92"/>
        <v>Complete</v>
      </c>
      <c r="I2289" s="48" t="s">
        <v>2102</v>
      </c>
    </row>
    <row r="2290" spans="2:9" ht="15" customHeight="1" x14ac:dyDescent="0.25">
      <c r="B2290" s="26" t="s">
        <v>1295</v>
      </c>
      <c r="C2290" s="1">
        <v>11</v>
      </c>
      <c r="D2290" s="27" t="s">
        <v>3312</v>
      </c>
      <c r="E2290" s="25"/>
      <c r="F2290" s="25" t="str">
        <f>IF(INDEX(I.Electricity.P4Y3C3,11)="","",INDEX(I.Electricity.P4Y3C3,11))</f>
        <v/>
      </c>
      <c r="G2290" s="25"/>
      <c r="H2290" s="1" t="str">
        <f t="shared" si="92"/>
        <v>Complete</v>
      </c>
      <c r="I2290" s="48" t="s">
        <v>2103</v>
      </c>
    </row>
    <row r="2291" spans="2:9" ht="15" customHeight="1" x14ac:dyDescent="0.25">
      <c r="B2291" s="26" t="s">
        <v>1295</v>
      </c>
      <c r="C2291" s="1">
        <v>12</v>
      </c>
      <c r="D2291" s="27" t="s">
        <v>3312</v>
      </c>
      <c r="E2291" s="25"/>
      <c r="F2291" s="25" t="str">
        <f>IF(INDEX(I.Electricity.P4Y3C3,12)="","",INDEX(I.Electricity.P4Y3C3,12))</f>
        <v/>
      </c>
      <c r="G2291" s="25"/>
      <c r="H2291" s="1" t="str">
        <f t="shared" si="92"/>
        <v>Complete</v>
      </c>
      <c r="I2291" s="48" t="s">
        <v>2104</v>
      </c>
    </row>
    <row r="2292" spans="2:9" ht="15" customHeight="1" x14ac:dyDescent="0.25">
      <c r="B2292" s="26" t="s">
        <v>1295</v>
      </c>
      <c r="C2292" s="1">
        <v>13</v>
      </c>
      <c r="D2292" s="27" t="s">
        <v>3312</v>
      </c>
      <c r="E2292" s="25"/>
      <c r="F2292" s="25" t="str">
        <f>IF(INDEX(I.Electricity.P4Y3C3,13)="","",INDEX(I.Electricity.P4Y3C3,13))</f>
        <v/>
      </c>
      <c r="G2292" s="25"/>
      <c r="H2292" s="1" t="str">
        <f t="shared" si="92"/>
        <v>Complete</v>
      </c>
      <c r="I2292" s="48" t="s">
        <v>2105</v>
      </c>
    </row>
    <row r="2293" spans="2:9" ht="15" customHeight="1" x14ac:dyDescent="0.25">
      <c r="B2293" s="26" t="s">
        <v>1295</v>
      </c>
      <c r="C2293" s="1">
        <v>14</v>
      </c>
      <c r="D2293" s="27" t="s">
        <v>3312</v>
      </c>
      <c r="E2293" s="25"/>
      <c r="F2293" s="25" t="str">
        <f>IF(INDEX(I.Electricity.P4Y3C3,14)="","",INDEX(I.Electricity.P4Y3C3,14))</f>
        <v/>
      </c>
      <c r="G2293" s="25"/>
      <c r="H2293" s="1" t="str">
        <f t="shared" si="92"/>
        <v>Complete</v>
      </c>
      <c r="I2293" s="48" t="s">
        <v>2106</v>
      </c>
    </row>
    <row r="2294" spans="2:9" ht="15" customHeight="1" x14ac:dyDescent="0.25">
      <c r="B2294" s="26" t="s">
        <v>1295</v>
      </c>
      <c r="C2294" s="1">
        <v>15</v>
      </c>
      <c r="D2294" s="27" t="s">
        <v>3312</v>
      </c>
      <c r="E2294" s="25"/>
      <c r="F2294" s="25" t="str">
        <f>IF(INDEX(I.Electricity.P4Y3C3,15)="","",INDEX(I.Electricity.P4Y3C3,15))</f>
        <v/>
      </c>
      <c r="G2294" s="25"/>
      <c r="H2294" s="1" t="str">
        <f t="shared" si="92"/>
        <v>Complete</v>
      </c>
      <c r="I2294" s="48" t="s">
        <v>2107</v>
      </c>
    </row>
    <row r="2295" spans="2:9" ht="15" customHeight="1" x14ac:dyDescent="0.25">
      <c r="B2295" s="26" t="s">
        <v>1295</v>
      </c>
      <c r="C2295" s="1">
        <v>16</v>
      </c>
      <c r="D2295" s="27" t="s">
        <v>3312</v>
      </c>
      <c r="E2295" s="25"/>
      <c r="F2295" s="25" t="str">
        <f>IF(INDEX(I.Electricity.P4Y3C3,16)="","",INDEX(I.Electricity.P4Y3C3,16))</f>
        <v/>
      </c>
      <c r="G2295" s="25"/>
      <c r="H2295" s="1" t="str">
        <f t="shared" si="92"/>
        <v>Complete</v>
      </c>
      <c r="I2295" s="48" t="s">
        <v>2108</v>
      </c>
    </row>
    <row r="2296" spans="2:9" ht="15" customHeight="1" x14ac:dyDescent="0.25">
      <c r="B2296" s="26" t="s">
        <v>1295</v>
      </c>
      <c r="C2296" s="1">
        <v>17</v>
      </c>
      <c r="D2296" s="27" t="s">
        <v>3312</v>
      </c>
      <c r="E2296" s="25"/>
      <c r="F2296" s="25" t="str">
        <f>IF(INDEX(I.Electricity.P4Y3C3,17)="","",INDEX(I.Electricity.P4Y3C3,17))</f>
        <v/>
      </c>
      <c r="G2296" s="25"/>
      <c r="H2296" s="1" t="str">
        <f t="shared" si="92"/>
        <v>Complete</v>
      </c>
      <c r="I2296" s="48" t="s">
        <v>2109</v>
      </c>
    </row>
    <row r="2297" spans="2:9" ht="15" customHeight="1" x14ac:dyDescent="0.25">
      <c r="B2297" s="26" t="s">
        <v>1295</v>
      </c>
      <c r="C2297" s="1">
        <v>18</v>
      </c>
      <c r="D2297" s="27" t="s">
        <v>3312</v>
      </c>
      <c r="E2297" s="25"/>
      <c r="F2297" s="25" t="str">
        <f>IF(INDEX(I.Electricity.P4Y3C3,18)="","",INDEX(I.Electricity.P4Y3C3,18))</f>
        <v/>
      </c>
      <c r="G2297" s="25"/>
      <c r="H2297" s="1" t="str">
        <f t="shared" si="92"/>
        <v>Complete</v>
      </c>
      <c r="I2297" s="48" t="s">
        <v>2110</v>
      </c>
    </row>
    <row r="2298" spans="2:9" ht="15" customHeight="1" x14ac:dyDescent="0.25">
      <c r="B2298" s="26" t="s">
        <v>1295</v>
      </c>
      <c r="C2298" s="1">
        <v>19</v>
      </c>
      <c r="D2298" s="27" t="s">
        <v>3312</v>
      </c>
      <c r="E2298" s="25"/>
      <c r="F2298" s="25" t="str">
        <f>IF(INDEX(I.Electricity.P4Y3C3,19)="","",INDEX(I.Electricity.P4Y3C3,19))</f>
        <v/>
      </c>
      <c r="G2298" s="25"/>
      <c r="H2298" s="1" t="str">
        <f t="shared" si="92"/>
        <v>Complete</v>
      </c>
      <c r="I2298" s="48" t="s">
        <v>2111</v>
      </c>
    </row>
    <row r="2299" spans="2:9" ht="15" customHeight="1" x14ac:dyDescent="0.25">
      <c r="B2299" s="26" t="s">
        <v>1295</v>
      </c>
      <c r="C2299" s="1">
        <v>20</v>
      </c>
      <c r="D2299" s="27" t="s">
        <v>3312</v>
      </c>
      <c r="E2299" s="25"/>
      <c r="F2299" s="25" t="str">
        <f>IF(INDEX(I.Electricity.P4Y3C3,20)="","",INDEX(I.Electricity.P4Y3C3,20))</f>
        <v/>
      </c>
      <c r="G2299" s="25"/>
      <c r="H2299" s="1" t="str">
        <f t="shared" si="92"/>
        <v>Complete</v>
      </c>
      <c r="I2299" s="48" t="s">
        <v>2112</v>
      </c>
    </row>
    <row r="2300" spans="2:9" ht="15" customHeight="1" x14ac:dyDescent="0.25">
      <c r="B2300" s="34" t="s">
        <v>1295</v>
      </c>
      <c r="C2300" s="35">
        <v>21</v>
      </c>
      <c r="D2300" s="46" t="s">
        <v>3312</v>
      </c>
      <c r="E2300" s="45"/>
      <c r="F2300" s="45" t="str">
        <f>IF(INDEX(I.Electricity.P4Y3C3,21)="","",INDEX(I.Electricity.P4Y3C3,21))</f>
        <v/>
      </c>
      <c r="G2300" s="45"/>
      <c r="H2300" s="35" t="str">
        <f t="shared" si="92"/>
        <v>Complete</v>
      </c>
      <c r="I2300" s="49" t="s">
        <v>2113</v>
      </c>
    </row>
    <row r="2301" spans="2:9" ht="15" customHeight="1" x14ac:dyDescent="0.25">
      <c r="B2301" s="26" t="s">
        <v>1296</v>
      </c>
      <c r="C2301" s="1">
        <v>1</v>
      </c>
      <c r="D2301" s="27" t="s">
        <v>3313</v>
      </c>
      <c r="E2301" s="25"/>
      <c r="F2301" s="25" t="str">
        <f>IF(INDEX(I.Electricity.P4Y1C4,1)="","",INDEX(I.Electricity.P4Y1C4,1))</f>
        <v/>
      </c>
      <c r="G2301" s="25"/>
      <c r="H2301" s="1" t="str">
        <f t="shared" ref="H2301:H2306" si="93">IF(AND(I.Facility.ProductCount&gt;=4,I.Product.P4Electricity="Yes",I.Developer.P4C4=TRUE,F2301=""),"Incomplete","Complete")</f>
        <v>Complete</v>
      </c>
      <c r="I2301" s="48" t="s">
        <v>2114</v>
      </c>
    </row>
    <row r="2302" spans="2:9" ht="15" customHeight="1" x14ac:dyDescent="0.25">
      <c r="B2302" s="26" t="s">
        <v>1296</v>
      </c>
      <c r="C2302" s="1">
        <v>2</v>
      </c>
      <c r="D2302" s="27" t="s">
        <v>3313</v>
      </c>
      <c r="E2302" s="25"/>
      <c r="F2302" s="25" t="str">
        <f>IF(INDEX(I.Electricity.P4Y1C4,2)="","",INDEX(I.Electricity.P4Y1C4,2))</f>
        <v/>
      </c>
      <c r="G2302" s="25"/>
      <c r="H2302" s="1" t="str">
        <f t="shared" si="93"/>
        <v>Complete</v>
      </c>
      <c r="I2302" s="48" t="s">
        <v>2115</v>
      </c>
    </row>
    <row r="2303" spans="2:9" ht="15" customHeight="1" x14ac:dyDescent="0.25">
      <c r="B2303" s="34" t="s">
        <v>1296</v>
      </c>
      <c r="C2303" s="35">
        <v>3</v>
      </c>
      <c r="D2303" s="46" t="s">
        <v>3313</v>
      </c>
      <c r="E2303" s="45"/>
      <c r="F2303" s="45" t="str">
        <f>IF(INDEX(I.Electricity.P4Y1C4,3)="","",INDEX(I.Electricity.P4Y1C4,3))</f>
        <v/>
      </c>
      <c r="G2303" s="45"/>
      <c r="H2303" s="35" t="str">
        <f t="shared" si="93"/>
        <v>Complete</v>
      </c>
      <c r="I2303" s="49" t="s">
        <v>2116</v>
      </c>
    </row>
    <row r="2304" spans="2:9" ht="15" customHeight="1" x14ac:dyDescent="0.25">
      <c r="B2304" s="26" t="s">
        <v>1297</v>
      </c>
      <c r="C2304" s="1">
        <v>1</v>
      </c>
      <c r="D2304" s="27" t="s">
        <v>3314</v>
      </c>
      <c r="E2304" s="25"/>
      <c r="F2304" s="25" t="str">
        <f>IF(INDEX(I.Electricity.P4Y2C4,1)="","",INDEX(I.Electricity.P4Y2C4,1))</f>
        <v/>
      </c>
      <c r="G2304" s="25"/>
      <c r="H2304" s="1" t="str">
        <f t="shared" si="93"/>
        <v>Complete</v>
      </c>
      <c r="I2304" s="48" t="s">
        <v>2117</v>
      </c>
    </row>
    <row r="2305" spans="2:9" ht="15" customHeight="1" x14ac:dyDescent="0.25">
      <c r="B2305" s="26" t="s">
        <v>1297</v>
      </c>
      <c r="C2305" s="1">
        <v>2</v>
      </c>
      <c r="D2305" s="27" t="s">
        <v>3314</v>
      </c>
      <c r="E2305" s="25"/>
      <c r="F2305" s="25" t="str">
        <f>IF(INDEX(I.Electricity.P4Y2C4,2)="","",INDEX(I.Electricity.P4Y2C4,2))</f>
        <v/>
      </c>
      <c r="G2305" s="25"/>
      <c r="H2305" s="1" t="str">
        <f t="shared" si="93"/>
        <v>Complete</v>
      </c>
      <c r="I2305" s="48" t="s">
        <v>2118</v>
      </c>
    </row>
    <row r="2306" spans="2:9" ht="15" customHeight="1" x14ac:dyDescent="0.25">
      <c r="B2306" s="34" t="s">
        <v>1297</v>
      </c>
      <c r="C2306" s="35">
        <v>3</v>
      </c>
      <c r="D2306" s="46" t="s">
        <v>3314</v>
      </c>
      <c r="E2306" s="45"/>
      <c r="F2306" s="45" t="str">
        <f>IF(INDEX(I.Electricity.P4Y2C4,3)="","",INDEX(I.Electricity.P4Y2C4,3))</f>
        <v/>
      </c>
      <c r="G2306" s="45"/>
      <c r="H2306" s="35" t="str">
        <f t="shared" si="93"/>
        <v>Complete</v>
      </c>
      <c r="I2306" s="49" t="s">
        <v>2119</v>
      </c>
    </row>
    <row r="2307" spans="2:9" ht="15" customHeight="1" x14ac:dyDescent="0.25">
      <c r="B2307" s="26" t="s">
        <v>1298</v>
      </c>
      <c r="C2307" s="1">
        <v>1</v>
      </c>
      <c r="D2307" s="27" t="s">
        <v>3315</v>
      </c>
      <c r="E2307" s="25"/>
      <c r="F2307" s="25" t="str">
        <f>IF(INDEX(I.Electricity.P4Y3C4,1)="","",INDEX(I.Electricity.P4Y3C4,1))</f>
        <v/>
      </c>
      <c r="G2307" s="25"/>
      <c r="H2307" s="1" t="str">
        <f>IF(AND(I.Facility.ProductCount&gt;=4,I.Product.P4Electricity="Yes",I.Developer.P4C4=TRUE,I.Product.P4Status&lt;&gt;"Yes",F2307=""),"Incomplete","Complete")</f>
        <v>Complete</v>
      </c>
      <c r="I2307" s="48" t="s">
        <v>2120</v>
      </c>
    </row>
    <row r="2308" spans="2:9" ht="15" customHeight="1" x14ac:dyDescent="0.25">
      <c r="B2308" s="26" t="s">
        <v>1298</v>
      </c>
      <c r="C2308" s="1">
        <v>2</v>
      </c>
      <c r="D2308" s="27" t="s">
        <v>3315</v>
      </c>
      <c r="E2308" s="25"/>
      <c r="F2308" s="25" t="str">
        <f>IF(INDEX(I.Electricity.P4Y3C4,2)="","",INDEX(I.Electricity.P4Y3C4,2))</f>
        <v/>
      </c>
      <c r="G2308" s="25"/>
      <c r="H2308" s="1" t="str">
        <f>IF(AND(I.Facility.ProductCount&gt;=4,I.Product.P4Electricity="Yes",I.Developer.P4C4=TRUE,I.Product.P4Status&lt;&gt;"Yes",F2308=""),"Incomplete","Complete")</f>
        <v>Complete</v>
      </c>
      <c r="I2308" s="48" t="s">
        <v>2121</v>
      </c>
    </row>
    <row r="2309" spans="2:9" ht="15" customHeight="1" x14ac:dyDescent="0.25">
      <c r="B2309" s="34" t="s">
        <v>1298</v>
      </c>
      <c r="C2309" s="35">
        <v>3</v>
      </c>
      <c r="D2309" s="46" t="s">
        <v>3315</v>
      </c>
      <c r="E2309" s="45"/>
      <c r="F2309" s="45" t="str">
        <f>IF(INDEX(I.Electricity.P4Y3C4,3)="","",INDEX(I.Electricity.P4Y3C4,3))</f>
        <v/>
      </c>
      <c r="G2309" s="45"/>
      <c r="H2309" s="35" t="str">
        <f>IF(AND(I.Facility.ProductCount&gt;=4,I.Product.P4Electricity="Yes",I.Developer.P4C4=TRUE,I.Product.P4Status&lt;&gt;"Yes",F2309=""),"Incomplete","Complete")</f>
        <v>Complete</v>
      </c>
      <c r="I2309" s="49" t="s">
        <v>2122</v>
      </c>
    </row>
    <row r="2310" spans="2:9" ht="15" customHeight="1" x14ac:dyDescent="0.25">
      <c r="B2310" s="26" t="s">
        <v>1299</v>
      </c>
      <c r="C2310" s="1">
        <v>1</v>
      </c>
      <c r="D2310" s="27" t="s">
        <v>3316</v>
      </c>
      <c r="E2310" s="25"/>
      <c r="F2310" s="25" t="str">
        <f>IF(INDEX(I.Electricity.P4Y1C5,1)="","",INDEX(I.Electricity.P4Y1C5,1))</f>
        <v/>
      </c>
      <c r="G2310" s="25"/>
      <c r="H2310" s="1" t="str">
        <f t="shared" ref="H2310:H2315" si="94">IF(AND(I.Facility.ProductCount&gt;=4,I.Product.P4Electricity="Yes",I.Developer.P4C5=TRUE,F2310=""),"Incomplete","Complete")</f>
        <v>Complete</v>
      </c>
      <c r="I2310" s="48" t="s">
        <v>2123</v>
      </c>
    </row>
    <row r="2311" spans="2:9" ht="15" customHeight="1" x14ac:dyDescent="0.25">
      <c r="B2311" s="26" t="s">
        <v>1299</v>
      </c>
      <c r="C2311" s="1">
        <v>2</v>
      </c>
      <c r="D2311" s="27" t="s">
        <v>3316</v>
      </c>
      <c r="E2311" s="25"/>
      <c r="F2311" s="25" t="str">
        <f>IF(INDEX(I.Electricity.P4Y1C5,2)="","",INDEX(I.Electricity.P4Y1C5,2))</f>
        <v/>
      </c>
      <c r="G2311" s="25"/>
      <c r="H2311" s="1" t="str">
        <f t="shared" si="94"/>
        <v>Complete</v>
      </c>
      <c r="I2311" s="48" t="s">
        <v>2124</v>
      </c>
    </row>
    <row r="2312" spans="2:9" ht="15" customHeight="1" x14ac:dyDescent="0.25">
      <c r="B2312" s="34" t="s">
        <v>1299</v>
      </c>
      <c r="C2312" s="35">
        <v>3</v>
      </c>
      <c r="D2312" s="46" t="s">
        <v>3316</v>
      </c>
      <c r="E2312" s="45"/>
      <c r="F2312" s="45" t="str">
        <f>IF(INDEX(I.Electricity.P4Y1C5,3)="","",INDEX(I.Electricity.P4Y1C5,3))</f>
        <v/>
      </c>
      <c r="G2312" s="45"/>
      <c r="H2312" s="35" t="str">
        <f t="shared" si="94"/>
        <v>Complete</v>
      </c>
      <c r="I2312" s="49" t="s">
        <v>2125</v>
      </c>
    </row>
    <row r="2313" spans="2:9" ht="15" customHeight="1" x14ac:dyDescent="0.25">
      <c r="B2313" s="26" t="s">
        <v>1300</v>
      </c>
      <c r="C2313" s="1">
        <v>1</v>
      </c>
      <c r="D2313" s="27" t="s">
        <v>3317</v>
      </c>
      <c r="E2313" s="25"/>
      <c r="F2313" s="25" t="str">
        <f>IF(INDEX(I.Electricity.P4Y2C5,1)="","",INDEX(I.Electricity.P4Y2C5,1))</f>
        <v/>
      </c>
      <c r="G2313" s="25"/>
      <c r="H2313" s="1" t="str">
        <f t="shared" si="94"/>
        <v>Complete</v>
      </c>
      <c r="I2313" s="48" t="s">
        <v>2126</v>
      </c>
    </row>
    <row r="2314" spans="2:9" ht="15" customHeight="1" x14ac:dyDescent="0.25">
      <c r="B2314" s="26" t="s">
        <v>1300</v>
      </c>
      <c r="C2314" s="1">
        <v>2</v>
      </c>
      <c r="D2314" s="27" t="s">
        <v>3317</v>
      </c>
      <c r="E2314" s="25"/>
      <c r="F2314" s="25" t="str">
        <f>IF(INDEX(I.Electricity.P4Y2C5,2)="","",INDEX(I.Electricity.P4Y2C5,2))</f>
        <v/>
      </c>
      <c r="G2314" s="25"/>
      <c r="H2314" s="1" t="str">
        <f t="shared" si="94"/>
        <v>Complete</v>
      </c>
      <c r="I2314" s="48" t="s">
        <v>2127</v>
      </c>
    </row>
    <row r="2315" spans="2:9" ht="15" customHeight="1" x14ac:dyDescent="0.25">
      <c r="B2315" s="34" t="s">
        <v>1300</v>
      </c>
      <c r="C2315" s="35">
        <v>3</v>
      </c>
      <c r="D2315" s="46" t="s">
        <v>3317</v>
      </c>
      <c r="E2315" s="45"/>
      <c r="F2315" s="45" t="str">
        <f>IF(INDEX(I.Electricity.P4Y2C5,3)="","",INDEX(I.Electricity.P4Y2C5,3))</f>
        <v/>
      </c>
      <c r="G2315" s="45"/>
      <c r="H2315" s="35" t="str">
        <f t="shared" si="94"/>
        <v>Complete</v>
      </c>
      <c r="I2315" s="49" t="s">
        <v>2128</v>
      </c>
    </row>
    <row r="2316" spans="2:9" ht="15" customHeight="1" x14ac:dyDescent="0.25">
      <c r="B2316" s="26" t="s">
        <v>1301</v>
      </c>
      <c r="C2316" s="1">
        <v>1</v>
      </c>
      <c r="D2316" s="27" t="s">
        <v>3318</v>
      </c>
      <c r="E2316" s="25"/>
      <c r="F2316" s="25" t="str">
        <f>IF(INDEX(I.Electricity.P4Y3C5,1)="","",INDEX(I.Electricity.P4Y3C5,1))</f>
        <v/>
      </c>
      <c r="G2316" s="25"/>
      <c r="H2316" s="1" t="str">
        <f>IF(AND(I.Facility.ProductCount&gt;=4,I.Product.P4Electricity="Yes",I.Developer.P4C5=TRUE,I.Product.P4Status&lt;&gt;"Yes",F2316=""),"Incomplete","Complete")</f>
        <v>Complete</v>
      </c>
      <c r="I2316" s="48" t="s">
        <v>2129</v>
      </c>
    </row>
    <row r="2317" spans="2:9" ht="15" customHeight="1" x14ac:dyDescent="0.25">
      <c r="B2317" s="26" t="s">
        <v>1301</v>
      </c>
      <c r="C2317" s="1">
        <v>2</v>
      </c>
      <c r="D2317" s="27" t="s">
        <v>3318</v>
      </c>
      <c r="E2317" s="25"/>
      <c r="F2317" s="25" t="str">
        <f>IF(INDEX(I.Electricity.P4Y3C5,2)="","",INDEX(I.Electricity.P4Y3C5,2))</f>
        <v/>
      </c>
      <c r="G2317" s="25"/>
      <c r="H2317" s="1" t="str">
        <f>IF(AND(I.Facility.ProductCount&gt;=4,I.Product.P4Electricity="Yes",I.Developer.P4C5=TRUE,I.Product.P4Status&lt;&gt;"Yes",F2317=""),"Incomplete","Complete")</f>
        <v>Complete</v>
      </c>
      <c r="I2317" s="48" t="s">
        <v>2130</v>
      </c>
    </row>
    <row r="2318" spans="2:9" ht="15" customHeight="1" x14ac:dyDescent="0.25">
      <c r="B2318" s="34" t="s">
        <v>1301</v>
      </c>
      <c r="C2318" s="35">
        <v>3</v>
      </c>
      <c r="D2318" s="46" t="s">
        <v>3318</v>
      </c>
      <c r="E2318" s="45"/>
      <c r="F2318" s="45" t="str">
        <f>IF(INDEX(I.Electricity.P4Y3C5,3)="","",INDEX(I.Electricity.P4Y3C5,3))</f>
        <v/>
      </c>
      <c r="G2318" s="45"/>
      <c r="H2318" s="35" t="str">
        <f>IF(AND(I.Facility.ProductCount&gt;=4,I.Product.P4Electricity="Yes",I.Developer.P4C5=TRUE,I.Product.P4Status&lt;&gt;"Yes",F2318=""),"Incomplete","Complete")</f>
        <v>Complete</v>
      </c>
      <c r="I2318" s="49" t="s">
        <v>2131</v>
      </c>
    </row>
    <row r="2319" spans="2:9" ht="15" customHeight="1" x14ac:dyDescent="0.25">
      <c r="B2319" s="26" t="s">
        <v>1302</v>
      </c>
      <c r="C2319" s="1">
        <v>1</v>
      </c>
      <c r="D2319" s="27" t="s">
        <v>3319</v>
      </c>
      <c r="E2319" s="25"/>
      <c r="F2319" s="25" t="str">
        <f>IF(INDEX(I.Electricity.P4Y1C6,1)="","",INDEX(I.Electricity.P4Y1C6,1))</f>
        <v/>
      </c>
      <c r="G2319" s="25"/>
      <c r="H2319" s="1" t="str">
        <f t="shared" ref="H2319:H2324" si="95">IF(AND(I.Facility.ProductCount&gt;=4,I.Product.P4Electricity="Yes",I.Developer.P4C6=TRUE,F2319=""),"Incomplete","Complete")</f>
        <v>Complete</v>
      </c>
      <c r="I2319" s="48" t="s">
        <v>2132</v>
      </c>
    </row>
    <row r="2320" spans="2:9" ht="15" customHeight="1" x14ac:dyDescent="0.25">
      <c r="B2320" s="26" t="s">
        <v>1302</v>
      </c>
      <c r="C2320" s="1">
        <v>2</v>
      </c>
      <c r="D2320" s="27" t="s">
        <v>3319</v>
      </c>
      <c r="E2320" s="25"/>
      <c r="F2320" s="25" t="str">
        <f>IF(INDEX(I.Electricity.P4Y1C6,2)="","",INDEX(I.Electricity.P4Y1C6,2))</f>
        <v/>
      </c>
      <c r="G2320" s="25"/>
      <c r="H2320" s="1" t="str">
        <f t="shared" si="95"/>
        <v>Complete</v>
      </c>
      <c r="I2320" s="48" t="s">
        <v>2133</v>
      </c>
    </row>
    <row r="2321" spans="2:9" ht="15" customHeight="1" x14ac:dyDescent="0.25">
      <c r="B2321" s="34" t="s">
        <v>1302</v>
      </c>
      <c r="C2321" s="35">
        <v>3</v>
      </c>
      <c r="D2321" s="46" t="s">
        <v>3319</v>
      </c>
      <c r="E2321" s="45"/>
      <c r="F2321" s="45" t="str">
        <f>IF(INDEX(I.Electricity.P4Y1C6,3)="","",INDEX(I.Electricity.P4Y1C6,3))</f>
        <v/>
      </c>
      <c r="G2321" s="45"/>
      <c r="H2321" s="35" t="str">
        <f t="shared" si="95"/>
        <v>Complete</v>
      </c>
      <c r="I2321" s="49" t="s">
        <v>2134</v>
      </c>
    </row>
    <row r="2322" spans="2:9" ht="15" customHeight="1" x14ac:dyDescent="0.25">
      <c r="B2322" s="26" t="s">
        <v>1303</v>
      </c>
      <c r="C2322" s="1">
        <v>1</v>
      </c>
      <c r="D2322" s="27" t="s">
        <v>3320</v>
      </c>
      <c r="E2322" s="25"/>
      <c r="F2322" s="25" t="str">
        <f>IF(INDEX(I.Electricity.P4Y2C6,1)="","",INDEX(I.Electricity.P4Y2C6,1))</f>
        <v/>
      </c>
      <c r="G2322" s="25"/>
      <c r="H2322" s="1" t="str">
        <f t="shared" si="95"/>
        <v>Complete</v>
      </c>
      <c r="I2322" s="48" t="s">
        <v>2135</v>
      </c>
    </row>
    <row r="2323" spans="2:9" ht="15" customHeight="1" x14ac:dyDescent="0.25">
      <c r="B2323" s="26" t="s">
        <v>1303</v>
      </c>
      <c r="C2323" s="1">
        <v>2</v>
      </c>
      <c r="D2323" s="27" t="s">
        <v>3320</v>
      </c>
      <c r="E2323" s="25"/>
      <c r="F2323" s="25" t="str">
        <f>IF(INDEX(I.Electricity.P4Y2C6,2)="","",INDEX(I.Electricity.P4Y2C6,2))</f>
        <v/>
      </c>
      <c r="G2323" s="25"/>
      <c r="H2323" s="1" t="str">
        <f t="shared" si="95"/>
        <v>Complete</v>
      </c>
      <c r="I2323" s="48" t="s">
        <v>2136</v>
      </c>
    </row>
    <row r="2324" spans="2:9" ht="15" customHeight="1" x14ac:dyDescent="0.25">
      <c r="B2324" s="34" t="s">
        <v>1303</v>
      </c>
      <c r="C2324" s="35">
        <v>3</v>
      </c>
      <c r="D2324" s="46" t="s">
        <v>3320</v>
      </c>
      <c r="E2324" s="45"/>
      <c r="F2324" s="45" t="str">
        <f>IF(INDEX(I.Electricity.P4Y2C6,3)="","",INDEX(I.Electricity.P4Y2C6,3))</f>
        <v/>
      </c>
      <c r="G2324" s="45"/>
      <c r="H2324" s="35" t="str">
        <f t="shared" si="95"/>
        <v>Complete</v>
      </c>
      <c r="I2324" s="49" t="s">
        <v>2137</v>
      </c>
    </row>
    <row r="2325" spans="2:9" ht="15" customHeight="1" x14ac:dyDescent="0.25">
      <c r="B2325" s="26" t="s">
        <v>1304</v>
      </c>
      <c r="C2325" s="1">
        <v>1</v>
      </c>
      <c r="D2325" s="27" t="s">
        <v>3321</v>
      </c>
      <c r="E2325" s="25"/>
      <c r="F2325" s="25" t="str">
        <f>IF(INDEX(I.Electricity.P4Y3C6,1)="","",INDEX(I.Electricity.P4Y3C6,1))</f>
        <v/>
      </c>
      <c r="G2325" s="25"/>
      <c r="H2325" s="1" t="str">
        <f>IF(AND(I.Facility.ProductCount&gt;=4,I.Product.P4Electricity="Yes",I.Developer.P4C6=TRUE,I.Product.P4Status&lt;&gt;"Yes",F2325=""),"Incomplete","Complete")</f>
        <v>Complete</v>
      </c>
      <c r="I2325" s="48" t="s">
        <v>2138</v>
      </c>
    </row>
    <row r="2326" spans="2:9" ht="15" customHeight="1" x14ac:dyDescent="0.25">
      <c r="B2326" s="26" t="s">
        <v>1304</v>
      </c>
      <c r="C2326" s="1">
        <v>2</v>
      </c>
      <c r="D2326" s="27" t="s">
        <v>3321</v>
      </c>
      <c r="E2326" s="25"/>
      <c r="F2326" s="25" t="str">
        <f>IF(INDEX(I.Electricity.P4Y3C6,2)="","",INDEX(I.Electricity.P4Y3C6,2))</f>
        <v/>
      </c>
      <c r="G2326" s="25"/>
      <c r="H2326" s="1" t="str">
        <f>IF(AND(I.Facility.ProductCount&gt;=4,I.Product.P4Electricity="Yes",I.Developer.P4C6=TRUE,I.Product.P4Status&lt;&gt;"Yes",F2326=""),"Incomplete","Complete")</f>
        <v>Complete</v>
      </c>
      <c r="I2326" s="48" t="s">
        <v>2139</v>
      </c>
    </row>
    <row r="2327" spans="2:9" ht="15" customHeight="1" x14ac:dyDescent="0.25">
      <c r="B2327" s="34" t="s">
        <v>1304</v>
      </c>
      <c r="C2327" s="35">
        <v>3</v>
      </c>
      <c r="D2327" s="46" t="s">
        <v>3321</v>
      </c>
      <c r="E2327" s="45"/>
      <c r="F2327" s="45" t="str">
        <f>IF(INDEX(I.Electricity.P4Y3C6,3)="","",INDEX(I.Electricity.P4Y3C6,3))</f>
        <v/>
      </c>
      <c r="G2327" s="45"/>
      <c r="H2327" s="35" t="str">
        <f>IF(AND(I.Facility.ProductCount&gt;=4,I.Product.P4Electricity="Yes",I.Developer.P4C6=TRUE,I.Product.P4Status&lt;&gt;"Yes",F2327=""),"Incomplete","Complete")</f>
        <v>Complete</v>
      </c>
      <c r="I2327" s="49" t="s">
        <v>2140</v>
      </c>
    </row>
    <row r="2328" spans="2:9" ht="15" customHeight="1" x14ac:dyDescent="0.25">
      <c r="B2328" s="26" t="s">
        <v>1305</v>
      </c>
      <c r="C2328" s="1">
        <v>1</v>
      </c>
      <c r="D2328" s="27" t="s">
        <v>3322</v>
      </c>
      <c r="E2328" s="25"/>
      <c r="F2328" s="25" t="str">
        <f>IF(INDEX(I.Electricity.P4Y1C7,1)="","",INDEX(I.Electricity.P4Y1C7,1))</f>
        <v/>
      </c>
      <c r="G2328" s="25"/>
      <c r="H2328" s="1" t="str">
        <f t="shared" ref="H2328:H2333" si="96">IF(AND(I.Facility.ProductCount&gt;=4,I.Product.P4Electricity="Yes",I.Developer.P4C7=TRUE,F2328=""),"Incomplete","Complete")</f>
        <v>Complete</v>
      </c>
      <c r="I2328" s="48" t="s">
        <v>2141</v>
      </c>
    </row>
    <row r="2329" spans="2:9" ht="15" customHeight="1" x14ac:dyDescent="0.25">
      <c r="B2329" s="26" t="s">
        <v>1305</v>
      </c>
      <c r="C2329" s="1">
        <v>2</v>
      </c>
      <c r="D2329" s="27" t="s">
        <v>3322</v>
      </c>
      <c r="E2329" s="25"/>
      <c r="F2329" s="25" t="str">
        <f>IF(INDEX(I.Electricity.P4Y1C7,2)="","",INDEX(I.Electricity.P4Y1C7,2))</f>
        <v/>
      </c>
      <c r="G2329" s="25"/>
      <c r="H2329" s="1" t="str">
        <f t="shared" si="96"/>
        <v>Complete</v>
      </c>
      <c r="I2329" s="48" t="s">
        <v>2142</v>
      </c>
    </row>
    <row r="2330" spans="2:9" ht="15" customHeight="1" x14ac:dyDescent="0.25">
      <c r="B2330" s="34" t="s">
        <v>1305</v>
      </c>
      <c r="C2330" s="35">
        <v>3</v>
      </c>
      <c r="D2330" s="46" t="s">
        <v>3322</v>
      </c>
      <c r="E2330" s="45"/>
      <c r="F2330" s="45" t="str">
        <f>IF(INDEX(I.Electricity.P4Y1C7,3)="","",INDEX(I.Electricity.P4Y1C7,3))</f>
        <v/>
      </c>
      <c r="G2330" s="45"/>
      <c r="H2330" s="35" t="str">
        <f t="shared" si="96"/>
        <v>Complete</v>
      </c>
      <c r="I2330" s="49" t="s">
        <v>2143</v>
      </c>
    </row>
    <row r="2331" spans="2:9" ht="15" customHeight="1" x14ac:dyDescent="0.25">
      <c r="B2331" s="26" t="s">
        <v>1306</v>
      </c>
      <c r="C2331" s="1">
        <v>1</v>
      </c>
      <c r="D2331" s="27" t="s">
        <v>3323</v>
      </c>
      <c r="E2331" s="25"/>
      <c r="F2331" s="25" t="str">
        <f>IF(INDEX(I.Electricity.P4Y2C7,1)="","",INDEX(I.Electricity.P4Y2C7,1))</f>
        <v/>
      </c>
      <c r="G2331" s="25"/>
      <c r="H2331" s="1" t="str">
        <f t="shared" si="96"/>
        <v>Complete</v>
      </c>
      <c r="I2331" s="48" t="s">
        <v>2144</v>
      </c>
    </row>
    <row r="2332" spans="2:9" ht="15" customHeight="1" x14ac:dyDescent="0.25">
      <c r="B2332" s="26" t="s">
        <v>1306</v>
      </c>
      <c r="C2332" s="1">
        <v>2</v>
      </c>
      <c r="D2332" s="27" t="s">
        <v>3323</v>
      </c>
      <c r="E2332" s="25"/>
      <c r="F2332" s="25" t="str">
        <f>IF(INDEX(I.Electricity.P4Y2C7,2)="","",INDEX(I.Electricity.P4Y2C7,2))</f>
        <v/>
      </c>
      <c r="G2332" s="25"/>
      <c r="H2332" s="1" t="str">
        <f t="shared" si="96"/>
        <v>Complete</v>
      </c>
      <c r="I2332" s="48" t="s">
        <v>2145</v>
      </c>
    </row>
    <row r="2333" spans="2:9" ht="15" customHeight="1" x14ac:dyDescent="0.25">
      <c r="B2333" s="34" t="s">
        <v>1306</v>
      </c>
      <c r="C2333" s="35">
        <v>3</v>
      </c>
      <c r="D2333" s="46" t="s">
        <v>3323</v>
      </c>
      <c r="E2333" s="45"/>
      <c r="F2333" s="45" t="str">
        <f>IF(INDEX(I.Electricity.P4Y2C7,3)="","",INDEX(I.Electricity.P4Y2C7,3))</f>
        <v/>
      </c>
      <c r="G2333" s="45"/>
      <c r="H2333" s="35" t="str">
        <f t="shared" si="96"/>
        <v>Complete</v>
      </c>
      <c r="I2333" s="49" t="s">
        <v>2146</v>
      </c>
    </row>
    <row r="2334" spans="2:9" ht="15" customHeight="1" x14ac:dyDescent="0.25">
      <c r="B2334" s="26" t="s">
        <v>1307</v>
      </c>
      <c r="C2334" s="1">
        <v>1</v>
      </c>
      <c r="D2334" s="27" t="s">
        <v>3324</v>
      </c>
      <c r="E2334" s="25"/>
      <c r="F2334" s="25" t="str">
        <f>IF(INDEX(I.Electricity.P4Y3C7,1)="","",INDEX(I.Electricity.P4Y3C7,1))</f>
        <v/>
      </c>
      <c r="G2334" s="25"/>
      <c r="H2334" s="1" t="str">
        <f>IF(AND(I.Facility.ProductCount&gt;=4,I.Product.P4Electricity="Yes",I.Developer.P4C7=TRUE,I.Product.P4Status&lt;&gt;"Yes",F2334=""),"Incomplete","Complete")</f>
        <v>Complete</v>
      </c>
      <c r="I2334" s="48" t="s">
        <v>2147</v>
      </c>
    </row>
    <row r="2335" spans="2:9" ht="15" customHeight="1" x14ac:dyDescent="0.25">
      <c r="B2335" s="26" t="s">
        <v>1307</v>
      </c>
      <c r="C2335" s="1">
        <v>2</v>
      </c>
      <c r="D2335" s="27" t="s">
        <v>3324</v>
      </c>
      <c r="E2335" s="25"/>
      <c r="F2335" s="25" t="str">
        <f>IF(INDEX(I.Electricity.P4Y3C7,2)="","",INDEX(I.Electricity.P4Y3C7,2))</f>
        <v/>
      </c>
      <c r="G2335" s="25"/>
      <c r="H2335" s="1" t="str">
        <f>IF(AND(I.Facility.ProductCount&gt;=4,I.Product.P4Electricity="Yes",I.Developer.P4C7=TRUE,I.Product.P4Status&lt;&gt;"Yes",F2335=""),"Incomplete","Complete")</f>
        <v>Complete</v>
      </c>
      <c r="I2335" s="48" t="s">
        <v>2148</v>
      </c>
    </row>
    <row r="2336" spans="2:9" ht="15" customHeight="1" x14ac:dyDescent="0.25">
      <c r="B2336" s="34" t="s">
        <v>1307</v>
      </c>
      <c r="C2336" s="35">
        <v>3</v>
      </c>
      <c r="D2336" s="46" t="s">
        <v>3324</v>
      </c>
      <c r="E2336" s="45"/>
      <c r="F2336" s="45" t="str">
        <f>IF(INDEX(I.Electricity.P4Y3C7,3)="","",INDEX(I.Electricity.P4Y3C7,3))</f>
        <v/>
      </c>
      <c r="G2336" s="45"/>
      <c r="H2336" s="35" t="str">
        <f>IF(AND(I.Facility.ProductCount&gt;=4,I.Product.P4Electricity="Yes",I.Developer.P4C7=TRUE,I.Product.P4Status&lt;&gt;"Yes",F2336=""),"Incomplete","Complete")</f>
        <v>Complete</v>
      </c>
      <c r="I2336" s="49" t="s">
        <v>2149</v>
      </c>
    </row>
    <row r="2337" spans="2:9" ht="15" customHeight="1" x14ac:dyDescent="0.25">
      <c r="B2337" s="26" t="s">
        <v>1308</v>
      </c>
      <c r="C2337" s="1">
        <v>1</v>
      </c>
      <c r="D2337" s="27" t="s">
        <v>3325</v>
      </c>
      <c r="E2337" s="25"/>
      <c r="F2337" s="25" t="str">
        <f>IF(INDEX(I.Electricity.P4Y1C8,1)="","",INDEX(I.Electricity.P4Y1C8,1))</f>
        <v/>
      </c>
      <c r="G2337" s="25"/>
      <c r="H2337" s="1" t="str">
        <f t="shared" ref="H2337:H2342" si="97">IF(AND(I.Facility.ProductCount&gt;=4,I.Product.P4Electricity="Yes",I.Developer.P4C8=TRUE,F2337=""),"Incomplete","Complete")</f>
        <v>Complete</v>
      </c>
      <c r="I2337" s="48" t="s">
        <v>2150</v>
      </c>
    </row>
    <row r="2338" spans="2:9" ht="15" customHeight="1" x14ac:dyDescent="0.25">
      <c r="B2338" s="26" t="s">
        <v>1308</v>
      </c>
      <c r="C2338" s="1">
        <v>2</v>
      </c>
      <c r="D2338" s="27" t="s">
        <v>3325</v>
      </c>
      <c r="E2338" s="25"/>
      <c r="F2338" s="25" t="str">
        <f>IF(INDEX(I.Electricity.P4Y1C8,2)="","",INDEX(I.Electricity.P4Y1C8,2))</f>
        <v/>
      </c>
      <c r="G2338" s="25"/>
      <c r="H2338" s="1" t="str">
        <f t="shared" si="97"/>
        <v>Complete</v>
      </c>
      <c r="I2338" s="48" t="s">
        <v>2151</v>
      </c>
    </row>
    <row r="2339" spans="2:9" ht="15" customHeight="1" x14ac:dyDescent="0.25">
      <c r="B2339" s="34" t="s">
        <v>1308</v>
      </c>
      <c r="C2339" s="35">
        <v>3</v>
      </c>
      <c r="D2339" s="46" t="s">
        <v>3325</v>
      </c>
      <c r="E2339" s="45"/>
      <c r="F2339" s="45" t="str">
        <f>IF(INDEX(I.Electricity.P4Y1C8,3)="","",INDEX(I.Electricity.P4Y1C8,3))</f>
        <v/>
      </c>
      <c r="G2339" s="45"/>
      <c r="H2339" s="35" t="str">
        <f t="shared" si="97"/>
        <v>Complete</v>
      </c>
      <c r="I2339" s="49" t="s">
        <v>2152</v>
      </c>
    </row>
    <row r="2340" spans="2:9" ht="15" customHeight="1" x14ac:dyDescent="0.25">
      <c r="B2340" s="26" t="s">
        <v>1309</v>
      </c>
      <c r="C2340" s="1">
        <v>1</v>
      </c>
      <c r="D2340" s="27" t="s">
        <v>3326</v>
      </c>
      <c r="E2340" s="25"/>
      <c r="F2340" s="25" t="str">
        <f>IF(INDEX(I.Electricity.P4Y2C8,1)="","",INDEX(I.Electricity.P4Y2C8,1))</f>
        <v/>
      </c>
      <c r="G2340" s="25"/>
      <c r="H2340" s="1" t="str">
        <f t="shared" si="97"/>
        <v>Complete</v>
      </c>
      <c r="I2340" s="48" t="s">
        <v>2153</v>
      </c>
    </row>
    <row r="2341" spans="2:9" ht="15" customHeight="1" x14ac:dyDescent="0.25">
      <c r="B2341" s="26" t="s">
        <v>1309</v>
      </c>
      <c r="C2341" s="1">
        <v>2</v>
      </c>
      <c r="D2341" s="27" t="s">
        <v>3326</v>
      </c>
      <c r="E2341" s="25"/>
      <c r="F2341" s="25" t="str">
        <f>IF(INDEX(I.Electricity.P4Y2C8,2)="","",INDEX(I.Electricity.P4Y2C8,2))</f>
        <v/>
      </c>
      <c r="G2341" s="25"/>
      <c r="H2341" s="1" t="str">
        <f t="shared" si="97"/>
        <v>Complete</v>
      </c>
      <c r="I2341" s="48" t="s">
        <v>2154</v>
      </c>
    </row>
    <row r="2342" spans="2:9" ht="15" customHeight="1" x14ac:dyDescent="0.25">
      <c r="B2342" s="34" t="s">
        <v>1309</v>
      </c>
      <c r="C2342" s="35">
        <v>3</v>
      </c>
      <c r="D2342" s="46" t="s">
        <v>3326</v>
      </c>
      <c r="E2342" s="45"/>
      <c r="F2342" s="45" t="str">
        <f>IF(INDEX(I.Electricity.P4Y2C8,3)="","",INDEX(I.Electricity.P4Y2C8,3))</f>
        <v/>
      </c>
      <c r="G2342" s="45"/>
      <c r="H2342" s="35" t="str">
        <f t="shared" si="97"/>
        <v>Complete</v>
      </c>
      <c r="I2342" s="49" t="s">
        <v>2155</v>
      </c>
    </row>
    <row r="2343" spans="2:9" ht="15" customHeight="1" x14ac:dyDescent="0.25">
      <c r="B2343" s="26" t="s">
        <v>1310</v>
      </c>
      <c r="C2343" s="1">
        <v>1</v>
      </c>
      <c r="D2343" s="27" t="s">
        <v>3327</v>
      </c>
      <c r="E2343" s="25"/>
      <c r="F2343" s="25" t="str">
        <f>IF(INDEX(I.Electricity.P4Y3C8,1)="","",INDEX(I.Electricity.P4Y3C8,1))</f>
        <v/>
      </c>
      <c r="G2343" s="25"/>
      <c r="H2343" s="1" t="str">
        <f>IF(AND(I.Facility.ProductCount&gt;=4,I.Product.P4Electricity="Yes",I.Developer.P4C8=TRUE,I.Product.P4Status&lt;&gt;"Yes",F2343=""),"Incomplete","Complete")</f>
        <v>Complete</v>
      </c>
      <c r="I2343" s="48" t="s">
        <v>2156</v>
      </c>
    </row>
    <row r="2344" spans="2:9" ht="15" customHeight="1" x14ac:dyDescent="0.25">
      <c r="B2344" s="26" t="s">
        <v>1310</v>
      </c>
      <c r="C2344" s="1">
        <v>2</v>
      </c>
      <c r="D2344" s="27" t="s">
        <v>3327</v>
      </c>
      <c r="E2344" s="25"/>
      <c r="F2344" s="25" t="str">
        <f>IF(INDEX(I.Electricity.P4Y3C8,2)="","",INDEX(I.Electricity.P4Y3C8,2))</f>
        <v/>
      </c>
      <c r="G2344" s="25"/>
      <c r="H2344" s="1" t="str">
        <f>IF(AND(I.Facility.ProductCount&gt;=4,I.Product.P4Electricity="Yes",I.Developer.P4C8=TRUE,I.Product.P4Status&lt;&gt;"Yes",F2344=""),"Incomplete","Complete")</f>
        <v>Complete</v>
      </c>
      <c r="I2344" s="48" t="s">
        <v>2157</v>
      </c>
    </row>
    <row r="2345" spans="2:9" ht="15" customHeight="1" x14ac:dyDescent="0.25">
      <c r="B2345" s="34" t="s">
        <v>1310</v>
      </c>
      <c r="C2345" s="35">
        <v>3</v>
      </c>
      <c r="D2345" s="46" t="s">
        <v>3327</v>
      </c>
      <c r="E2345" s="45"/>
      <c r="F2345" s="45" t="str">
        <f>IF(INDEX(I.Electricity.P4Y3C8,3)="","",INDEX(I.Electricity.P4Y3C8,3))</f>
        <v/>
      </c>
      <c r="G2345" s="45"/>
      <c r="H2345" s="35" t="str">
        <f>IF(AND(I.Facility.ProductCount&gt;=4,I.Product.P4Electricity="Yes",I.Developer.P4C8=TRUE,I.Product.P4Status&lt;&gt;"Yes",F2345=""),"Incomplete","Complete")</f>
        <v>Complete</v>
      </c>
      <c r="I2345" s="49" t="s">
        <v>2158</v>
      </c>
    </row>
    <row r="2346" spans="2:9" ht="15" customHeight="1" x14ac:dyDescent="0.25">
      <c r="B2346" s="26" t="s">
        <v>1311</v>
      </c>
      <c r="C2346" s="1">
        <v>1</v>
      </c>
      <c r="D2346" s="27" t="s">
        <v>3328</v>
      </c>
      <c r="E2346" s="25"/>
      <c r="F2346" s="25" t="str">
        <f>IF(INDEX(I.Electricity.P4Y1C9,1)="","",INDEX(I.Electricity.P4Y1C9,1))</f>
        <v/>
      </c>
      <c r="G2346" s="25"/>
      <c r="H2346" s="1" t="str">
        <f t="shared" ref="H2346:H2351" si="98">IF(AND(I.Facility.ProductCount&gt;=4,I.Product.P4Electricity="Yes",I.Developer.P4C9=TRUE,F2346=""),"Incomplete","Complete")</f>
        <v>Complete</v>
      </c>
      <c r="I2346" s="48" t="s">
        <v>2159</v>
      </c>
    </row>
    <row r="2347" spans="2:9" ht="15" customHeight="1" x14ac:dyDescent="0.25">
      <c r="B2347" s="26" t="s">
        <v>1311</v>
      </c>
      <c r="C2347" s="1">
        <v>2</v>
      </c>
      <c r="D2347" s="27" t="s">
        <v>3328</v>
      </c>
      <c r="E2347" s="25"/>
      <c r="F2347" s="25" t="str">
        <f>IF(INDEX(I.Electricity.P4Y1C9,2)="","",INDEX(I.Electricity.P4Y1C9,2))</f>
        <v/>
      </c>
      <c r="G2347" s="25"/>
      <c r="H2347" s="1" t="str">
        <f t="shared" si="98"/>
        <v>Complete</v>
      </c>
      <c r="I2347" s="48" t="s">
        <v>2160</v>
      </c>
    </row>
    <row r="2348" spans="2:9" ht="15" customHeight="1" x14ac:dyDescent="0.25">
      <c r="B2348" s="34" t="s">
        <v>1311</v>
      </c>
      <c r="C2348" s="35">
        <v>3</v>
      </c>
      <c r="D2348" s="46" t="s">
        <v>3328</v>
      </c>
      <c r="E2348" s="45"/>
      <c r="F2348" s="45" t="str">
        <f>IF(INDEX(I.Electricity.P4Y1C9,3)="","",INDEX(I.Electricity.P4Y1C9,3))</f>
        <v/>
      </c>
      <c r="G2348" s="45"/>
      <c r="H2348" s="35" t="str">
        <f t="shared" si="98"/>
        <v>Complete</v>
      </c>
      <c r="I2348" s="49" t="s">
        <v>2161</v>
      </c>
    </row>
    <row r="2349" spans="2:9" ht="15" customHeight="1" x14ac:dyDescent="0.25">
      <c r="B2349" s="26" t="s">
        <v>1312</v>
      </c>
      <c r="C2349" s="1">
        <v>1</v>
      </c>
      <c r="D2349" s="27" t="s">
        <v>3329</v>
      </c>
      <c r="E2349" s="25"/>
      <c r="F2349" s="25" t="str">
        <f>IF(INDEX(I.Electricity.P4Y2C9,1)="","",INDEX(I.Electricity.P4Y2C9,1))</f>
        <v/>
      </c>
      <c r="G2349" s="25"/>
      <c r="H2349" s="1" t="str">
        <f t="shared" si="98"/>
        <v>Complete</v>
      </c>
      <c r="I2349" s="48" t="s">
        <v>2162</v>
      </c>
    </row>
    <row r="2350" spans="2:9" ht="15" customHeight="1" x14ac:dyDescent="0.25">
      <c r="B2350" s="26" t="s">
        <v>1312</v>
      </c>
      <c r="C2350" s="1">
        <v>2</v>
      </c>
      <c r="D2350" s="27" t="s">
        <v>3329</v>
      </c>
      <c r="E2350" s="25"/>
      <c r="F2350" s="25" t="str">
        <f>IF(INDEX(I.Electricity.P4Y2C9,2)="","",INDEX(I.Electricity.P4Y2C9,2))</f>
        <v/>
      </c>
      <c r="G2350" s="25"/>
      <c r="H2350" s="1" t="str">
        <f t="shared" si="98"/>
        <v>Complete</v>
      </c>
      <c r="I2350" s="48" t="s">
        <v>2163</v>
      </c>
    </row>
    <row r="2351" spans="2:9" ht="15" customHeight="1" x14ac:dyDescent="0.25">
      <c r="B2351" s="34" t="s">
        <v>1312</v>
      </c>
      <c r="C2351" s="35">
        <v>3</v>
      </c>
      <c r="D2351" s="46" t="s">
        <v>3329</v>
      </c>
      <c r="E2351" s="45"/>
      <c r="F2351" s="45" t="str">
        <f>IF(INDEX(I.Electricity.P4Y2C9,3)="","",INDEX(I.Electricity.P4Y2C9,3))</f>
        <v/>
      </c>
      <c r="G2351" s="45"/>
      <c r="H2351" s="35" t="str">
        <f t="shared" si="98"/>
        <v>Complete</v>
      </c>
      <c r="I2351" s="49" t="s">
        <v>2164</v>
      </c>
    </row>
    <row r="2352" spans="2:9" ht="15" customHeight="1" x14ac:dyDescent="0.25">
      <c r="B2352" s="26" t="s">
        <v>1313</v>
      </c>
      <c r="C2352" s="1">
        <v>1</v>
      </c>
      <c r="D2352" s="27" t="s">
        <v>3330</v>
      </c>
      <c r="E2352" s="25"/>
      <c r="F2352" s="25" t="str">
        <f>IF(INDEX(I.Electricity.P4Y3C9,1)="","",INDEX(I.Electricity.P4Y3C9,1))</f>
        <v/>
      </c>
      <c r="G2352" s="25"/>
      <c r="H2352" s="1" t="str">
        <f>IF(AND(I.Facility.ProductCount&gt;=4,I.Product.P4Electricity="Yes",I.Developer.P4C9=TRUE,I.Product.P4Status&lt;&gt;"Yes",F2352=""),"Incomplete","Complete")</f>
        <v>Complete</v>
      </c>
      <c r="I2352" s="48" t="s">
        <v>2165</v>
      </c>
    </row>
    <row r="2353" spans="2:9" ht="15" customHeight="1" x14ac:dyDescent="0.25">
      <c r="B2353" s="26" t="s">
        <v>1313</v>
      </c>
      <c r="C2353" s="1">
        <v>2</v>
      </c>
      <c r="D2353" s="27" t="s">
        <v>3330</v>
      </c>
      <c r="E2353" s="25"/>
      <c r="F2353" s="25" t="str">
        <f>IF(INDEX(I.Electricity.P4Y3C9,2)="","",INDEX(I.Electricity.P4Y3C9,2))</f>
        <v/>
      </c>
      <c r="G2353" s="25"/>
      <c r="H2353" s="1" t="str">
        <f>IF(AND(I.Facility.ProductCount&gt;=4,I.Product.P4Electricity="Yes",I.Developer.P4C9=TRUE,I.Product.P4Status&lt;&gt;"Yes",F2353=""),"Incomplete","Complete")</f>
        <v>Complete</v>
      </c>
      <c r="I2353" s="48" t="s">
        <v>2166</v>
      </c>
    </row>
    <row r="2354" spans="2:9" ht="15" customHeight="1" x14ac:dyDescent="0.25">
      <c r="B2354" s="34" t="s">
        <v>1313</v>
      </c>
      <c r="C2354" s="35">
        <v>3</v>
      </c>
      <c r="D2354" s="46" t="s">
        <v>3330</v>
      </c>
      <c r="E2354" s="45"/>
      <c r="F2354" s="45" t="str">
        <f>IF(INDEX(I.Electricity.P4Y3C9,3)="","",INDEX(I.Electricity.P4Y3C9,3))</f>
        <v/>
      </c>
      <c r="G2354" s="45"/>
      <c r="H2354" s="35" t="str">
        <f>IF(AND(I.Facility.ProductCount&gt;=4,I.Product.P4Electricity="Yes",I.Developer.P4C9=TRUE,I.Product.P4Status&lt;&gt;"Yes",F2354=""),"Incomplete","Complete")</f>
        <v>Complete</v>
      </c>
      <c r="I2354" s="49" t="s">
        <v>2167</v>
      </c>
    </row>
    <row r="2355" spans="2:9" ht="15" customHeight="1" x14ac:dyDescent="0.25">
      <c r="B2355" s="26" t="s">
        <v>1314</v>
      </c>
      <c r="C2355" s="1">
        <v>1</v>
      </c>
      <c r="D2355" s="27" t="s">
        <v>3331</v>
      </c>
      <c r="E2355" s="25"/>
      <c r="F2355" s="25" t="str">
        <f>IF(INDEX(I.Electricity.P5Y1C1,1)="","",INDEX(I.Electricity.P5Y1C1,1))</f>
        <v/>
      </c>
      <c r="G2355" s="25"/>
      <c r="H2355" s="1" t="str">
        <f t="shared" ref="H2355:H2360" si="99">IF(AND(I.Facility.ProductCount&gt;=5,I.Product.P5Electricity="Yes",I.Developer.P5C1=TRUE,F2355=""),"Incomplete","Complete")</f>
        <v>Complete</v>
      </c>
      <c r="I2355" s="48" t="s">
        <v>2169</v>
      </c>
    </row>
    <row r="2356" spans="2:9" ht="15" customHeight="1" x14ac:dyDescent="0.25">
      <c r="B2356" s="26" t="s">
        <v>1314</v>
      </c>
      <c r="C2356" s="1">
        <v>2</v>
      </c>
      <c r="D2356" s="27" t="s">
        <v>3331</v>
      </c>
      <c r="E2356" s="25"/>
      <c r="F2356" s="25" t="str">
        <f>IF(INDEX(I.Electricity.P5Y1C1,2)="","",INDEX(I.Electricity.P5Y1C1,2))</f>
        <v/>
      </c>
      <c r="G2356" s="25"/>
      <c r="H2356" s="1" t="str">
        <f t="shared" si="99"/>
        <v>Complete</v>
      </c>
      <c r="I2356" s="48" t="s">
        <v>2170</v>
      </c>
    </row>
    <row r="2357" spans="2:9" ht="15" customHeight="1" x14ac:dyDescent="0.25">
      <c r="B2357" s="34" t="s">
        <v>1314</v>
      </c>
      <c r="C2357" s="35">
        <v>3</v>
      </c>
      <c r="D2357" s="46" t="s">
        <v>3331</v>
      </c>
      <c r="E2357" s="45"/>
      <c r="F2357" s="45" t="str">
        <f>IF(INDEX(I.Electricity.P5Y1C1,3)="","",INDEX(I.Electricity.P5Y1C1,3))</f>
        <v/>
      </c>
      <c r="G2357" s="45"/>
      <c r="H2357" s="35" t="str">
        <f t="shared" si="99"/>
        <v>Complete</v>
      </c>
      <c r="I2357" s="49" t="s">
        <v>2171</v>
      </c>
    </row>
    <row r="2358" spans="2:9" ht="15" customHeight="1" x14ac:dyDescent="0.25">
      <c r="B2358" s="26" t="s">
        <v>1315</v>
      </c>
      <c r="C2358" s="1">
        <v>1</v>
      </c>
      <c r="D2358" s="27" t="s">
        <v>3332</v>
      </c>
      <c r="E2358" s="25"/>
      <c r="F2358" s="25" t="str">
        <f>IF(INDEX(I.Electricity.P5Y2C1,1)="","",INDEX(I.Electricity.P5Y2C1,1))</f>
        <v/>
      </c>
      <c r="G2358" s="25"/>
      <c r="H2358" s="1" t="str">
        <f t="shared" si="99"/>
        <v>Complete</v>
      </c>
      <c r="I2358" s="48" t="s">
        <v>2172</v>
      </c>
    </row>
    <row r="2359" spans="2:9" ht="15" customHeight="1" x14ac:dyDescent="0.25">
      <c r="B2359" s="26" t="s">
        <v>1315</v>
      </c>
      <c r="C2359" s="1">
        <v>2</v>
      </c>
      <c r="D2359" s="27" t="s">
        <v>3332</v>
      </c>
      <c r="E2359" s="25"/>
      <c r="F2359" s="25" t="str">
        <f>IF(INDEX(I.Electricity.P5Y2C1,2)="","",INDEX(I.Electricity.P5Y2C1,2))</f>
        <v/>
      </c>
      <c r="G2359" s="25"/>
      <c r="H2359" s="1" t="str">
        <f t="shared" si="99"/>
        <v>Complete</v>
      </c>
      <c r="I2359" s="48" t="s">
        <v>2173</v>
      </c>
    </row>
    <row r="2360" spans="2:9" ht="15" customHeight="1" x14ac:dyDescent="0.25">
      <c r="B2360" s="34" t="s">
        <v>1315</v>
      </c>
      <c r="C2360" s="35">
        <v>3</v>
      </c>
      <c r="D2360" s="46" t="s">
        <v>3332</v>
      </c>
      <c r="E2360" s="45"/>
      <c r="F2360" s="45" t="str">
        <f>IF(INDEX(I.Electricity.P5Y2C1,3)="","",INDEX(I.Electricity.P5Y2C1,3))</f>
        <v/>
      </c>
      <c r="G2360" s="45"/>
      <c r="H2360" s="35" t="str">
        <f t="shared" si="99"/>
        <v>Complete</v>
      </c>
      <c r="I2360" s="49" t="s">
        <v>2174</v>
      </c>
    </row>
    <row r="2361" spans="2:9" ht="15" customHeight="1" x14ac:dyDescent="0.25">
      <c r="B2361" s="26" t="s">
        <v>1316</v>
      </c>
      <c r="C2361" s="1">
        <v>1</v>
      </c>
      <c r="D2361" s="27" t="s">
        <v>3333</v>
      </c>
      <c r="E2361" s="25"/>
      <c r="F2361" s="25" t="str">
        <f>IF(INDEX(I.Electricity.P5Y3C1,1)="","",INDEX(I.Electricity.P5Y3C1,1))</f>
        <v/>
      </c>
      <c r="G2361" s="25"/>
      <c r="H2361" s="1" t="str">
        <f>IF(AND(I.Facility.ProductCount&gt;=5,I.Product.P5Electricity="Yes",I.Developer.P5C1=TRUE,I.Product.P5Status&lt;&gt;"Yes",F2361=""),"Incomplete","Complete")</f>
        <v>Complete</v>
      </c>
      <c r="I2361" s="48" t="s">
        <v>2175</v>
      </c>
    </row>
    <row r="2362" spans="2:9" ht="15" customHeight="1" x14ac:dyDescent="0.25">
      <c r="B2362" s="26" t="s">
        <v>1316</v>
      </c>
      <c r="C2362" s="1">
        <v>2</v>
      </c>
      <c r="D2362" s="27" t="s">
        <v>3333</v>
      </c>
      <c r="E2362" s="25"/>
      <c r="F2362" s="25" t="str">
        <f>IF(INDEX(I.Electricity.P5Y3C1,2)="","",INDEX(I.Electricity.P5Y3C1,2))</f>
        <v/>
      </c>
      <c r="G2362" s="25"/>
      <c r="H2362" s="1" t="str">
        <f>IF(AND(I.Facility.ProductCount&gt;=5,I.Product.P5Electricity="Yes",I.Developer.P5C1=TRUE,I.Product.P5Status&lt;&gt;"Yes",F2362=""),"Incomplete","Complete")</f>
        <v>Complete</v>
      </c>
      <c r="I2362" s="48" t="s">
        <v>2176</v>
      </c>
    </row>
    <row r="2363" spans="2:9" ht="15" customHeight="1" x14ac:dyDescent="0.25">
      <c r="B2363" s="34" t="s">
        <v>1316</v>
      </c>
      <c r="C2363" s="35">
        <v>3</v>
      </c>
      <c r="D2363" s="46" t="s">
        <v>3333</v>
      </c>
      <c r="E2363" s="45"/>
      <c r="F2363" s="45" t="str">
        <f>IF(INDEX(I.Electricity.P5Y3C1,3)="","",INDEX(I.Electricity.P5Y3C1,3))</f>
        <v/>
      </c>
      <c r="G2363" s="45"/>
      <c r="H2363" s="35" t="str">
        <f>IF(AND(I.Facility.ProductCount&gt;=5,I.Product.P5Electricity="Yes",I.Developer.P5C1=TRUE,I.Product.P5Status&lt;&gt;"Yes",F2363=""),"Incomplete","Complete")</f>
        <v>Complete</v>
      </c>
      <c r="I2363" s="49" t="s">
        <v>2177</v>
      </c>
    </row>
    <row r="2364" spans="2:9" ht="15" customHeight="1" x14ac:dyDescent="0.25">
      <c r="B2364" s="26" t="s">
        <v>1317</v>
      </c>
      <c r="C2364" s="1">
        <v>1</v>
      </c>
      <c r="D2364" s="27" t="s">
        <v>3334</v>
      </c>
      <c r="E2364" s="25"/>
      <c r="F2364" s="25" t="str">
        <f>IF(INDEX(I.Electricity.P5Y1C2,1)="","",INDEX(I.Electricity.P5Y1C2,1))</f>
        <v/>
      </c>
      <c r="G2364" s="25"/>
      <c r="H2364" s="1" t="str">
        <f t="shared" ref="H2364:H2411" si="100">IF(AND(I.Facility.ProductCount&gt;=5,I.Product.P5Electricity="Yes",I.Developer.P5C2=TRUE,F2364=""),"Incomplete","Complete")</f>
        <v>Complete</v>
      </c>
      <c r="I2364" s="48" t="s">
        <v>2178</v>
      </c>
    </row>
    <row r="2365" spans="2:9" ht="15" customHeight="1" x14ac:dyDescent="0.25">
      <c r="B2365" s="26" t="s">
        <v>1317</v>
      </c>
      <c r="C2365" s="1">
        <v>2</v>
      </c>
      <c r="D2365" s="27" t="s">
        <v>3334</v>
      </c>
      <c r="E2365" s="25"/>
      <c r="F2365" s="25" t="str">
        <f>IF(INDEX(I.Electricity.P5Y1C2,2)="","",INDEX(I.Electricity.P5Y1C2,2))</f>
        <v/>
      </c>
      <c r="G2365" s="25"/>
      <c r="H2365" s="1" t="str">
        <f t="shared" si="100"/>
        <v>Complete</v>
      </c>
      <c r="I2365" s="48" t="s">
        <v>2179</v>
      </c>
    </row>
    <row r="2366" spans="2:9" ht="15" customHeight="1" x14ac:dyDescent="0.25">
      <c r="B2366" s="26" t="s">
        <v>1317</v>
      </c>
      <c r="C2366" s="1">
        <v>3</v>
      </c>
      <c r="D2366" s="27" t="s">
        <v>3334</v>
      </c>
      <c r="E2366" s="25"/>
      <c r="F2366" s="25" t="str">
        <f>IF(INDEX(I.Electricity.P5Y1C2,3)="","",INDEX(I.Electricity.P5Y1C2,3))</f>
        <v/>
      </c>
      <c r="G2366" s="25"/>
      <c r="H2366" s="1" t="str">
        <f t="shared" si="100"/>
        <v>Complete</v>
      </c>
      <c r="I2366" s="48" t="s">
        <v>2180</v>
      </c>
    </row>
    <row r="2367" spans="2:9" ht="15" customHeight="1" x14ac:dyDescent="0.25">
      <c r="B2367" s="26" t="s">
        <v>1317</v>
      </c>
      <c r="C2367" s="1">
        <v>4</v>
      </c>
      <c r="D2367" s="27" t="s">
        <v>3334</v>
      </c>
      <c r="E2367" s="25"/>
      <c r="F2367" s="25" t="str">
        <f>IF(INDEX(I.Electricity.P5Y1C2,4)="","",INDEX(I.Electricity.P5Y1C2,4))</f>
        <v/>
      </c>
      <c r="G2367" s="25"/>
      <c r="H2367" s="1" t="str">
        <f t="shared" si="100"/>
        <v>Complete</v>
      </c>
      <c r="I2367" s="48" t="s">
        <v>2181</v>
      </c>
    </row>
    <row r="2368" spans="2:9" ht="15" customHeight="1" x14ac:dyDescent="0.25">
      <c r="B2368" s="26" t="s">
        <v>1317</v>
      </c>
      <c r="C2368" s="1">
        <v>5</v>
      </c>
      <c r="D2368" s="27" t="s">
        <v>3334</v>
      </c>
      <c r="E2368" s="25"/>
      <c r="F2368" s="25" t="str">
        <f>IF(INDEX(I.Electricity.P5Y1C2,5)="","",INDEX(I.Electricity.P5Y1C2,5))</f>
        <v/>
      </c>
      <c r="G2368" s="25"/>
      <c r="H2368" s="1" t="str">
        <f t="shared" si="100"/>
        <v>Complete</v>
      </c>
      <c r="I2368" s="48" t="s">
        <v>2182</v>
      </c>
    </row>
    <row r="2369" spans="2:9" ht="15" customHeight="1" x14ac:dyDescent="0.25">
      <c r="B2369" s="26" t="s">
        <v>1317</v>
      </c>
      <c r="C2369" s="1">
        <v>6</v>
      </c>
      <c r="D2369" s="27" t="s">
        <v>3334</v>
      </c>
      <c r="E2369" s="25"/>
      <c r="F2369" s="25" t="str">
        <f>IF(INDEX(I.Electricity.P5Y1C2,6)="","",INDEX(I.Electricity.P5Y1C2,6))</f>
        <v/>
      </c>
      <c r="G2369" s="25"/>
      <c r="H2369" s="1" t="str">
        <f t="shared" si="100"/>
        <v>Complete</v>
      </c>
      <c r="I2369" s="48" t="s">
        <v>2183</v>
      </c>
    </row>
    <row r="2370" spans="2:9" ht="15" customHeight="1" x14ac:dyDescent="0.25">
      <c r="B2370" s="26" t="s">
        <v>1317</v>
      </c>
      <c r="C2370" s="1">
        <v>7</v>
      </c>
      <c r="D2370" s="27" t="s">
        <v>3334</v>
      </c>
      <c r="E2370" s="25"/>
      <c r="F2370" s="25" t="str">
        <f>IF(INDEX(I.Electricity.P5Y1C2,7)="","",INDEX(I.Electricity.P5Y1C2,7))</f>
        <v/>
      </c>
      <c r="G2370" s="25"/>
      <c r="H2370" s="1" t="str">
        <f t="shared" si="100"/>
        <v>Complete</v>
      </c>
      <c r="I2370" s="48" t="s">
        <v>2184</v>
      </c>
    </row>
    <row r="2371" spans="2:9" ht="15" customHeight="1" x14ac:dyDescent="0.25">
      <c r="B2371" s="26" t="s">
        <v>1317</v>
      </c>
      <c r="C2371" s="1">
        <v>8</v>
      </c>
      <c r="D2371" s="27" t="s">
        <v>3334</v>
      </c>
      <c r="E2371" s="25"/>
      <c r="F2371" s="25" t="str">
        <f>IF(INDEX(I.Electricity.P5Y1C2,8)="","",INDEX(I.Electricity.P5Y1C2,8))</f>
        <v/>
      </c>
      <c r="G2371" s="25"/>
      <c r="H2371" s="1" t="str">
        <f t="shared" si="100"/>
        <v>Complete</v>
      </c>
      <c r="I2371" s="48" t="s">
        <v>2185</v>
      </c>
    </row>
    <row r="2372" spans="2:9" ht="15" customHeight="1" x14ac:dyDescent="0.25">
      <c r="B2372" s="26" t="s">
        <v>1317</v>
      </c>
      <c r="C2372" s="1">
        <v>9</v>
      </c>
      <c r="D2372" s="27" t="s">
        <v>3334</v>
      </c>
      <c r="E2372" s="25"/>
      <c r="F2372" s="25" t="str">
        <f>IF(INDEX(I.Electricity.P5Y1C2,9)="","",INDEX(I.Electricity.P5Y1C2,9))</f>
        <v/>
      </c>
      <c r="G2372" s="25"/>
      <c r="H2372" s="1" t="str">
        <f t="shared" si="100"/>
        <v>Complete</v>
      </c>
      <c r="I2372" s="48" t="s">
        <v>2186</v>
      </c>
    </row>
    <row r="2373" spans="2:9" ht="15" customHeight="1" x14ac:dyDescent="0.25">
      <c r="B2373" s="26" t="s">
        <v>1317</v>
      </c>
      <c r="C2373" s="1">
        <v>10</v>
      </c>
      <c r="D2373" s="27" t="s">
        <v>3334</v>
      </c>
      <c r="E2373" s="25"/>
      <c r="F2373" s="25" t="str">
        <f>IF(INDEX(I.Electricity.P5Y1C2,10)="","",INDEX(I.Electricity.P5Y1C2,10))</f>
        <v/>
      </c>
      <c r="G2373" s="25"/>
      <c r="H2373" s="1" t="str">
        <f t="shared" si="100"/>
        <v>Complete</v>
      </c>
      <c r="I2373" s="48" t="s">
        <v>2187</v>
      </c>
    </row>
    <row r="2374" spans="2:9" ht="15" customHeight="1" x14ac:dyDescent="0.25">
      <c r="B2374" s="26" t="s">
        <v>1317</v>
      </c>
      <c r="C2374" s="1">
        <v>11</v>
      </c>
      <c r="D2374" s="27" t="s">
        <v>3334</v>
      </c>
      <c r="E2374" s="25"/>
      <c r="F2374" s="25" t="str">
        <f>IF(INDEX(I.Electricity.P5Y1C2,11)="","",INDEX(I.Electricity.P5Y1C2,11))</f>
        <v/>
      </c>
      <c r="G2374" s="25"/>
      <c r="H2374" s="1" t="str">
        <f t="shared" si="100"/>
        <v>Complete</v>
      </c>
      <c r="I2374" s="48" t="s">
        <v>2188</v>
      </c>
    </row>
    <row r="2375" spans="2:9" ht="15" customHeight="1" x14ac:dyDescent="0.25">
      <c r="B2375" s="26" t="s">
        <v>1317</v>
      </c>
      <c r="C2375" s="1">
        <v>12</v>
      </c>
      <c r="D2375" s="27" t="s">
        <v>3334</v>
      </c>
      <c r="E2375" s="25"/>
      <c r="F2375" s="25" t="str">
        <f>IF(INDEX(I.Electricity.P5Y1C2,12)="","",INDEX(I.Electricity.P5Y1C2,12))</f>
        <v/>
      </c>
      <c r="G2375" s="25"/>
      <c r="H2375" s="1" t="str">
        <f t="shared" si="100"/>
        <v>Complete</v>
      </c>
      <c r="I2375" s="48" t="s">
        <v>2189</v>
      </c>
    </row>
    <row r="2376" spans="2:9" ht="15" customHeight="1" x14ac:dyDescent="0.25">
      <c r="B2376" s="26" t="s">
        <v>1317</v>
      </c>
      <c r="C2376" s="1">
        <v>13</v>
      </c>
      <c r="D2376" s="27" t="s">
        <v>3334</v>
      </c>
      <c r="E2376" s="25"/>
      <c r="F2376" s="25" t="str">
        <f>IF(INDEX(I.Electricity.P5Y1C2,13)="","",INDEX(I.Electricity.P5Y1C2,13))</f>
        <v/>
      </c>
      <c r="G2376" s="25"/>
      <c r="H2376" s="1" t="str">
        <f t="shared" si="100"/>
        <v>Complete</v>
      </c>
      <c r="I2376" s="48" t="s">
        <v>2190</v>
      </c>
    </row>
    <row r="2377" spans="2:9" ht="15" customHeight="1" x14ac:dyDescent="0.25">
      <c r="B2377" s="26" t="s">
        <v>1317</v>
      </c>
      <c r="C2377" s="1">
        <v>14</v>
      </c>
      <c r="D2377" s="27" t="s">
        <v>3334</v>
      </c>
      <c r="E2377" s="25"/>
      <c r="F2377" s="25" t="str">
        <f>IF(INDEX(I.Electricity.P5Y1C2,14)="","",INDEX(I.Electricity.P5Y1C2,14))</f>
        <v/>
      </c>
      <c r="G2377" s="25"/>
      <c r="H2377" s="1" t="str">
        <f t="shared" si="100"/>
        <v>Complete</v>
      </c>
      <c r="I2377" s="48" t="s">
        <v>2191</v>
      </c>
    </row>
    <row r="2378" spans="2:9" ht="15" customHeight="1" x14ac:dyDescent="0.25">
      <c r="B2378" s="26" t="s">
        <v>1317</v>
      </c>
      <c r="C2378" s="1">
        <v>15</v>
      </c>
      <c r="D2378" s="27" t="s">
        <v>3334</v>
      </c>
      <c r="E2378" s="25"/>
      <c r="F2378" s="25" t="str">
        <f>IF(INDEX(I.Electricity.P5Y1C2,15)="","",INDEX(I.Electricity.P5Y1C2,15))</f>
        <v/>
      </c>
      <c r="G2378" s="25"/>
      <c r="H2378" s="1" t="str">
        <f t="shared" si="100"/>
        <v>Complete</v>
      </c>
      <c r="I2378" s="48" t="s">
        <v>2192</v>
      </c>
    </row>
    <row r="2379" spans="2:9" ht="15" customHeight="1" x14ac:dyDescent="0.25">
      <c r="B2379" s="26" t="s">
        <v>1317</v>
      </c>
      <c r="C2379" s="1">
        <v>16</v>
      </c>
      <c r="D2379" s="27" t="s">
        <v>3334</v>
      </c>
      <c r="E2379" s="25"/>
      <c r="F2379" s="25" t="str">
        <f>IF(INDEX(I.Electricity.P5Y1C2,16)="","",INDEX(I.Electricity.P5Y1C2,16))</f>
        <v/>
      </c>
      <c r="G2379" s="25"/>
      <c r="H2379" s="1" t="str">
        <f t="shared" si="100"/>
        <v>Complete</v>
      </c>
      <c r="I2379" s="48" t="s">
        <v>2193</v>
      </c>
    </row>
    <row r="2380" spans="2:9" ht="15" customHeight="1" x14ac:dyDescent="0.25">
      <c r="B2380" s="26" t="s">
        <v>1317</v>
      </c>
      <c r="C2380" s="1">
        <v>17</v>
      </c>
      <c r="D2380" s="27" t="s">
        <v>3334</v>
      </c>
      <c r="E2380" s="25"/>
      <c r="F2380" s="25" t="str">
        <f>IF(INDEX(I.Electricity.P5Y1C2,17)="","",INDEX(I.Electricity.P5Y1C2,17))</f>
        <v/>
      </c>
      <c r="G2380" s="25"/>
      <c r="H2380" s="1" t="str">
        <f t="shared" si="100"/>
        <v>Complete</v>
      </c>
      <c r="I2380" s="48" t="s">
        <v>2194</v>
      </c>
    </row>
    <row r="2381" spans="2:9" ht="15" customHeight="1" x14ac:dyDescent="0.25">
      <c r="B2381" s="26" t="s">
        <v>1317</v>
      </c>
      <c r="C2381" s="1">
        <v>18</v>
      </c>
      <c r="D2381" s="27" t="s">
        <v>3334</v>
      </c>
      <c r="E2381" s="25"/>
      <c r="F2381" s="25" t="str">
        <f>IF(INDEX(I.Electricity.P5Y1C2,18)="","",INDEX(I.Electricity.P5Y1C2,18))</f>
        <v/>
      </c>
      <c r="G2381" s="25"/>
      <c r="H2381" s="1" t="str">
        <f t="shared" si="100"/>
        <v>Complete</v>
      </c>
      <c r="I2381" s="48" t="s">
        <v>2195</v>
      </c>
    </row>
    <row r="2382" spans="2:9" ht="15" customHeight="1" x14ac:dyDescent="0.25">
      <c r="B2382" s="26" t="s">
        <v>1317</v>
      </c>
      <c r="C2382" s="1">
        <v>19</v>
      </c>
      <c r="D2382" s="27" t="s">
        <v>3334</v>
      </c>
      <c r="E2382" s="25"/>
      <c r="F2382" s="25" t="str">
        <f>IF(INDEX(I.Electricity.P5Y1C2,19)="","",INDEX(I.Electricity.P5Y1C2,19))</f>
        <v/>
      </c>
      <c r="G2382" s="25"/>
      <c r="H2382" s="1" t="str">
        <f t="shared" si="100"/>
        <v>Complete</v>
      </c>
      <c r="I2382" s="48" t="s">
        <v>2196</v>
      </c>
    </row>
    <row r="2383" spans="2:9" ht="15" customHeight="1" x14ac:dyDescent="0.25">
      <c r="B2383" s="26" t="s">
        <v>1317</v>
      </c>
      <c r="C2383" s="1">
        <v>20</v>
      </c>
      <c r="D2383" s="27" t="s">
        <v>3334</v>
      </c>
      <c r="E2383" s="25"/>
      <c r="F2383" s="25" t="str">
        <f>IF(INDEX(I.Electricity.P5Y1C2,20)="","",INDEX(I.Electricity.P5Y1C2,20))</f>
        <v/>
      </c>
      <c r="G2383" s="25"/>
      <c r="H2383" s="1" t="str">
        <f t="shared" si="100"/>
        <v>Complete</v>
      </c>
      <c r="I2383" s="48" t="s">
        <v>2197</v>
      </c>
    </row>
    <row r="2384" spans="2:9" ht="15" customHeight="1" x14ac:dyDescent="0.25">
      <c r="B2384" s="26" t="s">
        <v>1317</v>
      </c>
      <c r="C2384" s="1">
        <v>21</v>
      </c>
      <c r="D2384" s="27" t="s">
        <v>3334</v>
      </c>
      <c r="E2384" s="25"/>
      <c r="F2384" s="25" t="str">
        <f>IF(INDEX(I.Electricity.P5Y1C2,21)="","",INDEX(I.Electricity.P5Y1C2,21))</f>
        <v/>
      </c>
      <c r="G2384" s="25"/>
      <c r="H2384" s="1" t="str">
        <f t="shared" si="100"/>
        <v>Complete</v>
      </c>
      <c r="I2384" s="48" t="s">
        <v>2198</v>
      </c>
    </row>
    <row r="2385" spans="2:9" ht="15" customHeight="1" x14ac:dyDescent="0.25">
      <c r="B2385" s="26" t="s">
        <v>1317</v>
      </c>
      <c r="C2385" s="1">
        <v>22</v>
      </c>
      <c r="D2385" s="27" t="s">
        <v>3334</v>
      </c>
      <c r="E2385" s="25"/>
      <c r="F2385" s="25" t="str">
        <f>IF(INDEX(I.Electricity.P5Y1C2,22)="","",INDEX(I.Electricity.P5Y1C2,22))</f>
        <v/>
      </c>
      <c r="G2385" s="25"/>
      <c r="H2385" s="1" t="str">
        <f t="shared" si="100"/>
        <v>Complete</v>
      </c>
      <c r="I2385" s="48" t="s">
        <v>2199</v>
      </c>
    </row>
    <row r="2386" spans="2:9" ht="15" customHeight="1" x14ac:dyDescent="0.25">
      <c r="B2386" s="26" t="s">
        <v>1317</v>
      </c>
      <c r="C2386" s="1">
        <v>23</v>
      </c>
      <c r="D2386" s="27" t="s">
        <v>3334</v>
      </c>
      <c r="E2386" s="25"/>
      <c r="F2386" s="25" t="str">
        <f>IF(INDEX(I.Electricity.P5Y1C2,23)="","",INDEX(I.Electricity.P5Y1C2,23))</f>
        <v/>
      </c>
      <c r="G2386" s="25"/>
      <c r="H2386" s="1" t="str">
        <f t="shared" si="100"/>
        <v>Complete</v>
      </c>
      <c r="I2386" s="48" t="s">
        <v>2200</v>
      </c>
    </row>
    <row r="2387" spans="2:9" ht="15" customHeight="1" x14ac:dyDescent="0.25">
      <c r="B2387" s="34" t="s">
        <v>1317</v>
      </c>
      <c r="C2387" s="35">
        <v>24</v>
      </c>
      <c r="D2387" s="46" t="s">
        <v>3334</v>
      </c>
      <c r="E2387" s="45"/>
      <c r="F2387" s="45" t="str">
        <f>IF(INDEX(I.Electricity.P5Y1C2,24)="","",INDEX(I.Electricity.P5Y1C2,24))</f>
        <v/>
      </c>
      <c r="G2387" s="45"/>
      <c r="H2387" s="35" t="str">
        <f t="shared" si="100"/>
        <v>Complete</v>
      </c>
      <c r="I2387" s="49" t="s">
        <v>2201</v>
      </c>
    </row>
    <row r="2388" spans="2:9" ht="15" customHeight="1" x14ac:dyDescent="0.25">
      <c r="B2388" s="26" t="s">
        <v>1318</v>
      </c>
      <c r="C2388" s="1">
        <v>1</v>
      </c>
      <c r="D2388" s="27" t="s">
        <v>3335</v>
      </c>
      <c r="E2388" s="25"/>
      <c r="F2388" s="25" t="str">
        <f>IF(INDEX(I.Electricity.P5Y2C2,1)="","",INDEX(I.Electricity.P5Y2C2,1))</f>
        <v/>
      </c>
      <c r="G2388" s="25"/>
      <c r="H2388" s="1" t="str">
        <f t="shared" si="100"/>
        <v>Complete</v>
      </c>
      <c r="I2388" s="48" t="s">
        <v>2202</v>
      </c>
    </row>
    <row r="2389" spans="2:9" ht="15" customHeight="1" x14ac:dyDescent="0.25">
      <c r="B2389" s="26" t="s">
        <v>1318</v>
      </c>
      <c r="C2389" s="1">
        <v>2</v>
      </c>
      <c r="D2389" s="27" t="s">
        <v>3335</v>
      </c>
      <c r="E2389" s="25"/>
      <c r="F2389" s="25" t="str">
        <f>IF(INDEX(I.Electricity.P5Y2C2,2)="","",INDEX(I.Electricity.P5Y2C2,2))</f>
        <v/>
      </c>
      <c r="G2389" s="25"/>
      <c r="H2389" s="1" t="str">
        <f t="shared" si="100"/>
        <v>Complete</v>
      </c>
      <c r="I2389" s="48" t="s">
        <v>2203</v>
      </c>
    </row>
    <row r="2390" spans="2:9" ht="15" customHeight="1" x14ac:dyDescent="0.25">
      <c r="B2390" s="26" t="s">
        <v>1318</v>
      </c>
      <c r="C2390" s="1">
        <v>3</v>
      </c>
      <c r="D2390" s="27" t="s">
        <v>3335</v>
      </c>
      <c r="E2390" s="25"/>
      <c r="F2390" s="25" t="str">
        <f>IF(INDEX(I.Electricity.P5Y2C2,3)="","",INDEX(I.Electricity.P5Y2C2,3))</f>
        <v/>
      </c>
      <c r="G2390" s="25"/>
      <c r="H2390" s="1" t="str">
        <f t="shared" si="100"/>
        <v>Complete</v>
      </c>
      <c r="I2390" s="48" t="s">
        <v>2204</v>
      </c>
    </row>
    <row r="2391" spans="2:9" ht="15" customHeight="1" x14ac:dyDescent="0.25">
      <c r="B2391" s="26" t="s">
        <v>1318</v>
      </c>
      <c r="C2391" s="1">
        <v>4</v>
      </c>
      <c r="D2391" s="27" t="s">
        <v>3335</v>
      </c>
      <c r="E2391" s="25"/>
      <c r="F2391" s="25" t="str">
        <f>IF(INDEX(I.Electricity.P5Y2C2,4)="","",INDEX(I.Electricity.P5Y2C2,4))</f>
        <v/>
      </c>
      <c r="G2391" s="25"/>
      <c r="H2391" s="1" t="str">
        <f t="shared" si="100"/>
        <v>Complete</v>
      </c>
      <c r="I2391" s="48" t="s">
        <v>2205</v>
      </c>
    </row>
    <row r="2392" spans="2:9" ht="15" customHeight="1" x14ac:dyDescent="0.25">
      <c r="B2392" s="26" t="s">
        <v>1318</v>
      </c>
      <c r="C2392" s="1">
        <v>5</v>
      </c>
      <c r="D2392" s="27" t="s">
        <v>3335</v>
      </c>
      <c r="E2392" s="25"/>
      <c r="F2392" s="25" t="str">
        <f>IF(INDEX(I.Electricity.P5Y2C2,5)="","",INDEX(I.Electricity.P5Y2C2,5))</f>
        <v/>
      </c>
      <c r="G2392" s="25"/>
      <c r="H2392" s="1" t="str">
        <f t="shared" si="100"/>
        <v>Complete</v>
      </c>
      <c r="I2392" s="48" t="s">
        <v>2206</v>
      </c>
    </row>
    <row r="2393" spans="2:9" ht="15" customHeight="1" x14ac:dyDescent="0.25">
      <c r="B2393" s="26" t="s">
        <v>1318</v>
      </c>
      <c r="C2393" s="1">
        <v>6</v>
      </c>
      <c r="D2393" s="27" t="s">
        <v>3335</v>
      </c>
      <c r="E2393" s="25"/>
      <c r="F2393" s="25" t="str">
        <f>IF(INDEX(I.Electricity.P5Y2C2,6)="","",INDEX(I.Electricity.P5Y2C2,6))</f>
        <v/>
      </c>
      <c r="G2393" s="25"/>
      <c r="H2393" s="1" t="str">
        <f t="shared" si="100"/>
        <v>Complete</v>
      </c>
      <c r="I2393" s="48" t="s">
        <v>2207</v>
      </c>
    </row>
    <row r="2394" spans="2:9" ht="15" customHeight="1" x14ac:dyDescent="0.25">
      <c r="B2394" s="26" t="s">
        <v>1318</v>
      </c>
      <c r="C2394" s="1">
        <v>7</v>
      </c>
      <c r="D2394" s="27" t="s">
        <v>3335</v>
      </c>
      <c r="E2394" s="25"/>
      <c r="F2394" s="25" t="str">
        <f>IF(INDEX(I.Electricity.P5Y2C2,7)="","",INDEX(I.Electricity.P5Y2C2,7))</f>
        <v/>
      </c>
      <c r="G2394" s="25"/>
      <c r="H2394" s="1" t="str">
        <f t="shared" si="100"/>
        <v>Complete</v>
      </c>
      <c r="I2394" s="48" t="s">
        <v>2208</v>
      </c>
    </row>
    <row r="2395" spans="2:9" ht="15" customHeight="1" x14ac:dyDescent="0.25">
      <c r="B2395" s="26" t="s">
        <v>1318</v>
      </c>
      <c r="C2395" s="1">
        <v>8</v>
      </c>
      <c r="D2395" s="27" t="s">
        <v>3335</v>
      </c>
      <c r="E2395" s="25"/>
      <c r="F2395" s="25" t="str">
        <f>IF(INDEX(I.Electricity.P5Y2C2,8)="","",INDEX(I.Electricity.P5Y2C2,8))</f>
        <v/>
      </c>
      <c r="G2395" s="25"/>
      <c r="H2395" s="1" t="str">
        <f t="shared" si="100"/>
        <v>Complete</v>
      </c>
      <c r="I2395" s="48" t="s">
        <v>2209</v>
      </c>
    </row>
    <row r="2396" spans="2:9" ht="15" customHeight="1" x14ac:dyDescent="0.25">
      <c r="B2396" s="26" t="s">
        <v>1318</v>
      </c>
      <c r="C2396" s="1">
        <v>9</v>
      </c>
      <c r="D2396" s="27" t="s">
        <v>3335</v>
      </c>
      <c r="E2396" s="25"/>
      <c r="F2396" s="25" t="str">
        <f>IF(INDEX(I.Electricity.P5Y2C2,9)="","",INDEX(I.Electricity.P5Y2C2,9))</f>
        <v/>
      </c>
      <c r="G2396" s="25"/>
      <c r="H2396" s="1" t="str">
        <f t="shared" si="100"/>
        <v>Complete</v>
      </c>
      <c r="I2396" s="48" t="s">
        <v>2210</v>
      </c>
    </row>
    <row r="2397" spans="2:9" ht="15" customHeight="1" x14ac:dyDescent="0.25">
      <c r="B2397" s="26" t="s">
        <v>1318</v>
      </c>
      <c r="C2397" s="1">
        <v>10</v>
      </c>
      <c r="D2397" s="27" t="s">
        <v>3335</v>
      </c>
      <c r="E2397" s="25"/>
      <c r="F2397" s="25" t="str">
        <f>IF(INDEX(I.Electricity.P5Y2C2,10)="","",INDEX(I.Electricity.P5Y2C2,10))</f>
        <v/>
      </c>
      <c r="G2397" s="25"/>
      <c r="H2397" s="1" t="str">
        <f t="shared" si="100"/>
        <v>Complete</v>
      </c>
      <c r="I2397" s="48" t="s">
        <v>2211</v>
      </c>
    </row>
    <row r="2398" spans="2:9" ht="15" customHeight="1" x14ac:dyDescent="0.25">
      <c r="B2398" s="26" t="s">
        <v>1318</v>
      </c>
      <c r="C2398" s="1">
        <v>11</v>
      </c>
      <c r="D2398" s="27" t="s">
        <v>3335</v>
      </c>
      <c r="E2398" s="25"/>
      <c r="F2398" s="25" t="str">
        <f>IF(INDEX(I.Electricity.P5Y2C2,11)="","",INDEX(I.Electricity.P5Y2C2,11))</f>
        <v/>
      </c>
      <c r="G2398" s="25"/>
      <c r="H2398" s="1" t="str">
        <f t="shared" si="100"/>
        <v>Complete</v>
      </c>
      <c r="I2398" s="48" t="s">
        <v>2212</v>
      </c>
    </row>
    <row r="2399" spans="2:9" ht="15" customHeight="1" x14ac:dyDescent="0.25">
      <c r="B2399" s="26" t="s">
        <v>1318</v>
      </c>
      <c r="C2399" s="1">
        <v>12</v>
      </c>
      <c r="D2399" s="27" t="s">
        <v>3335</v>
      </c>
      <c r="E2399" s="25"/>
      <c r="F2399" s="25" t="str">
        <f>IF(INDEX(I.Electricity.P5Y2C2,12)="","",INDEX(I.Electricity.P5Y2C2,12))</f>
        <v/>
      </c>
      <c r="G2399" s="25"/>
      <c r="H2399" s="1" t="str">
        <f t="shared" si="100"/>
        <v>Complete</v>
      </c>
      <c r="I2399" s="48" t="s">
        <v>2213</v>
      </c>
    </row>
    <row r="2400" spans="2:9" ht="15" customHeight="1" x14ac:dyDescent="0.25">
      <c r="B2400" s="26" t="s">
        <v>1318</v>
      </c>
      <c r="C2400" s="1">
        <v>13</v>
      </c>
      <c r="D2400" s="27" t="s">
        <v>3335</v>
      </c>
      <c r="E2400" s="25"/>
      <c r="F2400" s="25" t="str">
        <f>IF(INDEX(I.Electricity.P5Y2C2,13)="","",INDEX(I.Electricity.P5Y2C2,13))</f>
        <v/>
      </c>
      <c r="G2400" s="25"/>
      <c r="H2400" s="1" t="str">
        <f t="shared" si="100"/>
        <v>Complete</v>
      </c>
      <c r="I2400" s="48" t="s">
        <v>2214</v>
      </c>
    </row>
    <row r="2401" spans="2:9" ht="15" customHeight="1" x14ac:dyDescent="0.25">
      <c r="B2401" s="26" t="s">
        <v>1318</v>
      </c>
      <c r="C2401" s="1">
        <v>14</v>
      </c>
      <c r="D2401" s="27" t="s">
        <v>3335</v>
      </c>
      <c r="E2401" s="25"/>
      <c r="F2401" s="25" t="str">
        <f>IF(INDEX(I.Electricity.P5Y2C2,14)="","",INDEX(I.Electricity.P5Y2C2,14))</f>
        <v/>
      </c>
      <c r="G2401" s="25"/>
      <c r="H2401" s="1" t="str">
        <f t="shared" si="100"/>
        <v>Complete</v>
      </c>
      <c r="I2401" s="48" t="s">
        <v>2215</v>
      </c>
    </row>
    <row r="2402" spans="2:9" ht="15" customHeight="1" x14ac:dyDescent="0.25">
      <c r="B2402" s="26" t="s">
        <v>1318</v>
      </c>
      <c r="C2402" s="1">
        <v>15</v>
      </c>
      <c r="D2402" s="27" t="s">
        <v>3335</v>
      </c>
      <c r="E2402" s="25"/>
      <c r="F2402" s="25" t="str">
        <f>IF(INDEX(I.Electricity.P5Y2C2,15)="","",INDEX(I.Electricity.P5Y2C2,15))</f>
        <v/>
      </c>
      <c r="G2402" s="25"/>
      <c r="H2402" s="1" t="str">
        <f t="shared" si="100"/>
        <v>Complete</v>
      </c>
      <c r="I2402" s="48" t="s">
        <v>2216</v>
      </c>
    </row>
    <row r="2403" spans="2:9" ht="15" customHeight="1" x14ac:dyDescent="0.25">
      <c r="B2403" s="26" t="s">
        <v>1318</v>
      </c>
      <c r="C2403" s="1">
        <v>16</v>
      </c>
      <c r="D2403" s="27" t="s">
        <v>3335</v>
      </c>
      <c r="E2403" s="25"/>
      <c r="F2403" s="25" t="str">
        <f>IF(INDEX(I.Electricity.P5Y2C2,16)="","",INDEX(I.Electricity.P5Y2C2,16))</f>
        <v/>
      </c>
      <c r="G2403" s="25"/>
      <c r="H2403" s="1" t="str">
        <f t="shared" si="100"/>
        <v>Complete</v>
      </c>
      <c r="I2403" s="48" t="s">
        <v>2217</v>
      </c>
    </row>
    <row r="2404" spans="2:9" ht="15" customHeight="1" x14ac:dyDescent="0.25">
      <c r="B2404" s="26" t="s">
        <v>1318</v>
      </c>
      <c r="C2404" s="1">
        <v>17</v>
      </c>
      <c r="D2404" s="27" t="s">
        <v>3335</v>
      </c>
      <c r="E2404" s="25"/>
      <c r="F2404" s="25" t="str">
        <f>IF(INDEX(I.Electricity.P5Y2C2,17)="","",INDEX(I.Electricity.P5Y2C2,17))</f>
        <v/>
      </c>
      <c r="G2404" s="25"/>
      <c r="H2404" s="1" t="str">
        <f t="shared" si="100"/>
        <v>Complete</v>
      </c>
      <c r="I2404" s="48" t="s">
        <v>2218</v>
      </c>
    </row>
    <row r="2405" spans="2:9" ht="15" customHeight="1" x14ac:dyDescent="0.25">
      <c r="B2405" s="26" t="s">
        <v>1318</v>
      </c>
      <c r="C2405" s="1">
        <v>18</v>
      </c>
      <c r="D2405" s="27" t="s">
        <v>3335</v>
      </c>
      <c r="E2405" s="25"/>
      <c r="F2405" s="25" t="str">
        <f>IF(INDEX(I.Electricity.P5Y2C2,18)="","",INDEX(I.Electricity.P5Y2C2,18))</f>
        <v/>
      </c>
      <c r="G2405" s="25"/>
      <c r="H2405" s="1" t="str">
        <f t="shared" si="100"/>
        <v>Complete</v>
      </c>
      <c r="I2405" s="48" t="s">
        <v>2219</v>
      </c>
    </row>
    <row r="2406" spans="2:9" ht="15" customHeight="1" x14ac:dyDescent="0.25">
      <c r="B2406" s="26" t="s">
        <v>1318</v>
      </c>
      <c r="C2406" s="1">
        <v>19</v>
      </c>
      <c r="D2406" s="27" t="s">
        <v>3335</v>
      </c>
      <c r="E2406" s="25"/>
      <c r="F2406" s="25" t="str">
        <f>IF(INDEX(I.Electricity.P5Y2C2,19)="","",INDEX(I.Electricity.P5Y2C2,19))</f>
        <v/>
      </c>
      <c r="G2406" s="25"/>
      <c r="H2406" s="1" t="str">
        <f t="shared" si="100"/>
        <v>Complete</v>
      </c>
      <c r="I2406" s="48" t="s">
        <v>2220</v>
      </c>
    </row>
    <row r="2407" spans="2:9" ht="15" customHeight="1" x14ac:dyDescent="0.25">
      <c r="B2407" s="26" t="s">
        <v>1318</v>
      </c>
      <c r="C2407" s="1">
        <v>20</v>
      </c>
      <c r="D2407" s="27" t="s">
        <v>3335</v>
      </c>
      <c r="E2407" s="25"/>
      <c r="F2407" s="25" t="str">
        <f>IF(INDEX(I.Electricity.P5Y2C2,20)="","",INDEX(I.Electricity.P5Y2C2,20))</f>
        <v/>
      </c>
      <c r="G2407" s="25"/>
      <c r="H2407" s="1" t="str">
        <f t="shared" si="100"/>
        <v>Complete</v>
      </c>
      <c r="I2407" s="48" t="s">
        <v>2221</v>
      </c>
    </row>
    <row r="2408" spans="2:9" ht="15" customHeight="1" x14ac:dyDescent="0.25">
      <c r="B2408" s="26" t="s">
        <v>1318</v>
      </c>
      <c r="C2408" s="1">
        <v>21</v>
      </c>
      <c r="D2408" s="27" t="s">
        <v>3335</v>
      </c>
      <c r="E2408" s="25"/>
      <c r="F2408" s="25" t="str">
        <f>IF(INDEX(I.Electricity.P5Y2C2,21)="","",INDEX(I.Electricity.P5Y2C2,21))</f>
        <v/>
      </c>
      <c r="G2408" s="25"/>
      <c r="H2408" s="1" t="str">
        <f t="shared" si="100"/>
        <v>Complete</v>
      </c>
      <c r="I2408" s="48" t="s">
        <v>2222</v>
      </c>
    </row>
    <row r="2409" spans="2:9" ht="15" customHeight="1" x14ac:dyDescent="0.25">
      <c r="B2409" s="26" t="s">
        <v>1318</v>
      </c>
      <c r="C2409" s="1">
        <v>22</v>
      </c>
      <c r="D2409" s="27" t="s">
        <v>3335</v>
      </c>
      <c r="E2409" s="25"/>
      <c r="F2409" s="25" t="str">
        <f>IF(INDEX(I.Electricity.P5Y2C2,22)="","",INDEX(I.Electricity.P5Y2C2,22))</f>
        <v/>
      </c>
      <c r="G2409" s="25"/>
      <c r="H2409" s="1" t="str">
        <f t="shared" si="100"/>
        <v>Complete</v>
      </c>
      <c r="I2409" s="48" t="s">
        <v>2223</v>
      </c>
    </row>
    <row r="2410" spans="2:9" ht="15" customHeight="1" x14ac:dyDescent="0.25">
      <c r="B2410" s="26" t="s">
        <v>1318</v>
      </c>
      <c r="C2410" s="1">
        <v>23</v>
      </c>
      <c r="D2410" s="27" t="s">
        <v>3335</v>
      </c>
      <c r="E2410" s="25"/>
      <c r="F2410" s="25" t="str">
        <f>IF(INDEX(I.Electricity.P5Y2C2,23)="","",INDEX(I.Electricity.P5Y2C2,23))</f>
        <v/>
      </c>
      <c r="G2410" s="25"/>
      <c r="H2410" s="1" t="str">
        <f t="shared" si="100"/>
        <v>Complete</v>
      </c>
      <c r="I2410" s="48" t="s">
        <v>2224</v>
      </c>
    </row>
    <row r="2411" spans="2:9" ht="15" customHeight="1" x14ac:dyDescent="0.25">
      <c r="B2411" s="34" t="s">
        <v>1318</v>
      </c>
      <c r="C2411" s="35">
        <v>24</v>
      </c>
      <c r="D2411" s="46" t="s">
        <v>3335</v>
      </c>
      <c r="E2411" s="45"/>
      <c r="F2411" s="45" t="str">
        <f>IF(INDEX(I.Electricity.P5Y2C2,24)="","",INDEX(I.Electricity.P5Y2C2,24))</f>
        <v/>
      </c>
      <c r="G2411" s="45"/>
      <c r="H2411" s="35" t="str">
        <f t="shared" si="100"/>
        <v>Complete</v>
      </c>
      <c r="I2411" s="49" t="s">
        <v>2225</v>
      </c>
    </row>
    <row r="2412" spans="2:9" ht="15" customHeight="1" x14ac:dyDescent="0.25">
      <c r="B2412" s="26" t="s">
        <v>1319</v>
      </c>
      <c r="C2412" s="1">
        <v>1</v>
      </c>
      <c r="D2412" s="27" t="s">
        <v>3336</v>
      </c>
      <c r="E2412" s="25"/>
      <c r="F2412" s="25" t="str">
        <f>IF(INDEX(I.Electricity.P5Y3C2,1)="","",INDEX(I.Electricity.P5Y3C2,1))</f>
        <v/>
      </c>
      <c r="G2412" s="25"/>
      <c r="H2412" s="1" t="str">
        <f t="shared" ref="H2412:H2435" si="101">IF(AND(I.Facility.ProductCount&gt;=5,I.Product.P5Electricity="Yes",I.Developer.P5C2=TRUE,I.Product.P5Status&lt;&gt;"Yes",F2412=""),"Incomplete","Complete")</f>
        <v>Complete</v>
      </c>
      <c r="I2412" s="48" t="s">
        <v>2226</v>
      </c>
    </row>
    <row r="2413" spans="2:9" ht="15" customHeight="1" x14ac:dyDescent="0.25">
      <c r="B2413" s="26" t="s">
        <v>1319</v>
      </c>
      <c r="C2413" s="1">
        <v>2</v>
      </c>
      <c r="D2413" s="27" t="s">
        <v>3336</v>
      </c>
      <c r="E2413" s="25"/>
      <c r="F2413" s="25" t="str">
        <f>IF(INDEX(I.Electricity.P5Y3C2,2)="","",INDEX(I.Electricity.P5Y3C2,2))</f>
        <v/>
      </c>
      <c r="G2413" s="25"/>
      <c r="H2413" s="1" t="str">
        <f t="shared" si="101"/>
        <v>Complete</v>
      </c>
      <c r="I2413" s="48" t="s">
        <v>2227</v>
      </c>
    </row>
    <row r="2414" spans="2:9" ht="15" customHeight="1" x14ac:dyDescent="0.25">
      <c r="B2414" s="26" t="s">
        <v>1319</v>
      </c>
      <c r="C2414" s="1">
        <v>3</v>
      </c>
      <c r="D2414" s="27" t="s">
        <v>3336</v>
      </c>
      <c r="E2414" s="25"/>
      <c r="F2414" s="25" t="str">
        <f>IF(INDEX(I.Electricity.P5Y3C2,3)="","",INDEX(I.Electricity.P5Y3C2,3))</f>
        <v/>
      </c>
      <c r="G2414" s="25"/>
      <c r="H2414" s="1" t="str">
        <f t="shared" si="101"/>
        <v>Complete</v>
      </c>
      <c r="I2414" s="48" t="s">
        <v>2228</v>
      </c>
    </row>
    <row r="2415" spans="2:9" ht="15" customHeight="1" x14ac:dyDescent="0.25">
      <c r="B2415" s="26" t="s">
        <v>1319</v>
      </c>
      <c r="C2415" s="1">
        <v>4</v>
      </c>
      <c r="D2415" s="27" t="s">
        <v>3336</v>
      </c>
      <c r="E2415" s="25"/>
      <c r="F2415" s="25" t="str">
        <f>IF(INDEX(I.Electricity.P5Y3C2,4)="","",INDEX(I.Electricity.P5Y3C2,4))</f>
        <v/>
      </c>
      <c r="G2415" s="25"/>
      <c r="H2415" s="1" t="str">
        <f t="shared" si="101"/>
        <v>Complete</v>
      </c>
      <c r="I2415" s="48" t="s">
        <v>2229</v>
      </c>
    </row>
    <row r="2416" spans="2:9" ht="15" customHeight="1" x14ac:dyDescent="0.25">
      <c r="B2416" s="26" t="s">
        <v>1319</v>
      </c>
      <c r="C2416" s="1">
        <v>5</v>
      </c>
      <c r="D2416" s="27" t="s">
        <v>3336</v>
      </c>
      <c r="E2416" s="25"/>
      <c r="F2416" s="25" t="str">
        <f>IF(INDEX(I.Electricity.P5Y3C2,5)="","",INDEX(I.Electricity.P5Y3C2,5))</f>
        <v/>
      </c>
      <c r="G2416" s="25"/>
      <c r="H2416" s="1" t="str">
        <f t="shared" si="101"/>
        <v>Complete</v>
      </c>
      <c r="I2416" s="48" t="s">
        <v>2230</v>
      </c>
    </row>
    <row r="2417" spans="2:9" ht="15" customHeight="1" x14ac:dyDescent="0.25">
      <c r="B2417" s="26" t="s">
        <v>1319</v>
      </c>
      <c r="C2417" s="1">
        <v>6</v>
      </c>
      <c r="D2417" s="27" t="s">
        <v>3336</v>
      </c>
      <c r="E2417" s="25"/>
      <c r="F2417" s="25" t="str">
        <f>IF(INDEX(I.Electricity.P5Y3C2,6)="","",INDEX(I.Electricity.P5Y3C2,6))</f>
        <v/>
      </c>
      <c r="G2417" s="25"/>
      <c r="H2417" s="1" t="str">
        <f t="shared" si="101"/>
        <v>Complete</v>
      </c>
      <c r="I2417" s="48" t="s">
        <v>2231</v>
      </c>
    </row>
    <row r="2418" spans="2:9" ht="15" customHeight="1" x14ac:dyDescent="0.25">
      <c r="B2418" s="26" t="s">
        <v>1319</v>
      </c>
      <c r="C2418" s="1">
        <v>7</v>
      </c>
      <c r="D2418" s="27" t="s">
        <v>3336</v>
      </c>
      <c r="E2418" s="25"/>
      <c r="F2418" s="25" t="str">
        <f>IF(INDEX(I.Electricity.P5Y3C2,7)="","",INDEX(I.Electricity.P5Y3C2,7))</f>
        <v/>
      </c>
      <c r="G2418" s="25"/>
      <c r="H2418" s="1" t="str">
        <f t="shared" si="101"/>
        <v>Complete</v>
      </c>
      <c r="I2418" s="48" t="s">
        <v>2232</v>
      </c>
    </row>
    <row r="2419" spans="2:9" ht="15" customHeight="1" x14ac:dyDescent="0.25">
      <c r="B2419" s="26" t="s">
        <v>1319</v>
      </c>
      <c r="C2419" s="1">
        <v>8</v>
      </c>
      <c r="D2419" s="27" t="s">
        <v>3336</v>
      </c>
      <c r="E2419" s="25"/>
      <c r="F2419" s="25" t="str">
        <f>IF(INDEX(I.Electricity.P5Y3C2,8)="","",INDEX(I.Electricity.P5Y3C2,8))</f>
        <v/>
      </c>
      <c r="G2419" s="25"/>
      <c r="H2419" s="1" t="str">
        <f t="shared" si="101"/>
        <v>Complete</v>
      </c>
      <c r="I2419" s="48" t="s">
        <v>2233</v>
      </c>
    </row>
    <row r="2420" spans="2:9" ht="15" customHeight="1" x14ac:dyDescent="0.25">
      <c r="B2420" s="26" t="s">
        <v>1319</v>
      </c>
      <c r="C2420" s="1">
        <v>9</v>
      </c>
      <c r="D2420" s="27" t="s">
        <v>3336</v>
      </c>
      <c r="E2420" s="25"/>
      <c r="F2420" s="25" t="str">
        <f>IF(INDEX(I.Electricity.P5Y3C2,9)="","",INDEX(I.Electricity.P5Y3C2,9))</f>
        <v/>
      </c>
      <c r="G2420" s="25"/>
      <c r="H2420" s="1" t="str">
        <f t="shared" si="101"/>
        <v>Complete</v>
      </c>
      <c r="I2420" s="48" t="s">
        <v>2234</v>
      </c>
    </row>
    <row r="2421" spans="2:9" ht="15" customHeight="1" x14ac:dyDescent="0.25">
      <c r="B2421" s="26" t="s">
        <v>1319</v>
      </c>
      <c r="C2421" s="1">
        <v>10</v>
      </c>
      <c r="D2421" s="27" t="s">
        <v>3336</v>
      </c>
      <c r="E2421" s="25"/>
      <c r="F2421" s="25" t="str">
        <f>IF(INDEX(I.Electricity.P5Y3C2,10)="","",INDEX(I.Electricity.P5Y3C2,10))</f>
        <v/>
      </c>
      <c r="G2421" s="25"/>
      <c r="H2421" s="1" t="str">
        <f t="shared" si="101"/>
        <v>Complete</v>
      </c>
      <c r="I2421" s="48" t="s">
        <v>2235</v>
      </c>
    </row>
    <row r="2422" spans="2:9" ht="15" customHeight="1" x14ac:dyDescent="0.25">
      <c r="B2422" s="26" t="s">
        <v>1319</v>
      </c>
      <c r="C2422" s="1">
        <v>11</v>
      </c>
      <c r="D2422" s="27" t="s">
        <v>3336</v>
      </c>
      <c r="E2422" s="25"/>
      <c r="F2422" s="25" t="str">
        <f>IF(INDEX(I.Electricity.P5Y3C2,11)="","",INDEX(I.Electricity.P5Y3C2,11))</f>
        <v/>
      </c>
      <c r="G2422" s="25"/>
      <c r="H2422" s="1" t="str">
        <f t="shared" si="101"/>
        <v>Complete</v>
      </c>
      <c r="I2422" s="48" t="s">
        <v>2236</v>
      </c>
    </row>
    <row r="2423" spans="2:9" ht="15" customHeight="1" x14ac:dyDescent="0.25">
      <c r="B2423" s="26" t="s">
        <v>1319</v>
      </c>
      <c r="C2423" s="1">
        <v>12</v>
      </c>
      <c r="D2423" s="27" t="s">
        <v>3336</v>
      </c>
      <c r="E2423" s="25"/>
      <c r="F2423" s="25" t="str">
        <f>IF(INDEX(I.Electricity.P5Y3C2,12)="","",INDEX(I.Electricity.P5Y3C2,12))</f>
        <v/>
      </c>
      <c r="G2423" s="25"/>
      <c r="H2423" s="1" t="str">
        <f t="shared" si="101"/>
        <v>Complete</v>
      </c>
      <c r="I2423" s="48" t="s">
        <v>2237</v>
      </c>
    </row>
    <row r="2424" spans="2:9" ht="15" customHeight="1" x14ac:dyDescent="0.25">
      <c r="B2424" s="26" t="s">
        <v>1319</v>
      </c>
      <c r="C2424" s="1">
        <v>13</v>
      </c>
      <c r="D2424" s="27" t="s">
        <v>3336</v>
      </c>
      <c r="E2424" s="25"/>
      <c r="F2424" s="25" t="str">
        <f>IF(INDEX(I.Electricity.P5Y3C2,13)="","",INDEX(I.Electricity.P5Y3C2,13))</f>
        <v/>
      </c>
      <c r="G2424" s="25"/>
      <c r="H2424" s="1" t="str">
        <f t="shared" si="101"/>
        <v>Complete</v>
      </c>
      <c r="I2424" s="48" t="s">
        <v>2238</v>
      </c>
    </row>
    <row r="2425" spans="2:9" ht="15" customHeight="1" x14ac:dyDescent="0.25">
      <c r="B2425" s="26" t="s">
        <v>1319</v>
      </c>
      <c r="C2425" s="1">
        <v>14</v>
      </c>
      <c r="D2425" s="27" t="s">
        <v>3336</v>
      </c>
      <c r="E2425" s="25"/>
      <c r="F2425" s="25" t="str">
        <f>IF(INDEX(I.Electricity.P5Y3C2,14)="","",INDEX(I.Electricity.P5Y3C2,14))</f>
        <v/>
      </c>
      <c r="G2425" s="25"/>
      <c r="H2425" s="1" t="str">
        <f t="shared" si="101"/>
        <v>Complete</v>
      </c>
      <c r="I2425" s="48" t="s">
        <v>2239</v>
      </c>
    </row>
    <row r="2426" spans="2:9" ht="15" customHeight="1" x14ac:dyDescent="0.25">
      <c r="B2426" s="26" t="s">
        <v>1319</v>
      </c>
      <c r="C2426" s="1">
        <v>15</v>
      </c>
      <c r="D2426" s="27" t="s">
        <v>3336</v>
      </c>
      <c r="E2426" s="25"/>
      <c r="F2426" s="25" t="str">
        <f>IF(INDEX(I.Electricity.P5Y3C2,15)="","",INDEX(I.Electricity.P5Y3C2,15))</f>
        <v/>
      </c>
      <c r="G2426" s="25"/>
      <c r="H2426" s="1" t="str">
        <f t="shared" si="101"/>
        <v>Complete</v>
      </c>
      <c r="I2426" s="48" t="s">
        <v>2240</v>
      </c>
    </row>
    <row r="2427" spans="2:9" ht="15" customHeight="1" x14ac:dyDescent="0.25">
      <c r="B2427" s="26" t="s">
        <v>1319</v>
      </c>
      <c r="C2427" s="1">
        <v>16</v>
      </c>
      <c r="D2427" s="27" t="s">
        <v>3336</v>
      </c>
      <c r="E2427" s="25"/>
      <c r="F2427" s="25" t="str">
        <f>IF(INDEX(I.Electricity.P5Y3C2,16)="","",INDEX(I.Electricity.P5Y3C2,16))</f>
        <v/>
      </c>
      <c r="G2427" s="25"/>
      <c r="H2427" s="1" t="str">
        <f t="shared" si="101"/>
        <v>Complete</v>
      </c>
      <c r="I2427" s="48" t="s">
        <v>2241</v>
      </c>
    </row>
    <row r="2428" spans="2:9" ht="15" customHeight="1" x14ac:dyDescent="0.25">
      <c r="B2428" s="26" t="s">
        <v>1319</v>
      </c>
      <c r="C2428" s="1">
        <v>17</v>
      </c>
      <c r="D2428" s="27" t="s">
        <v>3336</v>
      </c>
      <c r="E2428" s="25"/>
      <c r="F2428" s="25" t="str">
        <f>IF(INDEX(I.Electricity.P5Y3C2,17)="","",INDEX(I.Electricity.P5Y3C2,17))</f>
        <v/>
      </c>
      <c r="G2428" s="25"/>
      <c r="H2428" s="1" t="str">
        <f t="shared" si="101"/>
        <v>Complete</v>
      </c>
      <c r="I2428" s="48" t="s">
        <v>2242</v>
      </c>
    </row>
    <row r="2429" spans="2:9" ht="15" customHeight="1" x14ac:dyDescent="0.25">
      <c r="B2429" s="26" t="s">
        <v>1319</v>
      </c>
      <c r="C2429" s="1">
        <v>18</v>
      </c>
      <c r="D2429" s="27" t="s">
        <v>3336</v>
      </c>
      <c r="E2429" s="25"/>
      <c r="F2429" s="25" t="str">
        <f>IF(INDEX(I.Electricity.P5Y3C2,18)="","",INDEX(I.Electricity.P5Y3C2,18))</f>
        <v/>
      </c>
      <c r="G2429" s="25"/>
      <c r="H2429" s="1" t="str">
        <f t="shared" si="101"/>
        <v>Complete</v>
      </c>
      <c r="I2429" s="48" t="s">
        <v>2243</v>
      </c>
    </row>
    <row r="2430" spans="2:9" ht="15" customHeight="1" x14ac:dyDescent="0.25">
      <c r="B2430" s="26" t="s">
        <v>1319</v>
      </c>
      <c r="C2430" s="1">
        <v>19</v>
      </c>
      <c r="D2430" s="27" t="s">
        <v>3336</v>
      </c>
      <c r="E2430" s="25"/>
      <c r="F2430" s="25" t="str">
        <f>IF(INDEX(I.Electricity.P5Y3C2,19)="","",INDEX(I.Electricity.P5Y3C2,19))</f>
        <v/>
      </c>
      <c r="G2430" s="25"/>
      <c r="H2430" s="1" t="str">
        <f t="shared" si="101"/>
        <v>Complete</v>
      </c>
      <c r="I2430" s="48" t="s">
        <v>2244</v>
      </c>
    </row>
    <row r="2431" spans="2:9" ht="15" customHeight="1" x14ac:dyDescent="0.25">
      <c r="B2431" s="26" t="s">
        <v>1319</v>
      </c>
      <c r="C2431" s="1">
        <v>20</v>
      </c>
      <c r="D2431" s="27" t="s">
        <v>3336</v>
      </c>
      <c r="E2431" s="25"/>
      <c r="F2431" s="25" t="str">
        <f>IF(INDEX(I.Electricity.P5Y3C2,20)="","",INDEX(I.Electricity.P5Y3C2,20))</f>
        <v/>
      </c>
      <c r="G2431" s="25"/>
      <c r="H2431" s="1" t="str">
        <f t="shared" si="101"/>
        <v>Complete</v>
      </c>
      <c r="I2431" s="48" t="s">
        <v>2245</v>
      </c>
    </row>
    <row r="2432" spans="2:9" ht="15" customHeight="1" x14ac:dyDescent="0.25">
      <c r="B2432" s="26" t="s">
        <v>1319</v>
      </c>
      <c r="C2432" s="1">
        <v>21</v>
      </c>
      <c r="D2432" s="27" t="s">
        <v>3336</v>
      </c>
      <c r="E2432" s="25"/>
      <c r="F2432" s="25" t="str">
        <f>IF(INDEX(I.Electricity.P5Y3C2,21)="","",INDEX(I.Electricity.P5Y3C2,21))</f>
        <v/>
      </c>
      <c r="G2432" s="25"/>
      <c r="H2432" s="1" t="str">
        <f t="shared" si="101"/>
        <v>Complete</v>
      </c>
      <c r="I2432" s="48" t="s">
        <v>2246</v>
      </c>
    </row>
    <row r="2433" spans="2:9" ht="15" customHeight="1" x14ac:dyDescent="0.25">
      <c r="B2433" s="26" t="s">
        <v>1319</v>
      </c>
      <c r="C2433" s="1">
        <v>22</v>
      </c>
      <c r="D2433" s="27" t="s">
        <v>3336</v>
      </c>
      <c r="E2433" s="25"/>
      <c r="F2433" s="25" t="str">
        <f>IF(INDEX(I.Electricity.P5Y3C2,22)="","",INDEX(I.Electricity.P5Y3C2,22))</f>
        <v/>
      </c>
      <c r="G2433" s="25"/>
      <c r="H2433" s="1" t="str">
        <f t="shared" si="101"/>
        <v>Complete</v>
      </c>
      <c r="I2433" s="48" t="s">
        <v>2247</v>
      </c>
    </row>
    <row r="2434" spans="2:9" ht="15" customHeight="1" x14ac:dyDescent="0.25">
      <c r="B2434" s="26" t="s">
        <v>1319</v>
      </c>
      <c r="C2434" s="1">
        <v>23</v>
      </c>
      <c r="D2434" s="27" t="s">
        <v>3336</v>
      </c>
      <c r="E2434" s="25"/>
      <c r="F2434" s="25" t="str">
        <f>IF(INDEX(I.Electricity.P5Y3C2,23)="","",INDEX(I.Electricity.P5Y3C2,23))</f>
        <v/>
      </c>
      <c r="G2434" s="25"/>
      <c r="H2434" s="1" t="str">
        <f t="shared" si="101"/>
        <v>Complete</v>
      </c>
      <c r="I2434" s="48" t="s">
        <v>2248</v>
      </c>
    </row>
    <row r="2435" spans="2:9" ht="15" customHeight="1" x14ac:dyDescent="0.25">
      <c r="B2435" s="34" t="s">
        <v>1319</v>
      </c>
      <c r="C2435" s="35">
        <v>24</v>
      </c>
      <c r="D2435" s="46" t="s">
        <v>3336</v>
      </c>
      <c r="E2435" s="45"/>
      <c r="F2435" s="45" t="str">
        <f>IF(INDEX(I.Electricity.P5Y3C2,24)="","",INDEX(I.Electricity.P5Y3C2,24))</f>
        <v/>
      </c>
      <c r="G2435" s="45"/>
      <c r="H2435" s="35" t="str">
        <f t="shared" si="101"/>
        <v>Complete</v>
      </c>
      <c r="I2435" s="49" t="s">
        <v>2249</v>
      </c>
    </row>
    <row r="2436" spans="2:9" ht="15" customHeight="1" x14ac:dyDescent="0.25">
      <c r="B2436" s="26" t="s">
        <v>1320</v>
      </c>
      <c r="C2436" s="1">
        <v>1</v>
      </c>
      <c r="D2436" s="27" t="s">
        <v>3337</v>
      </c>
      <c r="E2436" s="25"/>
      <c r="F2436" s="25" t="str">
        <f>IF(INDEX(I.Electricity.P5Y1C3,1)="","",INDEX(I.Electricity.P5Y1C3,1))</f>
        <v/>
      </c>
      <c r="G2436" s="25"/>
      <c r="H2436" s="1" t="str">
        <f t="shared" ref="H2436:H2477" si="102">IF(AND(I.Facility.ProductCount&gt;=5,I.Product.P5Electricity="Yes",I.Developer.P5C3=TRUE,F2436=""),"Incomplete","Complete")</f>
        <v>Complete</v>
      </c>
      <c r="I2436" s="48" t="s">
        <v>2250</v>
      </c>
    </row>
    <row r="2437" spans="2:9" ht="15" customHeight="1" x14ac:dyDescent="0.25">
      <c r="B2437" s="26" t="s">
        <v>1320</v>
      </c>
      <c r="C2437" s="1">
        <v>2</v>
      </c>
      <c r="D2437" s="27" t="s">
        <v>3337</v>
      </c>
      <c r="E2437" s="25"/>
      <c r="F2437" s="25" t="str">
        <f>IF(INDEX(I.Electricity.P5Y1C3,2)="","",INDEX(I.Electricity.P5Y1C3,2))</f>
        <v/>
      </c>
      <c r="G2437" s="25"/>
      <c r="H2437" s="1" t="str">
        <f t="shared" si="102"/>
        <v>Complete</v>
      </c>
      <c r="I2437" s="48" t="s">
        <v>2251</v>
      </c>
    </row>
    <row r="2438" spans="2:9" ht="15" customHeight="1" x14ac:dyDescent="0.25">
      <c r="B2438" s="26" t="s">
        <v>1320</v>
      </c>
      <c r="C2438" s="1">
        <v>3</v>
      </c>
      <c r="D2438" s="27" t="s">
        <v>3337</v>
      </c>
      <c r="E2438" s="25"/>
      <c r="F2438" s="25" t="str">
        <f>IF(INDEX(I.Electricity.P5Y1C3,3)="","",INDEX(I.Electricity.P5Y1C3,3))</f>
        <v/>
      </c>
      <c r="G2438" s="25"/>
      <c r="H2438" s="1" t="str">
        <f t="shared" si="102"/>
        <v>Complete</v>
      </c>
      <c r="I2438" s="48" t="s">
        <v>2252</v>
      </c>
    </row>
    <row r="2439" spans="2:9" ht="15" customHeight="1" x14ac:dyDescent="0.25">
      <c r="B2439" s="26" t="s">
        <v>1320</v>
      </c>
      <c r="C2439" s="1">
        <v>4</v>
      </c>
      <c r="D2439" s="27" t="s">
        <v>3337</v>
      </c>
      <c r="E2439" s="25"/>
      <c r="F2439" s="25" t="str">
        <f>IF(INDEX(I.Electricity.P5Y1C3,4)="","",INDEX(I.Electricity.P5Y1C3,4))</f>
        <v/>
      </c>
      <c r="G2439" s="25"/>
      <c r="H2439" s="1" t="str">
        <f t="shared" si="102"/>
        <v>Complete</v>
      </c>
      <c r="I2439" s="48" t="s">
        <v>2253</v>
      </c>
    </row>
    <row r="2440" spans="2:9" ht="15" customHeight="1" x14ac:dyDescent="0.25">
      <c r="B2440" s="26" t="s">
        <v>1320</v>
      </c>
      <c r="C2440" s="1">
        <v>5</v>
      </c>
      <c r="D2440" s="27" t="s">
        <v>3337</v>
      </c>
      <c r="E2440" s="25"/>
      <c r="F2440" s="25" t="str">
        <f>IF(INDEX(I.Electricity.P5Y1C3,5)="","",INDEX(I.Electricity.P5Y1C3,5))</f>
        <v/>
      </c>
      <c r="G2440" s="25"/>
      <c r="H2440" s="1" t="str">
        <f t="shared" si="102"/>
        <v>Complete</v>
      </c>
      <c r="I2440" s="48" t="s">
        <v>2254</v>
      </c>
    </row>
    <row r="2441" spans="2:9" ht="15" customHeight="1" x14ac:dyDescent="0.25">
      <c r="B2441" s="26" t="s">
        <v>1320</v>
      </c>
      <c r="C2441" s="1">
        <v>6</v>
      </c>
      <c r="D2441" s="27" t="s">
        <v>3337</v>
      </c>
      <c r="E2441" s="25"/>
      <c r="F2441" s="25" t="str">
        <f>IF(INDEX(I.Electricity.P5Y1C3,6)="","",INDEX(I.Electricity.P5Y1C3,6))</f>
        <v/>
      </c>
      <c r="G2441" s="25"/>
      <c r="H2441" s="1" t="str">
        <f t="shared" si="102"/>
        <v>Complete</v>
      </c>
      <c r="I2441" s="48" t="s">
        <v>2255</v>
      </c>
    </row>
    <row r="2442" spans="2:9" ht="15" customHeight="1" x14ac:dyDescent="0.25">
      <c r="B2442" s="26" t="s">
        <v>1320</v>
      </c>
      <c r="C2442" s="1">
        <v>7</v>
      </c>
      <c r="D2442" s="27" t="s">
        <v>3337</v>
      </c>
      <c r="E2442" s="25"/>
      <c r="F2442" s="25" t="str">
        <f>IF(INDEX(I.Electricity.P5Y1C3,7)="","",INDEX(I.Electricity.P5Y1C3,7))</f>
        <v/>
      </c>
      <c r="G2442" s="25"/>
      <c r="H2442" s="1" t="str">
        <f t="shared" si="102"/>
        <v>Complete</v>
      </c>
      <c r="I2442" s="48" t="s">
        <v>2256</v>
      </c>
    </row>
    <row r="2443" spans="2:9" ht="15" customHeight="1" x14ac:dyDescent="0.25">
      <c r="B2443" s="26" t="s">
        <v>1320</v>
      </c>
      <c r="C2443" s="1">
        <v>8</v>
      </c>
      <c r="D2443" s="27" t="s">
        <v>3337</v>
      </c>
      <c r="E2443" s="25"/>
      <c r="F2443" s="25" t="str">
        <f>IF(INDEX(I.Electricity.P5Y1C3,8)="","",INDEX(I.Electricity.P5Y1C3,8))</f>
        <v/>
      </c>
      <c r="G2443" s="25"/>
      <c r="H2443" s="1" t="str">
        <f t="shared" si="102"/>
        <v>Complete</v>
      </c>
      <c r="I2443" s="48" t="s">
        <v>2257</v>
      </c>
    </row>
    <row r="2444" spans="2:9" ht="15" customHeight="1" x14ac:dyDescent="0.25">
      <c r="B2444" s="26" t="s">
        <v>1320</v>
      </c>
      <c r="C2444" s="1">
        <v>9</v>
      </c>
      <c r="D2444" s="27" t="s">
        <v>3337</v>
      </c>
      <c r="E2444" s="25"/>
      <c r="F2444" s="25" t="str">
        <f>IF(INDEX(I.Electricity.P5Y1C3,9)="","",INDEX(I.Electricity.P5Y1C3,9))</f>
        <v/>
      </c>
      <c r="G2444" s="25"/>
      <c r="H2444" s="1" t="str">
        <f t="shared" si="102"/>
        <v>Complete</v>
      </c>
      <c r="I2444" s="48" t="s">
        <v>2258</v>
      </c>
    </row>
    <row r="2445" spans="2:9" ht="15" customHeight="1" x14ac:dyDescent="0.25">
      <c r="B2445" s="26" t="s">
        <v>1320</v>
      </c>
      <c r="C2445" s="1">
        <v>10</v>
      </c>
      <c r="D2445" s="27" t="s">
        <v>3337</v>
      </c>
      <c r="E2445" s="25"/>
      <c r="F2445" s="25" t="str">
        <f>IF(INDEX(I.Electricity.P5Y1C3,10)="","",INDEX(I.Electricity.P5Y1C3,10))</f>
        <v/>
      </c>
      <c r="G2445" s="25"/>
      <c r="H2445" s="1" t="str">
        <f t="shared" si="102"/>
        <v>Complete</v>
      </c>
      <c r="I2445" s="48" t="s">
        <v>2259</v>
      </c>
    </row>
    <row r="2446" spans="2:9" ht="15" customHeight="1" x14ac:dyDescent="0.25">
      <c r="B2446" s="26" t="s">
        <v>1320</v>
      </c>
      <c r="C2446" s="1">
        <v>11</v>
      </c>
      <c r="D2446" s="27" t="s">
        <v>3337</v>
      </c>
      <c r="E2446" s="25"/>
      <c r="F2446" s="25" t="str">
        <f>IF(INDEX(I.Electricity.P5Y1C3,11)="","",INDEX(I.Electricity.P5Y1C3,11))</f>
        <v/>
      </c>
      <c r="G2446" s="25"/>
      <c r="H2446" s="1" t="str">
        <f t="shared" si="102"/>
        <v>Complete</v>
      </c>
      <c r="I2446" s="48" t="s">
        <v>2260</v>
      </c>
    </row>
    <row r="2447" spans="2:9" ht="15" customHeight="1" x14ac:dyDescent="0.25">
      <c r="B2447" s="26" t="s">
        <v>1320</v>
      </c>
      <c r="C2447" s="1">
        <v>12</v>
      </c>
      <c r="D2447" s="27" t="s">
        <v>3337</v>
      </c>
      <c r="E2447" s="25"/>
      <c r="F2447" s="25" t="str">
        <f>IF(INDEX(I.Electricity.P5Y1C3,12)="","",INDEX(I.Electricity.P5Y1C3,12))</f>
        <v/>
      </c>
      <c r="G2447" s="25"/>
      <c r="H2447" s="1" t="str">
        <f t="shared" si="102"/>
        <v>Complete</v>
      </c>
      <c r="I2447" s="48" t="s">
        <v>2261</v>
      </c>
    </row>
    <row r="2448" spans="2:9" ht="15" customHeight="1" x14ac:dyDescent="0.25">
      <c r="B2448" s="26" t="s">
        <v>1320</v>
      </c>
      <c r="C2448" s="1">
        <v>13</v>
      </c>
      <c r="D2448" s="27" t="s">
        <v>3337</v>
      </c>
      <c r="E2448" s="25"/>
      <c r="F2448" s="25" t="str">
        <f>IF(INDEX(I.Electricity.P5Y1C3,13)="","",INDEX(I.Electricity.P5Y1C3,13))</f>
        <v/>
      </c>
      <c r="G2448" s="25"/>
      <c r="H2448" s="1" t="str">
        <f t="shared" si="102"/>
        <v>Complete</v>
      </c>
      <c r="I2448" s="48" t="s">
        <v>2262</v>
      </c>
    </row>
    <row r="2449" spans="2:9" ht="15" customHeight="1" x14ac:dyDescent="0.25">
      <c r="B2449" s="26" t="s">
        <v>1320</v>
      </c>
      <c r="C2449" s="1">
        <v>14</v>
      </c>
      <c r="D2449" s="27" t="s">
        <v>3337</v>
      </c>
      <c r="E2449" s="25"/>
      <c r="F2449" s="25" t="str">
        <f>IF(INDEX(I.Electricity.P5Y1C3,14)="","",INDEX(I.Electricity.P5Y1C3,14))</f>
        <v/>
      </c>
      <c r="G2449" s="25"/>
      <c r="H2449" s="1" t="str">
        <f t="shared" si="102"/>
        <v>Complete</v>
      </c>
      <c r="I2449" s="48" t="s">
        <v>2263</v>
      </c>
    </row>
    <row r="2450" spans="2:9" ht="15" customHeight="1" x14ac:dyDescent="0.25">
      <c r="B2450" s="26" t="s">
        <v>1320</v>
      </c>
      <c r="C2450" s="1">
        <v>15</v>
      </c>
      <c r="D2450" s="27" t="s">
        <v>3337</v>
      </c>
      <c r="E2450" s="25"/>
      <c r="F2450" s="25" t="str">
        <f>IF(INDEX(I.Electricity.P5Y1C3,15)="","",INDEX(I.Electricity.P5Y1C3,15))</f>
        <v/>
      </c>
      <c r="G2450" s="25"/>
      <c r="H2450" s="1" t="str">
        <f t="shared" si="102"/>
        <v>Complete</v>
      </c>
      <c r="I2450" s="48" t="s">
        <v>2264</v>
      </c>
    </row>
    <row r="2451" spans="2:9" ht="15" customHeight="1" x14ac:dyDescent="0.25">
      <c r="B2451" s="26" t="s">
        <v>1320</v>
      </c>
      <c r="C2451" s="1">
        <v>16</v>
      </c>
      <c r="D2451" s="27" t="s">
        <v>3337</v>
      </c>
      <c r="E2451" s="25"/>
      <c r="F2451" s="25" t="str">
        <f>IF(INDEX(I.Electricity.P5Y1C3,16)="","",INDEX(I.Electricity.P5Y1C3,16))</f>
        <v/>
      </c>
      <c r="G2451" s="25"/>
      <c r="H2451" s="1" t="str">
        <f t="shared" si="102"/>
        <v>Complete</v>
      </c>
      <c r="I2451" s="48" t="s">
        <v>2265</v>
      </c>
    </row>
    <row r="2452" spans="2:9" ht="15" customHeight="1" x14ac:dyDescent="0.25">
      <c r="B2452" s="26" t="s">
        <v>1320</v>
      </c>
      <c r="C2452" s="1">
        <v>17</v>
      </c>
      <c r="D2452" s="27" t="s">
        <v>3337</v>
      </c>
      <c r="E2452" s="25"/>
      <c r="F2452" s="25" t="str">
        <f>IF(INDEX(I.Electricity.P5Y1C3,17)="","",INDEX(I.Electricity.P5Y1C3,17))</f>
        <v/>
      </c>
      <c r="G2452" s="25"/>
      <c r="H2452" s="1" t="str">
        <f t="shared" si="102"/>
        <v>Complete</v>
      </c>
      <c r="I2452" s="48" t="s">
        <v>2266</v>
      </c>
    </row>
    <row r="2453" spans="2:9" ht="15" customHeight="1" x14ac:dyDescent="0.25">
      <c r="B2453" s="26" t="s">
        <v>1320</v>
      </c>
      <c r="C2453" s="1">
        <v>18</v>
      </c>
      <c r="D2453" s="27" t="s">
        <v>3337</v>
      </c>
      <c r="E2453" s="25"/>
      <c r="F2453" s="25" t="str">
        <f>IF(INDEX(I.Electricity.P5Y1C3,18)="","",INDEX(I.Electricity.P5Y1C3,18))</f>
        <v/>
      </c>
      <c r="G2453" s="25"/>
      <c r="H2453" s="1" t="str">
        <f t="shared" si="102"/>
        <v>Complete</v>
      </c>
      <c r="I2453" s="48" t="s">
        <v>2267</v>
      </c>
    </row>
    <row r="2454" spans="2:9" ht="15" customHeight="1" x14ac:dyDescent="0.25">
      <c r="B2454" s="26" t="s">
        <v>1320</v>
      </c>
      <c r="C2454" s="1">
        <v>19</v>
      </c>
      <c r="D2454" s="27" t="s">
        <v>3337</v>
      </c>
      <c r="E2454" s="25"/>
      <c r="F2454" s="25" t="str">
        <f>IF(INDEX(I.Electricity.P5Y1C3,19)="","",INDEX(I.Electricity.P5Y1C3,19))</f>
        <v/>
      </c>
      <c r="G2454" s="25"/>
      <c r="H2454" s="1" t="str">
        <f t="shared" si="102"/>
        <v>Complete</v>
      </c>
      <c r="I2454" s="48" t="s">
        <v>2268</v>
      </c>
    </row>
    <row r="2455" spans="2:9" ht="15" customHeight="1" x14ac:dyDescent="0.25">
      <c r="B2455" s="26" t="s">
        <v>1320</v>
      </c>
      <c r="C2455" s="1">
        <v>20</v>
      </c>
      <c r="D2455" s="27" t="s">
        <v>3337</v>
      </c>
      <c r="E2455" s="25"/>
      <c r="F2455" s="25" t="str">
        <f>IF(INDEX(I.Electricity.P5Y1C3,20)="","",INDEX(I.Electricity.P5Y1C3,20))</f>
        <v/>
      </c>
      <c r="G2455" s="25"/>
      <c r="H2455" s="1" t="str">
        <f t="shared" si="102"/>
        <v>Complete</v>
      </c>
      <c r="I2455" s="48" t="s">
        <v>2269</v>
      </c>
    </row>
    <row r="2456" spans="2:9" ht="15" customHeight="1" x14ac:dyDescent="0.25">
      <c r="B2456" s="34" t="s">
        <v>1320</v>
      </c>
      <c r="C2456" s="35">
        <v>21</v>
      </c>
      <c r="D2456" s="46" t="s">
        <v>3337</v>
      </c>
      <c r="E2456" s="45"/>
      <c r="F2456" s="45" t="str">
        <f>IF(INDEX(I.Electricity.P5Y1C3,21)="","",INDEX(I.Electricity.P5Y1C3,21))</f>
        <v/>
      </c>
      <c r="G2456" s="45"/>
      <c r="H2456" s="35" t="str">
        <f t="shared" si="102"/>
        <v>Complete</v>
      </c>
      <c r="I2456" s="49" t="s">
        <v>2270</v>
      </c>
    </row>
    <row r="2457" spans="2:9" ht="15" customHeight="1" x14ac:dyDescent="0.25">
      <c r="B2457" s="26" t="s">
        <v>1321</v>
      </c>
      <c r="C2457" s="1">
        <v>1</v>
      </c>
      <c r="D2457" s="27" t="s">
        <v>3338</v>
      </c>
      <c r="E2457" s="25"/>
      <c r="F2457" s="25" t="str">
        <f>IF(INDEX(I.Electricity.P5Y2C3,1)="","",INDEX(I.Electricity.P5Y2C3,1))</f>
        <v/>
      </c>
      <c r="G2457" s="25"/>
      <c r="H2457" s="1" t="str">
        <f t="shared" si="102"/>
        <v>Complete</v>
      </c>
      <c r="I2457" s="48" t="s">
        <v>2271</v>
      </c>
    </row>
    <row r="2458" spans="2:9" ht="15" customHeight="1" x14ac:dyDescent="0.25">
      <c r="B2458" s="26" t="s">
        <v>1321</v>
      </c>
      <c r="C2458" s="1">
        <v>2</v>
      </c>
      <c r="D2458" s="27" t="s">
        <v>3338</v>
      </c>
      <c r="E2458" s="25"/>
      <c r="F2458" s="25" t="str">
        <f>IF(INDEX(I.Electricity.P5Y2C3,2)="","",INDEX(I.Electricity.P5Y2C3,2))</f>
        <v/>
      </c>
      <c r="G2458" s="25"/>
      <c r="H2458" s="1" t="str">
        <f t="shared" si="102"/>
        <v>Complete</v>
      </c>
      <c r="I2458" s="48" t="s">
        <v>2272</v>
      </c>
    </row>
    <row r="2459" spans="2:9" ht="15" customHeight="1" x14ac:dyDescent="0.25">
      <c r="B2459" s="26" t="s">
        <v>1321</v>
      </c>
      <c r="C2459" s="1">
        <v>3</v>
      </c>
      <c r="D2459" s="27" t="s">
        <v>3338</v>
      </c>
      <c r="E2459" s="25"/>
      <c r="F2459" s="25" t="str">
        <f>IF(INDEX(I.Electricity.P5Y2C3,3)="","",INDEX(I.Electricity.P5Y2C3,3))</f>
        <v/>
      </c>
      <c r="G2459" s="25"/>
      <c r="H2459" s="1" t="str">
        <f t="shared" si="102"/>
        <v>Complete</v>
      </c>
      <c r="I2459" s="48" t="s">
        <v>2273</v>
      </c>
    </row>
    <row r="2460" spans="2:9" ht="15" customHeight="1" x14ac:dyDescent="0.25">
      <c r="B2460" s="26" t="s">
        <v>1321</v>
      </c>
      <c r="C2460" s="1">
        <v>4</v>
      </c>
      <c r="D2460" s="27" t="s">
        <v>3338</v>
      </c>
      <c r="E2460" s="25"/>
      <c r="F2460" s="25" t="str">
        <f>IF(INDEX(I.Electricity.P5Y2C3,4)="","",INDEX(I.Electricity.P5Y2C3,4))</f>
        <v/>
      </c>
      <c r="G2460" s="25"/>
      <c r="H2460" s="1" t="str">
        <f t="shared" si="102"/>
        <v>Complete</v>
      </c>
      <c r="I2460" s="48" t="s">
        <v>2274</v>
      </c>
    </row>
    <row r="2461" spans="2:9" ht="15" customHeight="1" x14ac:dyDescent="0.25">
      <c r="B2461" s="26" t="s">
        <v>1321</v>
      </c>
      <c r="C2461" s="1">
        <v>5</v>
      </c>
      <c r="D2461" s="27" t="s">
        <v>3338</v>
      </c>
      <c r="E2461" s="25"/>
      <c r="F2461" s="25" t="str">
        <f>IF(INDEX(I.Electricity.P5Y2C3,5)="","",INDEX(I.Electricity.P5Y2C3,5))</f>
        <v/>
      </c>
      <c r="G2461" s="25"/>
      <c r="H2461" s="1" t="str">
        <f t="shared" si="102"/>
        <v>Complete</v>
      </c>
      <c r="I2461" s="48" t="s">
        <v>2275</v>
      </c>
    </row>
    <row r="2462" spans="2:9" ht="15" customHeight="1" x14ac:dyDescent="0.25">
      <c r="B2462" s="26" t="s">
        <v>1321</v>
      </c>
      <c r="C2462" s="1">
        <v>6</v>
      </c>
      <c r="D2462" s="27" t="s">
        <v>3338</v>
      </c>
      <c r="E2462" s="25"/>
      <c r="F2462" s="25" t="str">
        <f>IF(INDEX(I.Electricity.P5Y2C3,6)="","",INDEX(I.Electricity.P5Y2C3,6))</f>
        <v/>
      </c>
      <c r="G2462" s="25"/>
      <c r="H2462" s="1" t="str">
        <f t="shared" si="102"/>
        <v>Complete</v>
      </c>
      <c r="I2462" s="48" t="s">
        <v>2276</v>
      </c>
    </row>
    <row r="2463" spans="2:9" ht="15" customHeight="1" x14ac:dyDescent="0.25">
      <c r="B2463" s="26" t="s">
        <v>1321</v>
      </c>
      <c r="C2463" s="1">
        <v>7</v>
      </c>
      <c r="D2463" s="27" t="s">
        <v>3338</v>
      </c>
      <c r="E2463" s="25"/>
      <c r="F2463" s="25" t="str">
        <f>IF(INDEX(I.Electricity.P5Y2C3,7)="","",INDEX(I.Electricity.P5Y2C3,7))</f>
        <v/>
      </c>
      <c r="G2463" s="25"/>
      <c r="H2463" s="1" t="str">
        <f t="shared" si="102"/>
        <v>Complete</v>
      </c>
      <c r="I2463" s="48" t="s">
        <v>2277</v>
      </c>
    </row>
    <row r="2464" spans="2:9" ht="15" customHeight="1" x14ac:dyDescent="0.25">
      <c r="B2464" s="26" t="s">
        <v>1321</v>
      </c>
      <c r="C2464" s="1">
        <v>8</v>
      </c>
      <c r="D2464" s="27" t="s">
        <v>3338</v>
      </c>
      <c r="E2464" s="25"/>
      <c r="F2464" s="25" t="str">
        <f>IF(INDEX(I.Electricity.P5Y2C3,8)="","",INDEX(I.Electricity.P5Y2C3,8))</f>
        <v/>
      </c>
      <c r="G2464" s="25"/>
      <c r="H2464" s="1" t="str">
        <f t="shared" si="102"/>
        <v>Complete</v>
      </c>
      <c r="I2464" s="48" t="s">
        <v>2278</v>
      </c>
    </row>
    <row r="2465" spans="2:9" ht="15" customHeight="1" x14ac:dyDescent="0.25">
      <c r="B2465" s="26" t="s">
        <v>1321</v>
      </c>
      <c r="C2465" s="1">
        <v>9</v>
      </c>
      <c r="D2465" s="27" t="s">
        <v>3338</v>
      </c>
      <c r="E2465" s="25"/>
      <c r="F2465" s="25" t="str">
        <f>IF(INDEX(I.Electricity.P5Y2C3,9)="","",INDEX(I.Electricity.P5Y2C3,9))</f>
        <v/>
      </c>
      <c r="G2465" s="25"/>
      <c r="H2465" s="1" t="str">
        <f t="shared" si="102"/>
        <v>Complete</v>
      </c>
      <c r="I2465" s="48" t="s">
        <v>2279</v>
      </c>
    </row>
    <row r="2466" spans="2:9" ht="15" customHeight="1" x14ac:dyDescent="0.25">
      <c r="B2466" s="26" t="s">
        <v>1321</v>
      </c>
      <c r="C2466" s="1">
        <v>10</v>
      </c>
      <c r="D2466" s="27" t="s">
        <v>3338</v>
      </c>
      <c r="E2466" s="25"/>
      <c r="F2466" s="25" t="str">
        <f>IF(INDEX(I.Electricity.P5Y2C3,10)="","",INDEX(I.Electricity.P5Y2C3,10))</f>
        <v/>
      </c>
      <c r="G2466" s="25"/>
      <c r="H2466" s="1" t="str">
        <f t="shared" si="102"/>
        <v>Complete</v>
      </c>
      <c r="I2466" s="48" t="s">
        <v>2280</v>
      </c>
    </row>
    <row r="2467" spans="2:9" ht="15" customHeight="1" x14ac:dyDescent="0.25">
      <c r="B2467" s="26" t="s">
        <v>1321</v>
      </c>
      <c r="C2467" s="1">
        <v>11</v>
      </c>
      <c r="D2467" s="27" t="s">
        <v>3338</v>
      </c>
      <c r="E2467" s="25"/>
      <c r="F2467" s="25" t="str">
        <f>IF(INDEX(I.Electricity.P5Y2C3,11)="","",INDEX(I.Electricity.P5Y2C3,11))</f>
        <v/>
      </c>
      <c r="G2467" s="25"/>
      <c r="H2467" s="1" t="str">
        <f t="shared" si="102"/>
        <v>Complete</v>
      </c>
      <c r="I2467" s="48" t="s">
        <v>2281</v>
      </c>
    </row>
    <row r="2468" spans="2:9" ht="15" customHeight="1" x14ac:dyDescent="0.25">
      <c r="B2468" s="26" t="s">
        <v>1321</v>
      </c>
      <c r="C2468" s="1">
        <v>12</v>
      </c>
      <c r="D2468" s="27" t="s">
        <v>3338</v>
      </c>
      <c r="E2468" s="25"/>
      <c r="F2468" s="25" t="str">
        <f>IF(INDEX(I.Electricity.P5Y2C3,12)="","",INDEX(I.Electricity.P5Y2C3,12))</f>
        <v/>
      </c>
      <c r="G2468" s="25"/>
      <c r="H2468" s="1" t="str">
        <f t="shared" si="102"/>
        <v>Complete</v>
      </c>
      <c r="I2468" s="48" t="s">
        <v>2282</v>
      </c>
    </row>
    <row r="2469" spans="2:9" ht="15" customHeight="1" x14ac:dyDescent="0.25">
      <c r="B2469" s="26" t="s">
        <v>1321</v>
      </c>
      <c r="C2469" s="1">
        <v>13</v>
      </c>
      <c r="D2469" s="27" t="s">
        <v>3338</v>
      </c>
      <c r="E2469" s="25"/>
      <c r="F2469" s="25" t="str">
        <f>IF(INDEX(I.Electricity.P5Y2C3,13)="","",INDEX(I.Electricity.P5Y2C3,13))</f>
        <v/>
      </c>
      <c r="G2469" s="25"/>
      <c r="H2469" s="1" t="str">
        <f t="shared" si="102"/>
        <v>Complete</v>
      </c>
      <c r="I2469" s="48" t="s">
        <v>2283</v>
      </c>
    </row>
    <row r="2470" spans="2:9" ht="15" customHeight="1" x14ac:dyDescent="0.25">
      <c r="B2470" s="26" t="s">
        <v>1321</v>
      </c>
      <c r="C2470" s="1">
        <v>14</v>
      </c>
      <c r="D2470" s="27" t="s">
        <v>3338</v>
      </c>
      <c r="E2470" s="25"/>
      <c r="F2470" s="25" t="str">
        <f>IF(INDEX(I.Electricity.P5Y2C3,14)="","",INDEX(I.Electricity.P5Y2C3,14))</f>
        <v/>
      </c>
      <c r="G2470" s="25"/>
      <c r="H2470" s="1" t="str">
        <f t="shared" si="102"/>
        <v>Complete</v>
      </c>
      <c r="I2470" s="48" t="s">
        <v>2284</v>
      </c>
    </row>
    <row r="2471" spans="2:9" ht="15" customHeight="1" x14ac:dyDescent="0.25">
      <c r="B2471" s="26" t="s">
        <v>1321</v>
      </c>
      <c r="C2471" s="1">
        <v>15</v>
      </c>
      <c r="D2471" s="27" t="s">
        <v>3338</v>
      </c>
      <c r="E2471" s="25"/>
      <c r="F2471" s="25" t="str">
        <f>IF(INDEX(I.Electricity.P5Y2C3,15)="","",INDEX(I.Electricity.P5Y2C3,15))</f>
        <v/>
      </c>
      <c r="G2471" s="25"/>
      <c r="H2471" s="1" t="str">
        <f t="shared" si="102"/>
        <v>Complete</v>
      </c>
      <c r="I2471" s="48" t="s">
        <v>2285</v>
      </c>
    </row>
    <row r="2472" spans="2:9" ht="15" customHeight="1" x14ac:dyDescent="0.25">
      <c r="B2472" s="26" t="s">
        <v>1321</v>
      </c>
      <c r="C2472" s="1">
        <v>16</v>
      </c>
      <c r="D2472" s="27" t="s">
        <v>3338</v>
      </c>
      <c r="E2472" s="25"/>
      <c r="F2472" s="25" t="str">
        <f>IF(INDEX(I.Electricity.P5Y2C3,16)="","",INDEX(I.Electricity.P5Y2C3,16))</f>
        <v/>
      </c>
      <c r="G2472" s="25"/>
      <c r="H2472" s="1" t="str">
        <f t="shared" si="102"/>
        <v>Complete</v>
      </c>
      <c r="I2472" s="48" t="s">
        <v>2286</v>
      </c>
    </row>
    <row r="2473" spans="2:9" ht="15" customHeight="1" x14ac:dyDescent="0.25">
      <c r="B2473" s="26" t="s">
        <v>1321</v>
      </c>
      <c r="C2473" s="1">
        <v>17</v>
      </c>
      <c r="D2473" s="27" t="s">
        <v>3338</v>
      </c>
      <c r="E2473" s="25"/>
      <c r="F2473" s="25" t="str">
        <f>IF(INDEX(I.Electricity.P5Y2C3,17)="","",INDEX(I.Electricity.P5Y2C3,17))</f>
        <v/>
      </c>
      <c r="G2473" s="25"/>
      <c r="H2473" s="1" t="str">
        <f t="shared" si="102"/>
        <v>Complete</v>
      </c>
      <c r="I2473" s="48" t="s">
        <v>2287</v>
      </c>
    </row>
    <row r="2474" spans="2:9" ht="15" customHeight="1" x14ac:dyDescent="0.25">
      <c r="B2474" s="26" t="s">
        <v>1321</v>
      </c>
      <c r="C2474" s="1">
        <v>18</v>
      </c>
      <c r="D2474" s="27" t="s">
        <v>3338</v>
      </c>
      <c r="E2474" s="25"/>
      <c r="F2474" s="25" t="str">
        <f>IF(INDEX(I.Electricity.P5Y2C3,18)="","",INDEX(I.Electricity.P5Y2C3,18))</f>
        <v/>
      </c>
      <c r="G2474" s="25"/>
      <c r="H2474" s="1" t="str">
        <f t="shared" si="102"/>
        <v>Complete</v>
      </c>
      <c r="I2474" s="48" t="s">
        <v>2288</v>
      </c>
    </row>
    <row r="2475" spans="2:9" ht="15" customHeight="1" x14ac:dyDescent="0.25">
      <c r="B2475" s="26" t="s">
        <v>1321</v>
      </c>
      <c r="C2475" s="1">
        <v>19</v>
      </c>
      <c r="D2475" s="27" t="s">
        <v>3338</v>
      </c>
      <c r="E2475" s="25"/>
      <c r="F2475" s="25" t="str">
        <f>IF(INDEX(I.Electricity.P5Y2C3,19)="","",INDEX(I.Electricity.P5Y2C3,19))</f>
        <v/>
      </c>
      <c r="G2475" s="25"/>
      <c r="H2475" s="1" t="str">
        <f t="shared" si="102"/>
        <v>Complete</v>
      </c>
      <c r="I2475" s="48" t="s">
        <v>2289</v>
      </c>
    </row>
    <row r="2476" spans="2:9" ht="15" customHeight="1" x14ac:dyDescent="0.25">
      <c r="B2476" s="26" t="s">
        <v>1321</v>
      </c>
      <c r="C2476" s="1">
        <v>20</v>
      </c>
      <c r="D2476" s="27" t="s">
        <v>3338</v>
      </c>
      <c r="E2476" s="25"/>
      <c r="F2476" s="25" t="str">
        <f>IF(INDEX(I.Electricity.P5Y2C3,20)="","",INDEX(I.Electricity.P5Y2C3,20))</f>
        <v/>
      </c>
      <c r="G2476" s="25"/>
      <c r="H2476" s="1" t="str">
        <f t="shared" si="102"/>
        <v>Complete</v>
      </c>
      <c r="I2476" s="48" t="s">
        <v>2290</v>
      </c>
    </row>
    <row r="2477" spans="2:9" ht="15" customHeight="1" x14ac:dyDescent="0.25">
      <c r="B2477" s="34" t="s">
        <v>1321</v>
      </c>
      <c r="C2477" s="35">
        <v>21</v>
      </c>
      <c r="D2477" s="46" t="s">
        <v>3338</v>
      </c>
      <c r="E2477" s="45"/>
      <c r="F2477" s="45" t="str">
        <f>IF(INDEX(I.Electricity.P5Y2C3,21)="","",INDEX(I.Electricity.P5Y2C3,21))</f>
        <v/>
      </c>
      <c r="G2477" s="45"/>
      <c r="H2477" s="35" t="str">
        <f t="shared" si="102"/>
        <v>Complete</v>
      </c>
      <c r="I2477" s="49" t="s">
        <v>2291</v>
      </c>
    </row>
    <row r="2478" spans="2:9" ht="15" customHeight="1" x14ac:dyDescent="0.25">
      <c r="B2478" s="26" t="s">
        <v>1322</v>
      </c>
      <c r="C2478" s="1">
        <v>1</v>
      </c>
      <c r="D2478" s="27" t="s">
        <v>3339</v>
      </c>
      <c r="E2478" s="25"/>
      <c r="F2478" s="25" t="str">
        <f>IF(INDEX(I.Electricity.P5Y3C3,1)="","",INDEX(I.Electricity.P5Y3C3,1))</f>
        <v/>
      </c>
      <c r="G2478" s="25"/>
      <c r="H2478" s="1" t="str">
        <f t="shared" ref="H2478:H2498" si="103">IF(AND(I.Facility.ProductCount&gt;=5,I.Product.P5Electricity="Yes",I.Developer.P5C3=TRUE,I.Product.P5Status&lt;&gt;"Yes",F2478=""),"Incomplete","Complete")</f>
        <v>Complete</v>
      </c>
      <c r="I2478" s="48" t="s">
        <v>2292</v>
      </c>
    </row>
    <row r="2479" spans="2:9" ht="15" customHeight="1" x14ac:dyDescent="0.25">
      <c r="B2479" s="26" t="s">
        <v>1322</v>
      </c>
      <c r="C2479" s="1">
        <v>2</v>
      </c>
      <c r="D2479" s="27" t="s">
        <v>3339</v>
      </c>
      <c r="E2479" s="25"/>
      <c r="F2479" s="25" t="str">
        <f>IF(INDEX(I.Electricity.P5Y3C3,2)="","",INDEX(I.Electricity.P5Y3C3,2))</f>
        <v/>
      </c>
      <c r="G2479" s="25"/>
      <c r="H2479" s="1" t="str">
        <f t="shared" si="103"/>
        <v>Complete</v>
      </c>
      <c r="I2479" s="48" t="s">
        <v>2293</v>
      </c>
    </row>
    <row r="2480" spans="2:9" ht="15" customHeight="1" x14ac:dyDescent="0.25">
      <c r="B2480" s="26" t="s">
        <v>1322</v>
      </c>
      <c r="C2480" s="1">
        <v>3</v>
      </c>
      <c r="D2480" s="27" t="s">
        <v>3339</v>
      </c>
      <c r="E2480" s="25"/>
      <c r="F2480" s="25" t="str">
        <f>IF(INDEX(I.Electricity.P5Y3C3,3)="","",INDEX(I.Electricity.P5Y3C3,3))</f>
        <v/>
      </c>
      <c r="G2480" s="25"/>
      <c r="H2480" s="1" t="str">
        <f t="shared" si="103"/>
        <v>Complete</v>
      </c>
      <c r="I2480" s="48" t="s">
        <v>2294</v>
      </c>
    </row>
    <row r="2481" spans="2:9" ht="15" customHeight="1" x14ac:dyDescent="0.25">
      <c r="B2481" s="26" t="s">
        <v>1322</v>
      </c>
      <c r="C2481" s="1">
        <v>4</v>
      </c>
      <c r="D2481" s="27" t="s">
        <v>3339</v>
      </c>
      <c r="E2481" s="25"/>
      <c r="F2481" s="25" t="str">
        <f>IF(INDEX(I.Electricity.P5Y3C3,4)="","",INDEX(I.Electricity.P5Y3C3,4))</f>
        <v/>
      </c>
      <c r="G2481" s="25"/>
      <c r="H2481" s="1" t="str">
        <f t="shared" si="103"/>
        <v>Complete</v>
      </c>
      <c r="I2481" s="48" t="s">
        <v>2295</v>
      </c>
    </row>
    <row r="2482" spans="2:9" ht="15" customHeight="1" x14ac:dyDescent="0.25">
      <c r="B2482" s="26" t="s">
        <v>1322</v>
      </c>
      <c r="C2482" s="1">
        <v>5</v>
      </c>
      <c r="D2482" s="27" t="s">
        <v>3339</v>
      </c>
      <c r="E2482" s="25"/>
      <c r="F2482" s="25" t="str">
        <f>IF(INDEX(I.Electricity.P5Y3C3,5)="","",INDEX(I.Electricity.P5Y3C3,5))</f>
        <v/>
      </c>
      <c r="G2482" s="25"/>
      <c r="H2482" s="1" t="str">
        <f t="shared" si="103"/>
        <v>Complete</v>
      </c>
      <c r="I2482" s="48" t="s">
        <v>2296</v>
      </c>
    </row>
    <row r="2483" spans="2:9" ht="15" customHeight="1" x14ac:dyDescent="0.25">
      <c r="B2483" s="26" t="s">
        <v>1322</v>
      </c>
      <c r="C2483" s="1">
        <v>6</v>
      </c>
      <c r="D2483" s="27" t="s">
        <v>3339</v>
      </c>
      <c r="E2483" s="25"/>
      <c r="F2483" s="25" t="str">
        <f>IF(INDEX(I.Electricity.P5Y3C3,6)="","",INDEX(I.Electricity.P5Y3C3,6))</f>
        <v/>
      </c>
      <c r="G2483" s="25"/>
      <c r="H2483" s="1" t="str">
        <f t="shared" si="103"/>
        <v>Complete</v>
      </c>
      <c r="I2483" s="48" t="s">
        <v>2297</v>
      </c>
    </row>
    <row r="2484" spans="2:9" ht="15" customHeight="1" x14ac:dyDescent="0.25">
      <c r="B2484" s="26" t="s">
        <v>1322</v>
      </c>
      <c r="C2484" s="1">
        <v>7</v>
      </c>
      <c r="D2484" s="27" t="s">
        <v>3339</v>
      </c>
      <c r="E2484" s="25"/>
      <c r="F2484" s="25" t="str">
        <f>IF(INDEX(I.Electricity.P5Y3C3,7)="","",INDEX(I.Electricity.P5Y3C3,7))</f>
        <v/>
      </c>
      <c r="G2484" s="25"/>
      <c r="H2484" s="1" t="str">
        <f t="shared" si="103"/>
        <v>Complete</v>
      </c>
      <c r="I2484" s="48" t="s">
        <v>2298</v>
      </c>
    </row>
    <row r="2485" spans="2:9" ht="15" customHeight="1" x14ac:dyDescent="0.25">
      <c r="B2485" s="26" t="s">
        <v>1322</v>
      </c>
      <c r="C2485" s="1">
        <v>8</v>
      </c>
      <c r="D2485" s="27" t="s">
        <v>3339</v>
      </c>
      <c r="E2485" s="25"/>
      <c r="F2485" s="25" t="str">
        <f>IF(INDEX(I.Electricity.P5Y3C3,8)="","",INDEX(I.Electricity.P5Y3C3,8))</f>
        <v/>
      </c>
      <c r="G2485" s="25"/>
      <c r="H2485" s="1" t="str">
        <f t="shared" si="103"/>
        <v>Complete</v>
      </c>
      <c r="I2485" s="48" t="s">
        <v>2299</v>
      </c>
    </row>
    <row r="2486" spans="2:9" ht="15" customHeight="1" x14ac:dyDescent="0.25">
      <c r="B2486" s="26" t="s">
        <v>1322</v>
      </c>
      <c r="C2486" s="1">
        <v>9</v>
      </c>
      <c r="D2486" s="27" t="s">
        <v>3339</v>
      </c>
      <c r="E2486" s="25"/>
      <c r="F2486" s="25" t="str">
        <f>IF(INDEX(I.Electricity.P5Y3C3,9)="","",INDEX(I.Electricity.P5Y3C3,9))</f>
        <v/>
      </c>
      <c r="G2486" s="25"/>
      <c r="H2486" s="1" t="str">
        <f t="shared" si="103"/>
        <v>Complete</v>
      </c>
      <c r="I2486" s="48" t="s">
        <v>2300</v>
      </c>
    </row>
    <row r="2487" spans="2:9" ht="15" customHeight="1" x14ac:dyDescent="0.25">
      <c r="B2487" s="26" t="s">
        <v>1322</v>
      </c>
      <c r="C2487" s="1">
        <v>10</v>
      </c>
      <c r="D2487" s="27" t="s">
        <v>3339</v>
      </c>
      <c r="E2487" s="25"/>
      <c r="F2487" s="25" t="str">
        <f>IF(INDEX(I.Electricity.P5Y3C3,10)="","",INDEX(I.Electricity.P5Y3C3,10))</f>
        <v/>
      </c>
      <c r="G2487" s="25"/>
      <c r="H2487" s="1" t="str">
        <f t="shared" si="103"/>
        <v>Complete</v>
      </c>
      <c r="I2487" s="48" t="s">
        <v>2301</v>
      </c>
    </row>
    <row r="2488" spans="2:9" ht="15" customHeight="1" x14ac:dyDescent="0.25">
      <c r="B2488" s="26" t="s">
        <v>1322</v>
      </c>
      <c r="C2488" s="1">
        <v>11</v>
      </c>
      <c r="D2488" s="27" t="s">
        <v>3339</v>
      </c>
      <c r="E2488" s="25"/>
      <c r="F2488" s="25" t="str">
        <f>IF(INDEX(I.Electricity.P5Y3C3,11)="","",INDEX(I.Electricity.P5Y3C3,11))</f>
        <v/>
      </c>
      <c r="G2488" s="25"/>
      <c r="H2488" s="1" t="str">
        <f t="shared" si="103"/>
        <v>Complete</v>
      </c>
      <c r="I2488" s="48" t="s">
        <v>2302</v>
      </c>
    </row>
    <row r="2489" spans="2:9" ht="15" customHeight="1" x14ac:dyDescent="0.25">
      <c r="B2489" s="26" t="s">
        <v>1322</v>
      </c>
      <c r="C2489" s="1">
        <v>12</v>
      </c>
      <c r="D2489" s="27" t="s">
        <v>3339</v>
      </c>
      <c r="E2489" s="25"/>
      <c r="F2489" s="25" t="str">
        <f>IF(INDEX(I.Electricity.P5Y3C3,12)="","",INDEX(I.Electricity.P5Y3C3,12))</f>
        <v/>
      </c>
      <c r="G2489" s="25"/>
      <c r="H2489" s="1" t="str">
        <f t="shared" si="103"/>
        <v>Complete</v>
      </c>
      <c r="I2489" s="48" t="s">
        <v>2303</v>
      </c>
    </row>
    <row r="2490" spans="2:9" ht="15" customHeight="1" x14ac:dyDescent="0.25">
      <c r="B2490" s="26" t="s">
        <v>1322</v>
      </c>
      <c r="C2490" s="1">
        <v>13</v>
      </c>
      <c r="D2490" s="27" t="s">
        <v>3339</v>
      </c>
      <c r="E2490" s="25"/>
      <c r="F2490" s="25" t="str">
        <f>IF(INDEX(I.Electricity.P5Y3C3,13)="","",INDEX(I.Electricity.P5Y3C3,13))</f>
        <v/>
      </c>
      <c r="G2490" s="25"/>
      <c r="H2490" s="1" t="str">
        <f t="shared" si="103"/>
        <v>Complete</v>
      </c>
      <c r="I2490" s="48" t="s">
        <v>2304</v>
      </c>
    </row>
    <row r="2491" spans="2:9" ht="15" customHeight="1" x14ac:dyDescent="0.25">
      <c r="B2491" s="26" t="s">
        <v>1322</v>
      </c>
      <c r="C2491" s="1">
        <v>14</v>
      </c>
      <c r="D2491" s="27" t="s">
        <v>3339</v>
      </c>
      <c r="E2491" s="25"/>
      <c r="F2491" s="25" t="str">
        <f>IF(INDEX(I.Electricity.P5Y3C3,14)="","",INDEX(I.Electricity.P5Y3C3,14))</f>
        <v/>
      </c>
      <c r="G2491" s="25"/>
      <c r="H2491" s="1" t="str">
        <f t="shared" si="103"/>
        <v>Complete</v>
      </c>
      <c r="I2491" s="48" t="s">
        <v>2305</v>
      </c>
    </row>
    <row r="2492" spans="2:9" ht="15" customHeight="1" x14ac:dyDescent="0.25">
      <c r="B2492" s="26" t="s">
        <v>1322</v>
      </c>
      <c r="C2492" s="1">
        <v>15</v>
      </c>
      <c r="D2492" s="27" t="s">
        <v>3339</v>
      </c>
      <c r="E2492" s="25"/>
      <c r="F2492" s="25" t="str">
        <f>IF(INDEX(I.Electricity.P5Y3C3,15)="","",INDEX(I.Electricity.P5Y3C3,15))</f>
        <v/>
      </c>
      <c r="G2492" s="25"/>
      <c r="H2492" s="1" t="str">
        <f t="shared" si="103"/>
        <v>Complete</v>
      </c>
      <c r="I2492" s="48" t="s">
        <v>2306</v>
      </c>
    </row>
    <row r="2493" spans="2:9" ht="15" customHeight="1" x14ac:dyDescent="0.25">
      <c r="B2493" s="26" t="s">
        <v>1322</v>
      </c>
      <c r="C2493" s="1">
        <v>16</v>
      </c>
      <c r="D2493" s="27" t="s">
        <v>3339</v>
      </c>
      <c r="E2493" s="25"/>
      <c r="F2493" s="25" t="str">
        <f>IF(INDEX(I.Electricity.P5Y3C3,16)="","",INDEX(I.Electricity.P5Y3C3,16))</f>
        <v/>
      </c>
      <c r="G2493" s="25"/>
      <c r="H2493" s="1" t="str">
        <f t="shared" si="103"/>
        <v>Complete</v>
      </c>
      <c r="I2493" s="48" t="s">
        <v>2307</v>
      </c>
    </row>
    <row r="2494" spans="2:9" ht="15" customHeight="1" x14ac:dyDescent="0.25">
      <c r="B2494" s="26" t="s">
        <v>1322</v>
      </c>
      <c r="C2494" s="1">
        <v>17</v>
      </c>
      <c r="D2494" s="27" t="s">
        <v>3339</v>
      </c>
      <c r="E2494" s="25"/>
      <c r="F2494" s="25" t="str">
        <f>IF(INDEX(I.Electricity.P5Y3C3,17)="","",INDEX(I.Electricity.P5Y3C3,17))</f>
        <v/>
      </c>
      <c r="G2494" s="25"/>
      <c r="H2494" s="1" t="str">
        <f t="shared" si="103"/>
        <v>Complete</v>
      </c>
      <c r="I2494" s="48" t="s">
        <v>2308</v>
      </c>
    </row>
    <row r="2495" spans="2:9" ht="15" customHeight="1" x14ac:dyDescent="0.25">
      <c r="B2495" s="26" t="s">
        <v>1322</v>
      </c>
      <c r="C2495" s="1">
        <v>18</v>
      </c>
      <c r="D2495" s="27" t="s">
        <v>3339</v>
      </c>
      <c r="E2495" s="25"/>
      <c r="F2495" s="25" t="str">
        <f>IF(INDEX(I.Electricity.P5Y3C3,18)="","",INDEX(I.Electricity.P5Y3C3,18))</f>
        <v/>
      </c>
      <c r="G2495" s="25"/>
      <c r="H2495" s="1" t="str">
        <f t="shared" si="103"/>
        <v>Complete</v>
      </c>
      <c r="I2495" s="48" t="s">
        <v>2309</v>
      </c>
    </row>
    <row r="2496" spans="2:9" ht="15" customHeight="1" x14ac:dyDescent="0.25">
      <c r="B2496" s="26" t="s">
        <v>1322</v>
      </c>
      <c r="C2496" s="1">
        <v>19</v>
      </c>
      <c r="D2496" s="27" t="s">
        <v>3339</v>
      </c>
      <c r="E2496" s="25"/>
      <c r="F2496" s="25" t="str">
        <f>IF(INDEX(I.Electricity.P5Y3C3,19)="","",INDEX(I.Electricity.P5Y3C3,19))</f>
        <v/>
      </c>
      <c r="G2496" s="25"/>
      <c r="H2496" s="1" t="str">
        <f t="shared" si="103"/>
        <v>Complete</v>
      </c>
      <c r="I2496" s="48" t="s">
        <v>2310</v>
      </c>
    </row>
    <row r="2497" spans="2:9" ht="15" customHeight="1" x14ac:dyDescent="0.25">
      <c r="B2497" s="26" t="s">
        <v>1322</v>
      </c>
      <c r="C2497" s="1">
        <v>20</v>
      </c>
      <c r="D2497" s="27" t="s">
        <v>3339</v>
      </c>
      <c r="E2497" s="25"/>
      <c r="F2497" s="25" t="str">
        <f>IF(INDEX(I.Electricity.P5Y3C3,20)="","",INDEX(I.Electricity.P5Y3C3,20))</f>
        <v/>
      </c>
      <c r="G2497" s="25"/>
      <c r="H2497" s="1" t="str">
        <f t="shared" si="103"/>
        <v>Complete</v>
      </c>
      <c r="I2497" s="48" t="s">
        <v>2311</v>
      </c>
    </row>
    <row r="2498" spans="2:9" ht="15" customHeight="1" x14ac:dyDescent="0.25">
      <c r="B2498" s="34" t="s">
        <v>1322</v>
      </c>
      <c r="C2498" s="35">
        <v>21</v>
      </c>
      <c r="D2498" s="46" t="s">
        <v>3339</v>
      </c>
      <c r="E2498" s="45"/>
      <c r="F2498" s="45" t="str">
        <f>IF(INDEX(I.Electricity.P5Y3C3,21)="","",INDEX(I.Electricity.P5Y3C3,21))</f>
        <v/>
      </c>
      <c r="G2498" s="45"/>
      <c r="H2498" s="35" t="str">
        <f t="shared" si="103"/>
        <v>Complete</v>
      </c>
      <c r="I2498" s="49" t="s">
        <v>2312</v>
      </c>
    </row>
    <row r="2499" spans="2:9" ht="15" customHeight="1" x14ac:dyDescent="0.25">
      <c r="B2499" s="26" t="s">
        <v>1323</v>
      </c>
      <c r="C2499" s="1">
        <v>1</v>
      </c>
      <c r="D2499" s="27" t="s">
        <v>3340</v>
      </c>
      <c r="E2499" s="25"/>
      <c r="F2499" s="25" t="str">
        <f>IF(INDEX(I.Electricity.P5Y1C4,1)="","",INDEX(I.Electricity.P5Y1C4,1))</f>
        <v/>
      </c>
      <c r="G2499" s="25"/>
      <c r="H2499" s="1" t="str">
        <f t="shared" ref="H2499:H2504" si="104">IF(AND(I.Facility.ProductCount&gt;=5,I.Product.P5Electricity="Yes",I.Developer.P5C4=TRUE,F2499=""),"Incomplete","Complete")</f>
        <v>Complete</v>
      </c>
      <c r="I2499" s="48" t="s">
        <v>2313</v>
      </c>
    </row>
    <row r="2500" spans="2:9" ht="15" customHeight="1" x14ac:dyDescent="0.25">
      <c r="B2500" s="26" t="s">
        <v>1323</v>
      </c>
      <c r="C2500" s="1">
        <v>2</v>
      </c>
      <c r="D2500" s="27" t="s">
        <v>3340</v>
      </c>
      <c r="E2500" s="25"/>
      <c r="F2500" s="25" t="str">
        <f>IF(INDEX(I.Electricity.P5Y1C4,2)="","",INDEX(I.Electricity.P5Y1C4,2))</f>
        <v/>
      </c>
      <c r="G2500" s="25"/>
      <c r="H2500" s="1" t="str">
        <f t="shared" si="104"/>
        <v>Complete</v>
      </c>
      <c r="I2500" s="48" t="s">
        <v>2314</v>
      </c>
    </row>
    <row r="2501" spans="2:9" ht="15" customHeight="1" x14ac:dyDescent="0.25">
      <c r="B2501" s="34" t="s">
        <v>1323</v>
      </c>
      <c r="C2501" s="35">
        <v>3</v>
      </c>
      <c r="D2501" s="46" t="s">
        <v>3340</v>
      </c>
      <c r="E2501" s="45"/>
      <c r="F2501" s="45" t="str">
        <f>IF(INDEX(I.Electricity.P5Y1C4,3)="","",INDEX(I.Electricity.P5Y1C4,3))</f>
        <v/>
      </c>
      <c r="G2501" s="45"/>
      <c r="H2501" s="35" t="str">
        <f t="shared" si="104"/>
        <v>Complete</v>
      </c>
      <c r="I2501" s="49" t="s">
        <v>2315</v>
      </c>
    </row>
    <row r="2502" spans="2:9" ht="15" customHeight="1" x14ac:dyDescent="0.25">
      <c r="B2502" s="26" t="s">
        <v>1324</v>
      </c>
      <c r="C2502" s="1">
        <v>1</v>
      </c>
      <c r="D2502" s="27" t="s">
        <v>3341</v>
      </c>
      <c r="E2502" s="25"/>
      <c r="F2502" s="25" t="str">
        <f>IF(INDEX(I.Electricity.P5Y2C4,1)="","",INDEX(I.Electricity.P5Y2C4,1))</f>
        <v/>
      </c>
      <c r="G2502" s="25"/>
      <c r="H2502" s="1" t="str">
        <f t="shared" si="104"/>
        <v>Complete</v>
      </c>
      <c r="I2502" s="48" t="s">
        <v>2316</v>
      </c>
    </row>
    <row r="2503" spans="2:9" ht="15" customHeight="1" x14ac:dyDescent="0.25">
      <c r="B2503" s="26" t="s">
        <v>1324</v>
      </c>
      <c r="C2503" s="1">
        <v>2</v>
      </c>
      <c r="D2503" s="27" t="s">
        <v>3341</v>
      </c>
      <c r="E2503" s="25"/>
      <c r="F2503" s="25" t="str">
        <f>IF(INDEX(I.Electricity.P5Y2C4,2)="","",INDEX(I.Electricity.P5Y2C4,2))</f>
        <v/>
      </c>
      <c r="G2503" s="25"/>
      <c r="H2503" s="1" t="str">
        <f t="shared" si="104"/>
        <v>Complete</v>
      </c>
      <c r="I2503" s="48" t="s">
        <v>2317</v>
      </c>
    </row>
    <row r="2504" spans="2:9" ht="15" customHeight="1" x14ac:dyDescent="0.25">
      <c r="B2504" s="34" t="s">
        <v>1324</v>
      </c>
      <c r="C2504" s="35">
        <v>3</v>
      </c>
      <c r="D2504" s="46" t="s">
        <v>3341</v>
      </c>
      <c r="E2504" s="45"/>
      <c r="F2504" s="45" t="str">
        <f>IF(INDEX(I.Electricity.P5Y2C4,3)="","",INDEX(I.Electricity.P5Y2C4,3))</f>
        <v/>
      </c>
      <c r="G2504" s="45"/>
      <c r="H2504" s="35" t="str">
        <f t="shared" si="104"/>
        <v>Complete</v>
      </c>
      <c r="I2504" s="49" t="s">
        <v>2318</v>
      </c>
    </row>
    <row r="2505" spans="2:9" ht="15" customHeight="1" x14ac:dyDescent="0.25">
      <c r="B2505" s="26" t="s">
        <v>1325</v>
      </c>
      <c r="C2505" s="1">
        <v>1</v>
      </c>
      <c r="D2505" s="27" t="s">
        <v>3342</v>
      </c>
      <c r="E2505" s="25"/>
      <c r="F2505" s="25" t="str">
        <f>IF(INDEX(I.Electricity.P5Y3C4,1)="","",INDEX(I.Electricity.P5Y3C4,1))</f>
        <v/>
      </c>
      <c r="G2505" s="25"/>
      <c r="H2505" s="1" t="str">
        <f>IF(AND(I.Facility.ProductCount&gt;=5,I.Product.P5Electricity="Yes",I.Developer.P5C4=TRUE,I.Product.P5Status&lt;&gt;"Yes",F2505=""),"Incomplete","Complete")</f>
        <v>Complete</v>
      </c>
      <c r="I2505" s="48" t="s">
        <v>2319</v>
      </c>
    </row>
    <row r="2506" spans="2:9" ht="15" customHeight="1" x14ac:dyDescent="0.25">
      <c r="B2506" s="26" t="s">
        <v>1325</v>
      </c>
      <c r="C2506" s="1">
        <v>2</v>
      </c>
      <c r="D2506" s="27" t="s">
        <v>3342</v>
      </c>
      <c r="E2506" s="25"/>
      <c r="F2506" s="25" t="str">
        <f>IF(INDEX(I.Electricity.P5Y3C4,2)="","",INDEX(I.Electricity.P5Y3C4,2))</f>
        <v/>
      </c>
      <c r="G2506" s="25"/>
      <c r="H2506" s="1" t="str">
        <f>IF(AND(I.Facility.ProductCount&gt;=5,I.Product.P5Electricity="Yes",I.Developer.P5C4=TRUE,I.Product.P5Status&lt;&gt;"Yes",F2506=""),"Incomplete","Complete")</f>
        <v>Complete</v>
      </c>
      <c r="I2506" s="48" t="s">
        <v>2320</v>
      </c>
    </row>
    <row r="2507" spans="2:9" ht="15" customHeight="1" x14ac:dyDescent="0.25">
      <c r="B2507" s="34" t="s">
        <v>1325</v>
      </c>
      <c r="C2507" s="35">
        <v>3</v>
      </c>
      <c r="D2507" s="46" t="s">
        <v>3342</v>
      </c>
      <c r="E2507" s="45"/>
      <c r="F2507" s="45" t="str">
        <f>IF(INDEX(I.Electricity.P5Y3C4,3)="","",INDEX(I.Electricity.P5Y3C4,3))</f>
        <v/>
      </c>
      <c r="G2507" s="45"/>
      <c r="H2507" s="35" t="str">
        <f>IF(AND(I.Facility.ProductCount&gt;=5,I.Product.P5Electricity="Yes",I.Developer.P5C4=TRUE,I.Product.P5Status&lt;&gt;"Yes",F2507=""),"Incomplete","Complete")</f>
        <v>Complete</v>
      </c>
      <c r="I2507" s="49" t="s">
        <v>2321</v>
      </c>
    </row>
    <row r="2508" spans="2:9" ht="15" customHeight="1" x14ac:dyDescent="0.25">
      <c r="B2508" s="26" t="s">
        <v>1326</v>
      </c>
      <c r="C2508" s="1">
        <v>1</v>
      </c>
      <c r="D2508" s="27" t="s">
        <v>3343</v>
      </c>
      <c r="E2508" s="25"/>
      <c r="F2508" s="25" t="str">
        <f>IF(INDEX(I.Electricity.P5Y1C5,1)="","",INDEX(I.Electricity.P5Y1C5,1))</f>
        <v/>
      </c>
      <c r="G2508" s="25"/>
      <c r="H2508" s="1" t="str">
        <f t="shared" ref="H2508:H2513" si="105">IF(AND(I.Facility.ProductCount&gt;=5,I.Product.P5Electricity="Yes",I.Developer.P5C5=TRUE,F2508=""),"Incomplete","Complete")</f>
        <v>Complete</v>
      </c>
      <c r="I2508" s="48" t="s">
        <v>2322</v>
      </c>
    </row>
    <row r="2509" spans="2:9" ht="15" customHeight="1" x14ac:dyDescent="0.25">
      <c r="B2509" s="26" t="s">
        <v>1326</v>
      </c>
      <c r="C2509" s="1">
        <v>2</v>
      </c>
      <c r="D2509" s="27" t="s">
        <v>3343</v>
      </c>
      <c r="E2509" s="25"/>
      <c r="F2509" s="25" t="str">
        <f>IF(INDEX(I.Electricity.P5Y1C5,2)="","",INDEX(I.Electricity.P5Y1C5,2))</f>
        <v/>
      </c>
      <c r="G2509" s="25"/>
      <c r="H2509" s="1" t="str">
        <f t="shared" si="105"/>
        <v>Complete</v>
      </c>
      <c r="I2509" s="48" t="s">
        <v>2323</v>
      </c>
    </row>
    <row r="2510" spans="2:9" ht="15" customHeight="1" x14ac:dyDescent="0.25">
      <c r="B2510" s="34" t="s">
        <v>1326</v>
      </c>
      <c r="C2510" s="35">
        <v>3</v>
      </c>
      <c r="D2510" s="46" t="s">
        <v>3343</v>
      </c>
      <c r="E2510" s="45"/>
      <c r="F2510" s="45" t="str">
        <f>IF(INDEX(I.Electricity.P5Y1C5,3)="","",INDEX(I.Electricity.P5Y1C5,3))</f>
        <v/>
      </c>
      <c r="G2510" s="45"/>
      <c r="H2510" s="35" t="str">
        <f t="shared" si="105"/>
        <v>Complete</v>
      </c>
      <c r="I2510" s="49" t="s">
        <v>2324</v>
      </c>
    </row>
    <row r="2511" spans="2:9" ht="15" customHeight="1" x14ac:dyDescent="0.25">
      <c r="B2511" s="26" t="s">
        <v>1327</v>
      </c>
      <c r="C2511" s="1">
        <v>1</v>
      </c>
      <c r="D2511" s="27" t="s">
        <v>3344</v>
      </c>
      <c r="E2511" s="25"/>
      <c r="F2511" s="25" t="str">
        <f>IF(INDEX(I.Electricity.P5Y2C5,1)="","",INDEX(I.Electricity.P5Y2C5,1))</f>
        <v/>
      </c>
      <c r="G2511" s="25"/>
      <c r="H2511" s="1" t="str">
        <f t="shared" si="105"/>
        <v>Complete</v>
      </c>
      <c r="I2511" s="48" t="s">
        <v>2325</v>
      </c>
    </row>
    <row r="2512" spans="2:9" ht="15" customHeight="1" x14ac:dyDescent="0.25">
      <c r="B2512" s="26" t="s">
        <v>1327</v>
      </c>
      <c r="C2512" s="1">
        <v>2</v>
      </c>
      <c r="D2512" s="27" t="s">
        <v>3344</v>
      </c>
      <c r="E2512" s="25"/>
      <c r="F2512" s="25" t="str">
        <f>IF(INDEX(I.Electricity.P5Y2C5,2)="","",INDEX(I.Electricity.P5Y2C5,2))</f>
        <v/>
      </c>
      <c r="G2512" s="25"/>
      <c r="H2512" s="1" t="str">
        <f t="shared" si="105"/>
        <v>Complete</v>
      </c>
      <c r="I2512" s="48" t="s">
        <v>2326</v>
      </c>
    </row>
    <row r="2513" spans="2:9" ht="15" customHeight="1" x14ac:dyDescent="0.25">
      <c r="B2513" s="34" t="s">
        <v>1327</v>
      </c>
      <c r="C2513" s="35">
        <v>3</v>
      </c>
      <c r="D2513" s="46" t="s">
        <v>3344</v>
      </c>
      <c r="E2513" s="45"/>
      <c r="F2513" s="45" t="str">
        <f>IF(INDEX(I.Electricity.P5Y2C5,3)="","",INDEX(I.Electricity.P5Y2C5,3))</f>
        <v/>
      </c>
      <c r="G2513" s="45"/>
      <c r="H2513" s="35" t="str">
        <f t="shared" si="105"/>
        <v>Complete</v>
      </c>
      <c r="I2513" s="49" t="s">
        <v>2327</v>
      </c>
    </row>
    <row r="2514" spans="2:9" ht="15" customHeight="1" x14ac:dyDescent="0.25">
      <c r="B2514" s="26" t="s">
        <v>1328</v>
      </c>
      <c r="C2514" s="1">
        <v>1</v>
      </c>
      <c r="D2514" s="27" t="s">
        <v>3345</v>
      </c>
      <c r="E2514" s="25"/>
      <c r="F2514" s="25" t="str">
        <f>IF(INDEX(I.Electricity.P5Y3C5,1)="","",INDEX(I.Electricity.P5Y3C5,1))</f>
        <v/>
      </c>
      <c r="G2514" s="25"/>
      <c r="H2514" s="1" t="str">
        <f>IF(AND(I.Facility.ProductCount&gt;=5,I.Product.P5Electricity="Yes",I.Developer.P5C5=TRUE,I.Product.P5Status&lt;&gt;"Yes",F2514=""),"Incomplete","Complete")</f>
        <v>Complete</v>
      </c>
      <c r="I2514" s="48" t="s">
        <v>2328</v>
      </c>
    </row>
    <row r="2515" spans="2:9" ht="15" customHeight="1" x14ac:dyDescent="0.25">
      <c r="B2515" s="26" t="s">
        <v>1328</v>
      </c>
      <c r="C2515" s="1">
        <v>2</v>
      </c>
      <c r="D2515" s="27" t="s">
        <v>3345</v>
      </c>
      <c r="E2515" s="25"/>
      <c r="F2515" s="25" t="str">
        <f>IF(INDEX(I.Electricity.P5Y3C5,2)="","",INDEX(I.Electricity.P5Y3C5,2))</f>
        <v/>
      </c>
      <c r="G2515" s="25"/>
      <c r="H2515" s="1" t="str">
        <f>IF(AND(I.Facility.ProductCount&gt;=5,I.Product.P5Electricity="Yes",I.Developer.P5C5=TRUE,I.Product.P5Status&lt;&gt;"Yes",F2515=""),"Incomplete","Complete")</f>
        <v>Complete</v>
      </c>
      <c r="I2515" s="48" t="s">
        <v>2329</v>
      </c>
    </row>
    <row r="2516" spans="2:9" ht="15" customHeight="1" x14ac:dyDescent="0.25">
      <c r="B2516" s="34" t="s">
        <v>1328</v>
      </c>
      <c r="C2516" s="35">
        <v>3</v>
      </c>
      <c r="D2516" s="46" t="s">
        <v>3345</v>
      </c>
      <c r="E2516" s="45"/>
      <c r="F2516" s="45" t="str">
        <f>IF(INDEX(I.Electricity.P5Y3C5,3)="","",INDEX(I.Electricity.P5Y3C5,3))</f>
        <v/>
      </c>
      <c r="G2516" s="45"/>
      <c r="H2516" s="35" t="str">
        <f>IF(AND(I.Facility.ProductCount&gt;=5,I.Product.P5Electricity="Yes",I.Developer.P5C5=TRUE,I.Product.P5Status&lt;&gt;"Yes",F2516=""),"Incomplete","Complete")</f>
        <v>Complete</v>
      </c>
      <c r="I2516" s="49" t="s">
        <v>2330</v>
      </c>
    </row>
    <row r="2517" spans="2:9" ht="15" customHeight="1" x14ac:dyDescent="0.25">
      <c r="B2517" s="26" t="s">
        <v>1329</v>
      </c>
      <c r="C2517" s="1">
        <v>1</v>
      </c>
      <c r="D2517" s="27" t="s">
        <v>3346</v>
      </c>
      <c r="E2517" s="25"/>
      <c r="F2517" s="25" t="str">
        <f>IF(INDEX(I.Electricity.P5Y1C6,1)="","",INDEX(I.Electricity.P5Y1C6,1))</f>
        <v/>
      </c>
      <c r="G2517" s="25"/>
      <c r="H2517" s="1" t="str">
        <f t="shared" ref="H2517:H2522" si="106">IF(AND(I.Facility.ProductCount&gt;=5,I.Product.P5Electricity="Yes",I.Developer.P5C6=TRUE,F2517=""),"Incomplete","Complete")</f>
        <v>Complete</v>
      </c>
      <c r="I2517" s="48" t="s">
        <v>2331</v>
      </c>
    </row>
    <row r="2518" spans="2:9" ht="15" customHeight="1" x14ac:dyDescent="0.25">
      <c r="B2518" s="26" t="s">
        <v>1329</v>
      </c>
      <c r="C2518" s="1">
        <v>2</v>
      </c>
      <c r="D2518" s="27" t="s">
        <v>3346</v>
      </c>
      <c r="E2518" s="25"/>
      <c r="F2518" s="25" t="str">
        <f>IF(INDEX(I.Electricity.P5Y1C6,2)="","",INDEX(I.Electricity.P5Y1C6,2))</f>
        <v/>
      </c>
      <c r="G2518" s="25"/>
      <c r="H2518" s="1" t="str">
        <f t="shared" si="106"/>
        <v>Complete</v>
      </c>
      <c r="I2518" s="48" t="s">
        <v>2332</v>
      </c>
    </row>
    <row r="2519" spans="2:9" ht="15" customHeight="1" x14ac:dyDescent="0.25">
      <c r="B2519" s="34" t="s">
        <v>1329</v>
      </c>
      <c r="C2519" s="35">
        <v>3</v>
      </c>
      <c r="D2519" s="46" t="s">
        <v>3346</v>
      </c>
      <c r="E2519" s="45"/>
      <c r="F2519" s="45" t="str">
        <f>IF(INDEX(I.Electricity.P5Y1C6,3)="","",INDEX(I.Electricity.P5Y1C6,3))</f>
        <v/>
      </c>
      <c r="G2519" s="45"/>
      <c r="H2519" s="35" t="str">
        <f t="shared" si="106"/>
        <v>Complete</v>
      </c>
      <c r="I2519" s="49" t="s">
        <v>2333</v>
      </c>
    </row>
    <row r="2520" spans="2:9" ht="15" customHeight="1" x14ac:dyDescent="0.25">
      <c r="B2520" s="26" t="s">
        <v>1330</v>
      </c>
      <c r="C2520" s="1">
        <v>1</v>
      </c>
      <c r="D2520" s="27" t="s">
        <v>3347</v>
      </c>
      <c r="E2520" s="25"/>
      <c r="F2520" s="25" t="str">
        <f>IF(INDEX(I.Electricity.P5Y2C6,1)="","",INDEX(I.Electricity.P5Y2C6,1))</f>
        <v/>
      </c>
      <c r="G2520" s="25"/>
      <c r="H2520" s="1" t="str">
        <f t="shared" si="106"/>
        <v>Complete</v>
      </c>
      <c r="I2520" s="48" t="s">
        <v>2334</v>
      </c>
    </row>
    <row r="2521" spans="2:9" ht="15" customHeight="1" x14ac:dyDescent="0.25">
      <c r="B2521" s="26" t="s">
        <v>1330</v>
      </c>
      <c r="C2521" s="1">
        <v>2</v>
      </c>
      <c r="D2521" s="27" t="s">
        <v>3347</v>
      </c>
      <c r="E2521" s="25"/>
      <c r="F2521" s="25" t="str">
        <f>IF(INDEX(I.Electricity.P5Y2C6,2)="","",INDEX(I.Electricity.P5Y2C6,2))</f>
        <v/>
      </c>
      <c r="G2521" s="25"/>
      <c r="H2521" s="1" t="str">
        <f t="shared" si="106"/>
        <v>Complete</v>
      </c>
      <c r="I2521" s="48" t="s">
        <v>2335</v>
      </c>
    </row>
    <row r="2522" spans="2:9" ht="15" customHeight="1" x14ac:dyDescent="0.25">
      <c r="B2522" s="34" t="s">
        <v>1330</v>
      </c>
      <c r="C2522" s="35">
        <v>3</v>
      </c>
      <c r="D2522" s="46" t="s">
        <v>3347</v>
      </c>
      <c r="E2522" s="45"/>
      <c r="F2522" s="45" t="str">
        <f>IF(INDEX(I.Electricity.P5Y2C6,3)="","",INDEX(I.Electricity.P5Y2C6,3))</f>
        <v/>
      </c>
      <c r="G2522" s="45"/>
      <c r="H2522" s="35" t="str">
        <f t="shared" si="106"/>
        <v>Complete</v>
      </c>
      <c r="I2522" s="49" t="s">
        <v>2336</v>
      </c>
    </row>
    <row r="2523" spans="2:9" ht="15" customHeight="1" x14ac:dyDescent="0.25">
      <c r="B2523" s="26" t="s">
        <v>1331</v>
      </c>
      <c r="C2523" s="1">
        <v>1</v>
      </c>
      <c r="D2523" s="27" t="s">
        <v>3348</v>
      </c>
      <c r="E2523" s="25"/>
      <c r="F2523" s="25" t="str">
        <f>IF(INDEX(I.Electricity.P5Y3C6,1)="","",INDEX(I.Electricity.P5Y3C6,1))</f>
        <v/>
      </c>
      <c r="G2523" s="25"/>
      <c r="H2523" s="1" t="str">
        <f>IF(AND(I.Facility.ProductCount&gt;=5,I.Product.P5Electricity="Yes",I.Developer.P5C6=TRUE,I.Product.P5Status&lt;&gt;"Yes",F2523=""),"Incomplete","Complete")</f>
        <v>Complete</v>
      </c>
      <c r="I2523" s="48" t="s">
        <v>2337</v>
      </c>
    </row>
    <row r="2524" spans="2:9" ht="15" customHeight="1" x14ac:dyDescent="0.25">
      <c r="B2524" s="26" t="s">
        <v>1331</v>
      </c>
      <c r="C2524" s="1">
        <v>2</v>
      </c>
      <c r="D2524" s="27" t="s">
        <v>3348</v>
      </c>
      <c r="E2524" s="25"/>
      <c r="F2524" s="25" t="str">
        <f>IF(INDEX(I.Electricity.P5Y3C6,2)="","",INDEX(I.Electricity.P5Y3C6,2))</f>
        <v/>
      </c>
      <c r="G2524" s="25"/>
      <c r="H2524" s="1" t="str">
        <f>IF(AND(I.Facility.ProductCount&gt;=5,I.Product.P5Electricity="Yes",I.Developer.P5C6=TRUE,I.Product.P5Status&lt;&gt;"Yes",F2524=""),"Incomplete","Complete")</f>
        <v>Complete</v>
      </c>
      <c r="I2524" s="48" t="s">
        <v>2338</v>
      </c>
    </row>
    <row r="2525" spans="2:9" ht="15" customHeight="1" x14ac:dyDescent="0.25">
      <c r="B2525" s="34" t="s">
        <v>1331</v>
      </c>
      <c r="C2525" s="35">
        <v>3</v>
      </c>
      <c r="D2525" s="46" t="s">
        <v>3348</v>
      </c>
      <c r="E2525" s="45"/>
      <c r="F2525" s="45" t="str">
        <f>IF(INDEX(I.Electricity.P5Y3C6,3)="","",INDEX(I.Electricity.P5Y3C6,3))</f>
        <v/>
      </c>
      <c r="G2525" s="45"/>
      <c r="H2525" s="35" t="str">
        <f>IF(AND(I.Facility.ProductCount&gt;=5,I.Product.P5Electricity="Yes",I.Developer.P5C6=TRUE,I.Product.P5Status&lt;&gt;"Yes",F2525=""),"Incomplete","Complete")</f>
        <v>Complete</v>
      </c>
      <c r="I2525" s="49" t="s">
        <v>2339</v>
      </c>
    </row>
    <row r="2526" spans="2:9" ht="15" customHeight="1" x14ac:dyDescent="0.25">
      <c r="B2526" s="26" t="s">
        <v>1332</v>
      </c>
      <c r="C2526" s="1">
        <v>1</v>
      </c>
      <c r="D2526" s="27" t="s">
        <v>3349</v>
      </c>
      <c r="E2526" s="25"/>
      <c r="F2526" s="25" t="str">
        <f>IF(INDEX(I.Electricity.P5Y1C7,1)="","",INDEX(I.Electricity.P5Y1C7,1))</f>
        <v/>
      </c>
      <c r="G2526" s="25"/>
      <c r="H2526" s="1" t="str">
        <f t="shared" ref="H2526:H2531" si="107">IF(AND(I.Facility.ProductCount&gt;=5,I.Product.P5Electricity="Yes",I.Developer.P5C7=TRUE,F2526=""),"Incomplete","Complete")</f>
        <v>Complete</v>
      </c>
      <c r="I2526" s="48" t="s">
        <v>2340</v>
      </c>
    </row>
    <row r="2527" spans="2:9" ht="15" customHeight="1" x14ac:dyDescent="0.25">
      <c r="B2527" s="26" t="s">
        <v>1332</v>
      </c>
      <c r="C2527" s="1">
        <v>2</v>
      </c>
      <c r="D2527" s="27" t="s">
        <v>3349</v>
      </c>
      <c r="E2527" s="25"/>
      <c r="F2527" s="25" t="str">
        <f>IF(INDEX(I.Electricity.P5Y1C7,2)="","",INDEX(I.Electricity.P5Y1C7,2))</f>
        <v/>
      </c>
      <c r="G2527" s="25"/>
      <c r="H2527" s="1" t="str">
        <f t="shared" si="107"/>
        <v>Complete</v>
      </c>
      <c r="I2527" s="48" t="s">
        <v>2341</v>
      </c>
    </row>
    <row r="2528" spans="2:9" ht="15" customHeight="1" x14ac:dyDescent="0.25">
      <c r="B2528" s="34" t="s">
        <v>1332</v>
      </c>
      <c r="C2528" s="35">
        <v>3</v>
      </c>
      <c r="D2528" s="46" t="s">
        <v>3349</v>
      </c>
      <c r="E2528" s="45"/>
      <c r="F2528" s="45" t="str">
        <f>IF(INDEX(I.Electricity.P5Y1C7,3)="","",INDEX(I.Electricity.P5Y1C7,3))</f>
        <v/>
      </c>
      <c r="G2528" s="45"/>
      <c r="H2528" s="35" t="str">
        <f t="shared" si="107"/>
        <v>Complete</v>
      </c>
      <c r="I2528" s="49" t="s">
        <v>2342</v>
      </c>
    </row>
    <row r="2529" spans="2:9" ht="15" customHeight="1" x14ac:dyDescent="0.25">
      <c r="B2529" s="26" t="s">
        <v>1333</v>
      </c>
      <c r="C2529" s="1">
        <v>1</v>
      </c>
      <c r="D2529" s="27" t="s">
        <v>3350</v>
      </c>
      <c r="E2529" s="25"/>
      <c r="F2529" s="25" t="str">
        <f>IF(INDEX(I.Electricity.P5Y2C7,1)="","",INDEX(I.Electricity.P5Y2C7,1))</f>
        <v/>
      </c>
      <c r="G2529" s="25"/>
      <c r="H2529" s="1" t="str">
        <f t="shared" si="107"/>
        <v>Complete</v>
      </c>
      <c r="I2529" s="48" t="s">
        <v>2343</v>
      </c>
    </row>
    <row r="2530" spans="2:9" ht="15" customHeight="1" x14ac:dyDescent="0.25">
      <c r="B2530" s="26" t="s">
        <v>1333</v>
      </c>
      <c r="C2530" s="1">
        <v>2</v>
      </c>
      <c r="D2530" s="27" t="s">
        <v>3350</v>
      </c>
      <c r="E2530" s="25"/>
      <c r="F2530" s="25" t="str">
        <f>IF(INDEX(I.Electricity.P5Y2C7,2)="","",INDEX(I.Electricity.P5Y2C7,2))</f>
        <v/>
      </c>
      <c r="G2530" s="25"/>
      <c r="H2530" s="1" t="str">
        <f t="shared" si="107"/>
        <v>Complete</v>
      </c>
      <c r="I2530" s="48" t="s">
        <v>2344</v>
      </c>
    </row>
    <row r="2531" spans="2:9" ht="15" customHeight="1" x14ac:dyDescent="0.25">
      <c r="B2531" s="34" t="s">
        <v>1333</v>
      </c>
      <c r="C2531" s="35">
        <v>3</v>
      </c>
      <c r="D2531" s="46" t="s">
        <v>3350</v>
      </c>
      <c r="E2531" s="45"/>
      <c r="F2531" s="45" t="str">
        <f>IF(INDEX(I.Electricity.P5Y2C7,3)="","",INDEX(I.Electricity.P5Y2C7,3))</f>
        <v/>
      </c>
      <c r="G2531" s="45"/>
      <c r="H2531" s="35" t="str">
        <f t="shared" si="107"/>
        <v>Complete</v>
      </c>
      <c r="I2531" s="49" t="s">
        <v>2345</v>
      </c>
    </row>
    <row r="2532" spans="2:9" ht="15" customHeight="1" x14ac:dyDescent="0.25">
      <c r="B2532" s="26" t="s">
        <v>1334</v>
      </c>
      <c r="C2532" s="1">
        <v>1</v>
      </c>
      <c r="D2532" s="27" t="s">
        <v>3351</v>
      </c>
      <c r="E2532" s="25"/>
      <c r="F2532" s="25" t="str">
        <f>IF(INDEX(I.Electricity.P5Y3C7,1)="","",INDEX(I.Electricity.P5Y3C7,1))</f>
        <v/>
      </c>
      <c r="G2532" s="25"/>
      <c r="H2532" s="1" t="str">
        <f>IF(AND(I.Facility.ProductCount&gt;=5,I.Product.P5Electricity="Yes",I.Developer.P5C7=TRUE,I.Product.P5Status&lt;&gt;"Yes",F2532=""),"Incomplete","Complete")</f>
        <v>Complete</v>
      </c>
      <c r="I2532" s="48" t="s">
        <v>2346</v>
      </c>
    </row>
    <row r="2533" spans="2:9" ht="15" customHeight="1" x14ac:dyDescent="0.25">
      <c r="B2533" s="26" t="s">
        <v>1334</v>
      </c>
      <c r="C2533" s="1">
        <v>2</v>
      </c>
      <c r="D2533" s="27" t="s">
        <v>3351</v>
      </c>
      <c r="E2533" s="25"/>
      <c r="F2533" s="25" t="str">
        <f>IF(INDEX(I.Electricity.P5Y3C7,2)="","",INDEX(I.Electricity.P5Y3C7,2))</f>
        <v/>
      </c>
      <c r="G2533" s="25"/>
      <c r="H2533" s="1" t="str">
        <f>IF(AND(I.Facility.ProductCount&gt;=5,I.Product.P5Electricity="Yes",I.Developer.P5C7=TRUE,I.Product.P5Status&lt;&gt;"Yes",F2533=""),"Incomplete","Complete")</f>
        <v>Complete</v>
      </c>
      <c r="I2533" s="48" t="s">
        <v>2347</v>
      </c>
    </row>
    <row r="2534" spans="2:9" ht="15" customHeight="1" x14ac:dyDescent="0.25">
      <c r="B2534" s="34" t="s">
        <v>1334</v>
      </c>
      <c r="C2534" s="35">
        <v>3</v>
      </c>
      <c r="D2534" s="46" t="s">
        <v>3351</v>
      </c>
      <c r="E2534" s="45"/>
      <c r="F2534" s="45" t="str">
        <f>IF(INDEX(I.Electricity.P5Y3C7,3)="","",INDEX(I.Electricity.P5Y3C7,3))</f>
        <v/>
      </c>
      <c r="G2534" s="45"/>
      <c r="H2534" s="35" t="str">
        <f>IF(AND(I.Facility.ProductCount&gt;=5,I.Product.P5Electricity="Yes",I.Developer.P5C7=TRUE,I.Product.P5Status&lt;&gt;"Yes",F2534=""),"Incomplete","Complete")</f>
        <v>Complete</v>
      </c>
      <c r="I2534" s="49" t="s">
        <v>2348</v>
      </c>
    </row>
    <row r="2535" spans="2:9" ht="15" customHeight="1" x14ac:dyDescent="0.25">
      <c r="B2535" s="26" t="s">
        <v>1335</v>
      </c>
      <c r="C2535" s="1">
        <v>1</v>
      </c>
      <c r="D2535" s="27" t="s">
        <v>3352</v>
      </c>
      <c r="E2535" s="25"/>
      <c r="F2535" s="25" t="str">
        <f>IF(INDEX(I.Electricity.P5Y1C8,1)="","",INDEX(I.Electricity.P5Y1C8,1))</f>
        <v/>
      </c>
      <c r="G2535" s="25"/>
      <c r="H2535" s="1" t="str">
        <f t="shared" ref="H2535:H2540" si="108">IF(AND(I.Facility.ProductCount&gt;=5,I.Product.P5Electricity="Yes",I.Developer.P5C8=TRUE,F2535=""),"Incomplete","Complete")</f>
        <v>Complete</v>
      </c>
      <c r="I2535" s="48" t="s">
        <v>2349</v>
      </c>
    </row>
    <row r="2536" spans="2:9" ht="15" customHeight="1" x14ac:dyDescent="0.25">
      <c r="B2536" s="26" t="s">
        <v>1335</v>
      </c>
      <c r="C2536" s="1">
        <v>2</v>
      </c>
      <c r="D2536" s="27" t="s">
        <v>3352</v>
      </c>
      <c r="E2536" s="25"/>
      <c r="F2536" s="25" t="str">
        <f>IF(INDEX(I.Electricity.P5Y1C8,2)="","",INDEX(I.Electricity.P5Y1C8,2))</f>
        <v/>
      </c>
      <c r="G2536" s="25"/>
      <c r="H2536" s="1" t="str">
        <f t="shared" si="108"/>
        <v>Complete</v>
      </c>
      <c r="I2536" s="48" t="s">
        <v>2350</v>
      </c>
    </row>
    <row r="2537" spans="2:9" ht="15" customHeight="1" x14ac:dyDescent="0.25">
      <c r="B2537" s="34" t="s">
        <v>1335</v>
      </c>
      <c r="C2537" s="35">
        <v>3</v>
      </c>
      <c r="D2537" s="46" t="s">
        <v>3352</v>
      </c>
      <c r="E2537" s="45"/>
      <c r="F2537" s="45" t="str">
        <f>IF(INDEX(I.Electricity.P5Y1C8,3)="","",INDEX(I.Electricity.P5Y1C8,3))</f>
        <v/>
      </c>
      <c r="G2537" s="45"/>
      <c r="H2537" s="35" t="str">
        <f t="shared" si="108"/>
        <v>Complete</v>
      </c>
      <c r="I2537" s="49" t="s">
        <v>2351</v>
      </c>
    </row>
    <row r="2538" spans="2:9" ht="15" customHeight="1" x14ac:dyDescent="0.25">
      <c r="B2538" s="26" t="s">
        <v>1336</v>
      </c>
      <c r="C2538" s="1">
        <v>1</v>
      </c>
      <c r="D2538" s="27" t="s">
        <v>3353</v>
      </c>
      <c r="E2538" s="25"/>
      <c r="F2538" s="25" t="str">
        <f>IF(INDEX(I.Electricity.P5Y2C8,1)="","",INDEX(I.Electricity.P5Y2C8,1))</f>
        <v/>
      </c>
      <c r="G2538" s="25"/>
      <c r="H2538" s="1" t="str">
        <f t="shared" si="108"/>
        <v>Complete</v>
      </c>
      <c r="I2538" s="48" t="s">
        <v>2352</v>
      </c>
    </row>
    <row r="2539" spans="2:9" ht="15" customHeight="1" x14ac:dyDescent="0.25">
      <c r="B2539" s="26" t="s">
        <v>1336</v>
      </c>
      <c r="C2539" s="1">
        <v>2</v>
      </c>
      <c r="D2539" s="27" t="s">
        <v>3353</v>
      </c>
      <c r="E2539" s="25"/>
      <c r="F2539" s="25" t="str">
        <f>IF(INDEX(I.Electricity.P5Y2C8,2)="","",INDEX(I.Electricity.P5Y2C8,2))</f>
        <v/>
      </c>
      <c r="G2539" s="25"/>
      <c r="H2539" s="1" t="str">
        <f t="shared" si="108"/>
        <v>Complete</v>
      </c>
      <c r="I2539" s="48" t="s">
        <v>2353</v>
      </c>
    </row>
    <row r="2540" spans="2:9" ht="15" customHeight="1" x14ac:dyDescent="0.25">
      <c r="B2540" s="34" t="s">
        <v>1336</v>
      </c>
      <c r="C2540" s="35">
        <v>3</v>
      </c>
      <c r="D2540" s="46" t="s">
        <v>3353</v>
      </c>
      <c r="E2540" s="45"/>
      <c r="F2540" s="45" t="str">
        <f>IF(INDEX(I.Electricity.P5Y2C8,3)="","",INDEX(I.Electricity.P5Y2C8,3))</f>
        <v/>
      </c>
      <c r="G2540" s="45"/>
      <c r="H2540" s="35" t="str">
        <f t="shared" si="108"/>
        <v>Complete</v>
      </c>
      <c r="I2540" s="49" t="s">
        <v>2354</v>
      </c>
    </row>
    <row r="2541" spans="2:9" ht="15" customHeight="1" x14ac:dyDescent="0.25">
      <c r="B2541" s="26" t="s">
        <v>1337</v>
      </c>
      <c r="C2541" s="1">
        <v>1</v>
      </c>
      <c r="D2541" s="27" t="s">
        <v>3354</v>
      </c>
      <c r="E2541" s="25"/>
      <c r="F2541" s="25" t="str">
        <f>IF(INDEX(I.Electricity.P5Y3C8,1)="","",INDEX(I.Electricity.P5Y3C8,1))</f>
        <v/>
      </c>
      <c r="G2541" s="25"/>
      <c r="H2541" s="1" t="str">
        <f>IF(AND(I.Facility.ProductCount&gt;=5,I.Product.P5Electricity="Yes",I.Developer.P5C8=TRUE,I.Product.P5Status&lt;&gt;"Yes",F2541=""),"Incomplete","Complete")</f>
        <v>Complete</v>
      </c>
      <c r="I2541" s="48" t="s">
        <v>2355</v>
      </c>
    </row>
    <row r="2542" spans="2:9" ht="15" customHeight="1" x14ac:dyDescent="0.25">
      <c r="B2542" s="26" t="s">
        <v>1337</v>
      </c>
      <c r="C2542" s="1">
        <v>2</v>
      </c>
      <c r="D2542" s="27" t="s">
        <v>3354</v>
      </c>
      <c r="E2542" s="25"/>
      <c r="F2542" s="25" t="str">
        <f>IF(INDEX(I.Electricity.P5Y3C8,2)="","",INDEX(I.Electricity.P5Y3C8,2))</f>
        <v/>
      </c>
      <c r="G2542" s="25"/>
      <c r="H2542" s="1" t="str">
        <f>IF(AND(I.Facility.ProductCount&gt;=5,I.Product.P5Electricity="Yes",I.Developer.P5C8=TRUE,I.Product.P5Status&lt;&gt;"Yes",F2542=""),"Incomplete","Complete")</f>
        <v>Complete</v>
      </c>
      <c r="I2542" s="48" t="s">
        <v>2356</v>
      </c>
    </row>
    <row r="2543" spans="2:9" ht="15" customHeight="1" x14ac:dyDescent="0.25">
      <c r="B2543" s="34" t="s">
        <v>1337</v>
      </c>
      <c r="C2543" s="35">
        <v>3</v>
      </c>
      <c r="D2543" s="46" t="s">
        <v>3354</v>
      </c>
      <c r="E2543" s="45"/>
      <c r="F2543" s="45" t="str">
        <f>IF(INDEX(I.Electricity.P5Y3C8,3)="","",INDEX(I.Electricity.P5Y3C8,3))</f>
        <v/>
      </c>
      <c r="G2543" s="45"/>
      <c r="H2543" s="35" t="str">
        <f>IF(AND(I.Facility.ProductCount&gt;=5,I.Product.P5Electricity="Yes",I.Developer.P5C8=TRUE,I.Product.P5Status&lt;&gt;"Yes",F2543=""),"Incomplete","Complete")</f>
        <v>Complete</v>
      </c>
      <c r="I2543" s="49" t="s">
        <v>2357</v>
      </c>
    </row>
    <row r="2544" spans="2:9" ht="15" customHeight="1" x14ac:dyDescent="0.25">
      <c r="B2544" s="26" t="s">
        <v>1338</v>
      </c>
      <c r="C2544" s="1">
        <v>1</v>
      </c>
      <c r="D2544" s="27" t="s">
        <v>3355</v>
      </c>
      <c r="E2544" s="25"/>
      <c r="F2544" s="25" t="str">
        <f>IF(INDEX(I.Electricity.P5Y1C9,1)="","",INDEX(I.Electricity.P5Y1C9,1))</f>
        <v/>
      </c>
      <c r="G2544" s="25"/>
      <c r="H2544" s="1" t="str">
        <f t="shared" ref="H2544:H2549" si="109">IF(AND(I.Facility.ProductCount&gt;=5,I.Product.P5Electricity="Yes",I.Developer.P5C9=TRUE,F2544=""),"Incomplete","Complete")</f>
        <v>Complete</v>
      </c>
      <c r="I2544" s="48" t="s">
        <v>2358</v>
      </c>
    </row>
    <row r="2545" spans="2:9" ht="15" customHeight="1" x14ac:dyDescent="0.25">
      <c r="B2545" s="26" t="s">
        <v>1338</v>
      </c>
      <c r="C2545" s="1">
        <v>2</v>
      </c>
      <c r="D2545" s="27" t="s">
        <v>3355</v>
      </c>
      <c r="E2545" s="25"/>
      <c r="F2545" s="25" t="str">
        <f>IF(INDEX(I.Electricity.P5Y1C9,2)="","",INDEX(I.Electricity.P5Y1C9,2))</f>
        <v/>
      </c>
      <c r="G2545" s="25"/>
      <c r="H2545" s="1" t="str">
        <f t="shared" si="109"/>
        <v>Complete</v>
      </c>
      <c r="I2545" s="48" t="s">
        <v>2359</v>
      </c>
    </row>
    <row r="2546" spans="2:9" ht="15" customHeight="1" x14ac:dyDescent="0.25">
      <c r="B2546" s="34" t="s">
        <v>1338</v>
      </c>
      <c r="C2546" s="35">
        <v>3</v>
      </c>
      <c r="D2546" s="46" t="s">
        <v>3355</v>
      </c>
      <c r="E2546" s="45"/>
      <c r="F2546" s="45" t="str">
        <f>IF(INDEX(I.Electricity.P5Y1C9,3)="","",INDEX(I.Electricity.P5Y1C9,3))</f>
        <v/>
      </c>
      <c r="G2546" s="45"/>
      <c r="H2546" s="35" t="str">
        <f t="shared" si="109"/>
        <v>Complete</v>
      </c>
      <c r="I2546" s="49" t="s">
        <v>2360</v>
      </c>
    </row>
    <row r="2547" spans="2:9" ht="15" customHeight="1" x14ac:dyDescent="0.25">
      <c r="B2547" s="26" t="s">
        <v>1339</v>
      </c>
      <c r="C2547" s="1">
        <v>1</v>
      </c>
      <c r="D2547" s="27" t="s">
        <v>3356</v>
      </c>
      <c r="E2547" s="25"/>
      <c r="F2547" s="25" t="str">
        <f>IF(INDEX(I.Electricity.P5Y2C9,1)="","",INDEX(I.Electricity.P5Y2C9,1))</f>
        <v/>
      </c>
      <c r="G2547" s="25"/>
      <c r="H2547" s="1" t="str">
        <f t="shared" si="109"/>
        <v>Complete</v>
      </c>
      <c r="I2547" s="48" t="s">
        <v>2361</v>
      </c>
    </row>
    <row r="2548" spans="2:9" ht="15" customHeight="1" x14ac:dyDescent="0.25">
      <c r="B2548" s="26" t="s">
        <v>1339</v>
      </c>
      <c r="C2548" s="1">
        <v>2</v>
      </c>
      <c r="D2548" s="27" t="s">
        <v>3356</v>
      </c>
      <c r="E2548" s="25"/>
      <c r="F2548" s="25" t="str">
        <f>IF(INDEX(I.Electricity.P5Y2C9,2)="","",INDEX(I.Electricity.P5Y2C9,2))</f>
        <v/>
      </c>
      <c r="G2548" s="25"/>
      <c r="H2548" s="1" t="str">
        <f t="shared" si="109"/>
        <v>Complete</v>
      </c>
      <c r="I2548" s="48" t="s">
        <v>2362</v>
      </c>
    </row>
    <row r="2549" spans="2:9" ht="15" customHeight="1" x14ac:dyDescent="0.25">
      <c r="B2549" s="34" t="s">
        <v>1339</v>
      </c>
      <c r="C2549" s="35">
        <v>3</v>
      </c>
      <c r="D2549" s="46" t="s">
        <v>3356</v>
      </c>
      <c r="E2549" s="45"/>
      <c r="F2549" s="45" t="str">
        <f>IF(INDEX(I.Electricity.P5Y2C9,3)="","",INDEX(I.Electricity.P5Y2C9,3))</f>
        <v/>
      </c>
      <c r="G2549" s="45"/>
      <c r="H2549" s="35" t="str">
        <f t="shared" si="109"/>
        <v>Complete</v>
      </c>
      <c r="I2549" s="49" t="s">
        <v>2363</v>
      </c>
    </row>
    <row r="2550" spans="2:9" ht="15" customHeight="1" x14ac:dyDescent="0.25">
      <c r="B2550" s="26" t="s">
        <v>1340</v>
      </c>
      <c r="C2550" s="1">
        <v>1</v>
      </c>
      <c r="D2550" s="27" t="s">
        <v>3357</v>
      </c>
      <c r="E2550" s="25"/>
      <c r="F2550" s="25" t="str">
        <f>IF(INDEX(I.Electricity.P5Y3C9,1)="","",INDEX(I.Electricity.P5Y3C9,1))</f>
        <v/>
      </c>
      <c r="G2550" s="25"/>
      <c r="H2550" s="1" t="str">
        <f>IF(AND(I.Facility.ProductCount&gt;=5,I.Product.P5Electricity="Yes",I.Developer.P5C9=TRUE,I.Product.P5Status&lt;&gt;"Yes",F2550=""),"Incomplete","Complete")</f>
        <v>Complete</v>
      </c>
      <c r="I2550" s="48" t="s">
        <v>2364</v>
      </c>
    </row>
    <row r="2551" spans="2:9" ht="15" customHeight="1" x14ac:dyDescent="0.25">
      <c r="B2551" s="26" t="s">
        <v>1340</v>
      </c>
      <c r="C2551" s="1">
        <v>2</v>
      </c>
      <c r="D2551" s="27" t="s">
        <v>3357</v>
      </c>
      <c r="E2551" s="25"/>
      <c r="F2551" s="25" t="str">
        <f>IF(INDEX(I.Electricity.P5Y3C9,2)="","",INDEX(I.Electricity.P5Y3C9,2))</f>
        <v/>
      </c>
      <c r="G2551" s="25"/>
      <c r="H2551" s="1" t="str">
        <f>IF(AND(I.Facility.ProductCount&gt;=5,I.Product.P5Electricity="Yes",I.Developer.P5C9=TRUE,I.Product.P5Status&lt;&gt;"Yes",F2551=""),"Incomplete","Complete")</f>
        <v>Complete</v>
      </c>
      <c r="I2551" s="48" t="s">
        <v>2365</v>
      </c>
    </row>
    <row r="2552" spans="2:9" ht="15" customHeight="1" x14ac:dyDescent="0.25">
      <c r="B2552" s="34" t="s">
        <v>1340</v>
      </c>
      <c r="C2552" s="35">
        <v>3</v>
      </c>
      <c r="D2552" s="46" t="s">
        <v>3357</v>
      </c>
      <c r="E2552" s="45"/>
      <c r="F2552" s="45" t="str">
        <f>IF(INDEX(I.Electricity.P5Y3C9,3)="","",INDEX(I.Electricity.P5Y3C9,3))</f>
        <v/>
      </c>
      <c r="G2552" s="45"/>
      <c r="H2552" s="35" t="str">
        <f>IF(AND(I.Facility.ProductCount&gt;=5,I.Product.P5Electricity="Yes",I.Developer.P5C9=TRUE,I.Product.P5Status&lt;&gt;"Yes",F2552=""),"Incomplete","Complete")</f>
        <v>Complete</v>
      </c>
      <c r="I2552" s="49" t="s">
        <v>2366</v>
      </c>
    </row>
    <row r="2553" spans="2:9" ht="15" customHeight="1" x14ac:dyDescent="0.25">
      <c r="B2553" s="34" t="s">
        <v>451</v>
      </c>
      <c r="C2553" s="35">
        <v>1</v>
      </c>
      <c r="D2553" s="46" t="s">
        <v>3358</v>
      </c>
      <c r="E2553" s="44"/>
      <c r="F2553" s="44" t="str">
        <f>IF(INDEX(I.Gas.Y1Count,1)="","",INDEX(I.Gas.Y1Count,1))</f>
        <v/>
      </c>
      <c r="G2553" s="44"/>
      <c r="H2553" s="35" t="str">
        <f>IF(AND(I.Product.GasToPowerStatus="Yes",OR(I.Gas.Y1Count="",I.Gas.Y1Count=0)),"Incomplete","Complete")</f>
        <v>Complete</v>
      </c>
      <c r="I2553" s="49" t="s">
        <v>2367</v>
      </c>
    </row>
    <row r="2554" spans="2:9" ht="15" customHeight="1" x14ac:dyDescent="0.25">
      <c r="B2554" s="26" t="s">
        <v>452</v>
      </c>
      <c r="C2554" s="1">
        <v>1</v>
      </c>
      <c r="D2554" s="27" t="s">
        <v>3359</v>
      </c>
      <c r="E2554" s="25"/>
      <c r="F2554" s="25" t="str">
        <f>IF(INDEX(I.Gas.Y1AssociatedGasEnergy,1)="","",INDEX(I.Gas.Y1AssociatedGasEnergy,1))</f>
        <v/>
      </c>
      <c r="G2554" s="25"/>
      <c r="H2554" s="1" t="str">
        <f>IF(AND(I.Product.GasToPowerStatus="Yes",I.Gas.Y1Count&gt;=1,F2554=""),"Incomplete","Complete")</f>
        <v>Complete</v>
      </c>
      <c r="I2554" s="48" t="s">
        <v>2368</v>
      </c>
    </row>
    <row r="2555" spans="2:9" ht="15" customHeight="1" x14ac:dyDescent="0.25">
      <c r="B2555" s="26" t="s">
        <v>452</v>
      </c>
      <c r="C2555" s="1">
        <v>2</v>
      </c>
      <c r="D2555" s="27" t="s">
        <v>3359</v>
      </c>
      <c r="E2555" s="25"/>
      <c r="F2555" s="25" t="str">
        <f>IF(INDEX(I.Gas.Y1AssociatedGasEnergy,2)="","",INDEX(I.Gas.Y1AssociatedGasEnergy,2))</f>
        <v/>
      </c>
      <c r="G2555" s="25"/>
      <c r="H2555" s="1" t="str">
        <f>IF(AND(I.Product.GasToPowerStatus="Yes",I.Gas.Y1Count&gt;=2,F2555=""),"Incomplete","Complete")</f>
        <v>Complete</v>
      </c>
      <c r="I2555" s="48" t="s">
        <v>2369</v>
      </c>
    </row>
    <row r="2556" spans="2:9" ht="15" customHeight="1" x14ac:dyDescent="0.25">
      <c r="B2556" s="26" t="s">
        <v>452</v>
      </c>
      <c r="C2556" s="1">
        <v>3</v>
      </c>
      <c r="D2556" s="27" t="s">
        <v>3359</v>
      </c>
      <c r="E2556" s="25"/>
      <c r="F2556" s="25" t="str">
        <f>IF(INDEX(I.Gas.Y1AssociatedGasEnergy,3)="","",INDEX(I.Gas.Y1AssociatedGasEnergy,3))</f>
        <v/>
      </c>
      <c r="G2556" s="25"/>
      <c r="H2556" s="1" t="str">
        <f>IF(AND(I.Product.GasToPowerStatus="Yes",I.Gas.Y1Count&gt;=3,F2556=""),"Incomplete","Complete")</f>
        <v>Complete</v>
      </c>
      <c r="I2556" s="48" t="s">
        <v>2370</v>
      </c>
    </row>
    <row r="2557" spans="2:9" ht="15" customHeight="1" x14ac:dyDescent="0.25">
      <c r="B2557" s="26" t="s">
        <v>452</v>
      </c>
      <c r="C2557" s="1">
        <v>4</v>
      </c>
      <c r="D2557" s="27" t="s">
        <v>3359</v>
      </c>
      <c r="E2557" s="25"/>
      <c r="F2557" s="25" t="str">
        <f>IF(INDEX(I.Gas.Y1AssociatedGasEnergy,4)="","",INDEX(I.Gas.Y1AssociatedGasEnergy,4))</f>
        <v/>
      </c>
      <c r="G2557" s="25"/>
      <c r="H2557" s="1" t="str">
        <f>IF(AND(I.Product.GasToPowerStatus="Yes",I.Gas.Y1Count&gt;=4,F2557=""),"Incomplete","Complete")</f>
        <v>Complete</v>
      </c>
      <c r="I2557" s="48" t="s">
        <v>2371</v>
      </c>
    </row>
    <row r="2558" spans="2:9" ht="15" customHeight="1" x14ac:dyDescent="0.25">
      <c r="B2558" s="26" t="s">
        <v>452</v>
      </c>
      <c r="C2558" s="1">
        <v>5</v>
      </c>
      <c r="D2558" s="27" t="s">
        <v>3359</v>
      </c>
      <c r="E2558" s="25"/>
      <c r="F2558" s="25" t="str">
        <f>IF(INDEX(I.Gas.Y1AssociatedGasEnergy,5)="","",INDEX(I.Gas.Y1AssociatedGasEnergy,5))</f>
        <v/>
      </c>
      <c r="G2558" s="25"/>
      <c r="H2558" s="1" t="str">
        <f>IF(AND(I.Product.GasToPowerStatus="Yes",I.Gas.Y1Count&gt;=5,F2558=""),"Incomplete","Complete")</f>
        <v>Complete</v>
      </c>
      <c r="I2558" s="48" t="s">
        <v>2372</v>
      </c>
    </row>
    <row r="2559" spans="2:9" ht="15" customHeight="1" x14ac:dyDescent="0.25">
      <c r="B2559" s="26" t="s">
        <v>452</v>
      </c>
      <c r="C2559" s="1">
        <v>6</v>
      </c>
      <c r="D2559" s="27" t="s">
        <v>3359</v>
      </c>
      <c r="E2559" s="25"/>
      <c r="F2559" s="25" t="str">
        <f>IF(INDEX(I.Gas.Y1AssociatedGasEnergy,6)="","",INDEX(I.Gas.Y1AssociatedGasEnergy,6))</f>
        <v/>
      </c>
      <c r="G2559" s="25"/>
      <c r="H2559" s="1" t="str">
        <f>IF(AND(I.Product.GasToPowerStatus="Yes",I.Gas.Y1Count&gt;=6,F2559=""),"Incomplete","Complete")</f>
        <v>Complete</v>
      </c>
      <c r="I2559" s="48" t="s">
        <v>2373</v>
      </c>
    </row>
    <row r="2560" spans="2:9" ht="15" customHeight="1" x14ac:dyDescent="0.25">
      <c r="B2560" s="26" t="s">
        <v>452</v>
      </c>
      <c r="C2560" s="1">
        <v>7</v>
      </c>
      <c r="D2560" s="27" t="s">
        <v>3359</v>
      </c>
      <c r="E2560" s="25"/>
      <c r="F2560" s="25" t="str">
        <f>IF(INDEX(I.Gas.Y1AssociatedGasEnergy,7)="","",INDEX(I.Gas.Y1AssociatedGasEnergy,7))</f>
        <v/>
      </c>
      <c r="G2560" s="25"/>
      <c r="H2560" s="1" t="str">
        <f>IF(AND(I.Product.GasToPowerStatus="Yes",I.Gas.Y1Count&gt;=7,F2560=""),"Incomplete","Complete")</f>
        <v>Complete</v>
      </c>
      <c r="I2560" s="48" t="s">
        <v>2374</v>
      </c>
    </row>
    <row r="2561" spans="2:9" ht="15" customHeight="1" x14ac:dyDescent="0.25">
      <c r="B2561" s="26" t="s">
        <v>452</v>
      </c>
      <c r="C2561" s="1">
        <v>8</v>
      </c>
      <c r="D2561" s="27" t="s">
        <v>3359</v>
      </c>
      <c r="E2561" s="25"/>
      <c r="F2561" s="25" t="str">
        <f>IF(INDEX(I.Gas.Y1AssociatedGasEnergy,8)="","",INDEX(I.Gas.Y1AssociatedGasEnergy,8))</f>
        <v/>
      </c>
      <c r="G2561" s="25"/>
      <c r="H2561" s="1" t="str">
        <f>IF(AND(I.Product.GasToPowerStatus="Yes",I.Gas.Y1Count&gt;=8,F2561=""),"Incomplete","Complete")</f>
        <v>Complete</v>
      </c>
      <c r="I2561" s="48" t="s">
        <v>2375</v>
      </c>
    </row>
    <row r="2562" spans="2:9" ht="15" customHeight="1" x14ac:dyDescent="0.25">
      <c r="B2562" s="26" t="s">
        <v>452</v>
      </c>
      <c r="C2562" s="1">
        <v>9</v>
      </c>
      <c r="D2562" s="27" t="s">
        <v>3359</v>
      </c>
      <c r="E2562" s="25"/>
      <c r="F2562" s="25" t="str">
        <f>IF(INDEX(I.Gas.Y1AssociatedGasEnergy,9)="","",INDEX(I.Gas.Y1AssociatedGasEnergy,9))</f>
        <v/>
      </c>
      <c r="G2562" s="25"/>
      <c r="H2562" s="1" t="str">
        <f>IF(AND(I.Product.GasToPowerStatus="Yes",I.Gas.Y1Count&gt;=9,F2562=""),"Incomplete","Complete")</f>
        <v>Complete</v>
      </c>
      <c r="I2562" s="48" t="s">
        <v>2376</v>
      </c>
    </row>
    <row r="2563" spans="2:9" ht="15" customHeight="1" x14ac:dyDescent="0.25">
      <c r="B2563" s="26" t="s">
        <v>452</v>
      </c>
      <c r="C2563" s="1">
        <v>10</v>
      </c>
      <c r="D2563" s="27" t="s">
        <v>3359</v>
      </c>
      <c r="E2563" s="25"/>
      <c r="F2563" s="25" t="str">
        <f>IF(INDEX(I.Gas.Y1AssociatedGasEnergy,10)="","",INDEX(I.Gas.Y1AssociatedGasEnergy,10))</f>
        <v/>
      </c>
      <c r="G2563" s="25"/>
      <c r="H2563" s="1" t="str">
        <f>IF(AND(I.Product.GasToPowerStatus="Yes",I.Gas.Y1Count&gt;=10,F2563=""),"Incomplete","Complete")</f>
        <v>Complete</v>
      </c>
      <c r="I2563" s="48" t="s">
        <v>2377</v>
      </c>
    </row>
    <row r="2564" spans="2:9" ht="15" customHeight="1" x14ac:dyDescent="0.25">
      <c r="B2564" s="26" t="s">
        <v>452</v>
      </c>
      <c r="C2564" s="1">
        <v>11</v>
      </c>
      <c r="D2564" s="27" t="s">
        <v>3359</v>
      </c>
      <c r="E2564" s="25"/>
      <c r="F2564" s="25" t="str">
        <f>IF(INDEX(I.Gas.Y1AssociatedGasEnergy,11)="","",INDEX(I.Gas.Y1AssociatedGasEnergy,11))</f>
        <v/>
      </c>
      <c r="G2564" s="25"/>
      <c r="H2564" s="1" t="str">
        <f>IF(AND(I.Product.GasToPowerStatus="Yes",I.Gas.Y1Count&gt;=11,F2564=""),"Incomplete","Complete")</f>
        <v>Complete</v>
      </c>
      <c r="I2564" s="48" t="s">
        <v>2378</v>
      </c>
    </row>
    <row r="2565" spans="2:9" ht="15" customHeight="1" x14ac:dyDescent="0.25">
      <c r="B2565" s="26" t="s">
        <v>452</v>
      </c>
      <c r="C2565" s="1">
        <v>12</v>
      </c>
      <c r="D2565" s="27" t="s">
        <v>3359</v>
      </c>
      <c r="E2565" s="25"/>
      <c r="F2565" s="25" t="str">
        <f>IF(INDEX(I.Gas.Y1AssociatedGasEnergy,12)="","",INDEX(I.Gas.Y1AssociatedGasEnergy,12))</f>
        <v/>
      </c>
      <c r="G2565" s="25"/>
      <c r="H2565" s="1" t="str">
        <f>IF(AND(I.Product.GasToPowerStatus="Yes",I.Gas.Y1Count&gt;=12,F2565=""),"Incomplete","Complete")</f>
        <v>Complete</v>
      </c>
      <c r="I2565" s="48" t="s">
        <v>2379</v>
      </c>
    </row>
    <row r="2566" spans="2:9" ht="15" customHeight="1" x14ac:dyDescent="0.25">
      <c r="B2566" s="26" t="s">
        <v>452</v>
      </c>
      <c r="C2566" s="1">
        <v>13</v>
      </c>
      <c r="D2566" s="27" t="s">
        <v>3359</v>
      </c>
      <c r="E2566" s="25"/>
      <c r="F2566" s="25" t="str">
        <f>IF(INDEX(I.Gas.Y1AssociatedGasEnergy,13)="","",INDEX(I.Gas.Y1AssociatedGasEnergy,13))</f>
        <v/>
      </c>
      <c r="G2566" s="25"/>
      <c r="H2566" s="1" t="str">
        <f>IF(AND(I.Product.GasToPowerStatus="Yes",I.Gas.Y1Count&gt;=13,F2566=""),"Incomplete","Complete")</f>
        <v>Complete</v>
      </c>
      <c r="I2566" s="48" t="s">
        <v>2380</v>
      </c>
    </row>
    <row r="2567" spans="2:9" ht="15" customHeight="1" x14ac:dyDescent="0.25">
      <c r="B2567" s="26" t="s">
        <v>452</v>
      </c>
      <c r="C2567" s="1">
        <v>14</v>
      </c>
      <c r="D2567" s="27" t="s">
        <v>3359</v>
      </c>
      <c r="E2567" s="25"/>
      <c r="F2567" s="25" t="str">
        <f>IF(INDEX(I.Gas.Y1AssociatedGasEnergy,14)="","",INDEX(I.Gas.Y1AssociatedGasEnergy,14))</f>
        <v/>
      </c>
      <c r="G2567" s="25"/>
      <c r="H2567" s="1" t="str">
        <f>IF(AND(I.Product.GasToPowerStatus="Yes",I.Gas.Y1Count&gt;=14,F2567=""),"Incomplete","Complete")</f>
        <v>Complete</v>
      </c>
      <c r="I2567" s="48" t="s">
        <v>2381</v>
      </c>
    </row>
    <row r="2568" spans="2:9" ht="15" customHeight="1" x14ac:dyDescent="0.25">
      <c r="B2568" s="26" t="s">
        <v>452</v>
      </c>
      <c r="C2568" s="1">
        <v>15</v>
      </c>
      <c r="D2568" s="27" t="s">
        <v>3359</v>
      </c>
      <c r="E2568" s="25"/>
      <c r="F2568" s="25" t="str">
        <f>IF(INDEX(I.Gas.Y1AssociatedGasEnergy,15)="","",INDEX(I.Gas.Y1AssociatedGasEnergy,15))</f>
        <v/>
      </c>
      <c r="G2568" s="25"/>
      <c r="H2568" s="1" t="str">
        <f>IF(AND(I.Product.GasToPowerStatus="Yes",I.Gas.Y1Count&gt;=15,F2568=""),"Incomplete","Complete")</f>
        <v>Complete</v>
      </c>
      <c r="I2568" s="48" t="s">
        <v>2382</v>
      </c>
    </row>
    <row r="2569" spans="2:9" ht="15" customHeight="1" x14ac:dyDescent="0.25">
      <c r="B2569" s="26" t="s">
        <v>452</v>
      </c>
      <c r="C2569" s="1">
        <v>16</v>
      </c>
      <c r="D2569" s="27" t="s">
        <v>3359</v>
      </c>
      <c r="E2569" s="25"/>
      <c r="F2569" s="25" t="str">
        <f>IF(INDEX(I.Gas.Y1AssociatedGasEnergy,16)="","",INDEX(I.Gas.Y1AssociatedGasEnergy,16))</f>
        <v/>
      </c>
      <c r="G2569" s="25"/>
      <c r="H2569" s="1" t="str">
        <f>IF(AND(I.Product.GasToPowerStatus="Yes",I.Gas.Y1Count&gt;=16,F2569=""),"Incomplete","Complete")</f>
        <v>Complete</v>
      </c>
      <c r="I2569" s="48" t="s">
        <v>2383</v>
      </c>
    </row>
    <row r="2570" spans="2:9" ht="15" customHeight="1" x14ac:dyDescent="0.25">
      <c r="B2570" s="26" t="s">
        <v>452</v>
      </c>
      <c r="C2570" s="1">
        <v>17</v>
      </c>
      <c r="D2570" s="27" t="s">
        <v>3359</v>
      </c>
      <c r="E2570" s="25"/>
      <c r="F2570" s="25" t="str">
        <f>IF(INDEX(I.Gas.Y1AssociatedGasEnergy,17)="","",INDEX(I.Gas.Y1AssociatedGasEnergy,17))</f>
        <v/>
      </c>
      <c r="G2570" s="25"/>
      <c r="H2570" s="1" t="str">
        <f>IF(AND(I.Product.GasToPowerStatus="Yes",I.Gas.Y1Count&gt;=17,F2570=""),"Incomplete","Complete")</f>
        <v>Complete</v>
      </c>
      <c r="I2570" s="48" t="s">
        <v>2384</v>
      </c>
    </row>
    <row r="2571" spans="2:9" ht="15" customHeight="1" x14ac:dyDescent="0.25">
      <c r="B2571" s="26" t="s">
        <v>452</v>
      </c>
      <c r="C2571" s="1">
        <v>18</v>
      </c>
      <c r="D2571" s="27" t="s">
        <v>3359</v>
      </c>
      <c r="E2571" s="25"/>
      <c r="F2571" s="25" t="str">
        <f>IF(INDEX(I.Gas.Y1AssociatedGasEnergy,18)="","",INDEX(I.Gas.Y1AssociatedGasEnergy,18))</f>
        <v/>
      </c>
      <c r="G2571" s="25"/>
      <c r="H2571" s="1" t="str">
        <f>IF(AND(I.Product.GasToPowerStatus="Yes",I.Gas.Y1Count&gt;=18,F2571=""),"Incomplete","Complete")</f>
        <v>Complete</v>
      </c>
      <c r="I2571" s="48" t="s">
        <v>2385</v>
      </c>
    </row>
    <row r="2572" spans="2:9" ht="15" customHeight="1" x14ac:dyDescent="0.25">
      <c r="B2572" s="26" t="s">
        <v>452</v>
      </c>
      <c r="C2572" s="1">
        <v>19</v>
      </c>
      <c r="D2572" s="27" t="s">
        <v>3359</v>
      </c>
      <c r="E2572" s="25"/>
      <c r="F2572" s="25" t="str">
        <f>IF(INDEX(I.Gas.Y1AssociatedGasEnergy,19)="","",INDEX(I.Gas.Y1AssociatedGasEnergy,19))</f>
        <v/>
      </c>
      <c r="G2572" s="25"/>
      <c r="H2572" s="1" t="str">
        <f>IF(AND(I.Product.GasToPowerStatus="Yes",I.Gas.Y1Count&gt;=19,F2572=""),"Incomplete","Complete")</f>
        <v>Complete</v>
      </c>
      <c r="I2572" s="48" t="s">
        <v>2386</v>
      </c>
    </row>
    <row r="2573" spans="2:9" ht="15" customHeight="1" x14ac:dyDescent="0.25">
      <c r="B2573" s="26" t="s">
        <v>452</v>
      </c>
      <c r="C2573" s="1">
        <v>20</v>
      </c>
      <c r="D2573" s="27" t="s">
        <v>3359</v>
      </c>
      <c r="E2573" s="25"/>
      <c r="F2573" s="25" t="str">
        <f>IF(INDEX(I.Gas.Y1AssociatedGasEnergy,20)="","",INDEX(I.Gas.Y1AssociatedGasEnergy,20))</f>
        <v/>
      </c>
      <c r="G2573" s="25"/>
      <c r="H2573" s="1" t="str">
        <f>IF(AND(I.Product.GasToPowerStatus="Yes",I.Gas.Y1Count&gt;=20,F2573=""),"Incomplete","Complete")</f>
        <v>Complete</v>
      </c>
      <c r="I2573" s="48" t="s">
        <v>2387</v>
      </c>
    </row>
    <row r="2574" spans="2:9" ht="15" customHeight="1" x14ac:dyDescent="0.25">
      <c r="B2574" s="26" t="s">
        <v>452</v>
      </c>
      <c r="C2574" s="1">
        <v>21</v>
      </c>
      <c r="D2574" s="27" t="s">
        <v>3359</v>
      </c>
      <c r="E2574" s="25"/>
      <c r="F2574" s="25" t="str">
        <f>IF(INDEX(I.Gas.Y1AssociatedGasEnergy,21)="","",INDEX(I.Gas.Y1AssociatedGasEnergy,21))</f>
        <v/>
      </c>
      <c r="G2574" s="25"/>
      <c r="H2574" s="1" t="str">
        <f>IF(AND(I.Product.GasToPowerStatus="Yes",I.Gas.Y1Count&gt;=21,F2574=""),"Incomplete","Complete")</f>
        <v>Complete</v>
      </c>
      <c r="I2574" s="48" t="s">
        <v>2388</v>
      </c>
    </row>
    <row r="2575" spans="2:9" ht="15" customHeight="1" x14ac:dyDescent="0.25">
      <c r="B2575" s="26" t="s">
        <v>452</v>
      </c>
      <c r="C2575" s="1">
        <v>22</v>
      </c>
      <c r="D2575" s="27" t="s">
        <v>3359</v>
      </c>
      <c r="E2575" s="25"/>
      <c r="F2575" s="25" t="str">
        <f>IF(INDEX(I.Gas.Y1AssociatedGasEnergy,22)="","",INDEX(I.Gas.Y1AssociatedGasEnergy,22))</f>
        <v/>
      </c>
      <c r="G2575" s="25"/>
      <c r="H2575" s="1" t="str">
        <f>IF(AND(I.Product.GasToPowerStatus="Yes",I.Gas.Y1Count&gt;=22,F2575=""),"Incomplete","Complete")</f>
        <v>Complete</v>
      </c>
      <c r="I2575" s="48" t="s">
        <v>2389</v>
      </c>
    </row>
    <row r="2576" spans="2:9" ht="15" customHeight="1" x14ac:dyDescent="0.25">
      <c r="B2576" s="26" t="s">
        <v>452</v>
      </c>
      <c r="C2576" s="1">
        <v>23</v>
      </c>
      <c r="D2576" s="27" t="s">
        <v>3359</v>
      </c>
      <c r="E2576" s="25"/>
      <c r="F2576" s="25" t="str">
        <f>IF(INDEX(I.Gas.Y1AssociatedGasEnergy,23)="","",INDEX(I.Gas.Y1AssociatedGasEnergy,23))</f>
        <v/>
      </c>
      <c r="G2576" s="25"/>
      <c r="H2576" s="1" t="str">
        <f>IF(AND(I.Product.GasToPowerStatus="Yes",I.Gas.Y1Count&gt;=23,F2576=""),"Incomplete","Complete")</f>
        <v>Complete</v>
      </c>
      <c r="I2576" s="48" t="s">
        <v>2390</v>
      </c>
    </row>
    <row r="2577" spans="2:9" ht="15" customHeight="1" x14ac:dyDescent="0.25">
      <c r="B2577" s="26" t="s">
        <v>452</v>
      </c>
      <c r="C2577" s="1">
        <v>24</v>
      </c>
      <c r="D2577" s="27" t="s">
        <v>3359</v>
      </c>
      <c r="E2577" s="25"/>
      <c r="F2577" s="25" t="str">
        <f>IF(INDEX(I.Gas.Y1AssociatedGasEnergy,24)="","",INDEX(I.Gas.Y1AssociatedGasEnergy,24))</f>
        <v/>
      </c>
      <c r="G2577" s="25"/>
      <c r="H2577" s="1" t="str">
        <f>IF(AND(I.Product.GasToPowerStatus="Yes",I.Gas.Y1Count&gt;=24,F2577=""),"Incomplete","Complete")</f>
        <v>Complete</v>
      </c>
      <c r="I2577" s="48" t="s">
        <v>2391</v>
      </c>
    </row>
    <row r="2578" spans="2:9" ht="15" customHeight="1" x14ac:dyDescent="0.25">
      <c r="B2578" s="26" t="s">
        <v>452</v>
      </c>
      <c r="C2578" s="1">
        <v>25</v>
      </c>
      <c r="D2578" s="27" t="s">
        <v>3359</v>
      </c>
      <c r="E2578" s="25"/>
      <c r="F2578" s="25" t="str">
        <f>IF(INDEX(I.Gas.Y1AssociatedGasEnergy,25)="","",INDEX(I.Gas.Y1AssociatedGasEnergy,25))</f>
        <v/>
      </c>
      <c r="G2578" s="25"/>
      <c r="H2578" s="1" t="str">
        <f>IF(AND(I.Product.GasToPowerStatus="Yes",I.Gas.Y1Count&gt;=25,F2578=""),"Incomplete","Complete")</f>
        <v>Complete</v>
      </c>
      <c r="I2578" s="48" t="s">
        <v>2392</v>
      </c>
    </row>
    <row r="2579" spans="2:9" ht="15" customHeight="1" x14ac:dyDescent="0.25">
      <c r="B2579" s="26" t="s">
        <v>452</v>
      </c>
      <c r="C2579" s="1">
        <v>26</v>
      </c>
      <c r="D2579" s="27" t="s">
        <v>3359</v>
      </c>
      <c r="E2579" s="25"/>
      <c r="F2579" s="25" t="str">
        <f>IF(INDEX(I.Gas.Y1AssociatedGasEnergy,26)="","",INDEX(I.Gas.Y1AssociatedGasEnergy,26))</f>
        <v/>
      </c>
      <c r="G2579" s="25"/>
      <c r="H2579" s="1" t="str">
        <f>IF(AND(I.Product.GasToPowerStatus="Yes",I.Gas.Y1Count&gt;=26,F2579=""),"Incomplete","Complete")</f>
        <v>Complete</v>
      </c>
      <c r="I2579" s="48" t="s">
        <v>2393</v>
      </c>
    </row>
    <row r="2580" spans="2:9" ht="15" customHeight="1" x14ac:dyDescent="0.25">
      <c r="B2580" s="26" t="s">
        <v>452</v>
      </c>
      <c r="C2580" s="1">
        <v>27</v>
      </c>
      <c r="D2580" s="27" t="s">
        <v>3359</v>
      </c>
      <c r="E2580" s="25"/>
      <c r="F2580" s="25" t="str">
        <f>IF(INDEX(I.Gas.Y1AssociatedGasEnergy,27)="","",INDEX(I.Gas.Y1AssociatedGasEnergy,27))</f>
        <v/>
      </c>
      <c r="G2580" s="25"/>
      <c r="H2580" s="1" t="str">
        <f>IF(AND(I.Product.GasToPowerStatus="Yes",I.Gas.Y1Count&gt;=27,F2580=""),"Incomplete","Complete")</f>
        <v>Complete</v>
      </c>
      <c r="I2580" s="48" t="s">
        <v>2394</v>
      </c>
    </row>
    <row r="2581" spans="2:9" ht="15" customHeight="1" x14ac:dyDescent="0.25">
      <c r="B2581" s="26" t="s">
        <v>452</v>
      </c>
      <c r="C2581" s="1">
        <v>28</v>
      </c>
      <c r="D2581" s="27" t="s">
        <v>3359</v>
      </c>
      <c r="E2581" s="25"/>
      <c r="F2581" s="25" t="str">
        <f>IF(INDEX(I.Gas.Y1AssociatedGasEnergy,28)="","",INDEX(I.Gas.Y1AssociatedGasEnergy,28))</f>
        <v/>
      </c>
      <c r="G2581" s="25"/>
      <c r="H2581" s="1" t="str">
        <f>IF(AND(I.Product.GasToPowerStatus="Yes",I.Gas.Y1Count&gt;=28,F2581=""),"Incomplete","Complete")</f>
        <v>Complete</v>
      </c>
      <c r="I2581" s="48" t="s">
        <v>2395</v>
      </c>
    </row>
    <row r="2582" spans="2:9" ht="15" customHeight="1" x14ac:dyDescent="0.25">
      <c r="B2582" s="26" t="s">
        <v>452</v>
      </c>
      <c r="C2582" s="1">
        <v>29</v>
      </c>
      <c r="D2582" s="27" t="s">
        <v>3359</v>
      </c>
      <c r="E2582" s="25"/>
      <c r="F2582" s="25" t="str">
        <f>IF(INDEX(I.Gas.Y1AssociatedGasEnergy,29)="","",INDEX(I.Gas.Y1AssociatedGasEnergy,29))</f>
        <v/>
      </c>
      <c r="G2582" s="25"/>
      <c r="H2582" s="1" t="str">
        <f>IF(AND(I.Product.GasToPowerStatus="Yes",I.Gas.Y1Count&gt;=29,F2582=""),"Incomplete","Complete")</f>
        <v>Complete</v>
      </c>
      <c r="I2582" s="48" t="s">
        <v>2396</v>
      </c>
    </row>
    <row r="2583" spans="2:9" ht="15" customHeight="1" x14ac:dyDescent="0.25">
      <c r="B2583" s="26" t="s">
        <v>452</v>
      </c>
      <c r="C2583" s="1">
        <v>30</v>
      </c>
      <c r="D2583" s="27" t="s">
        <v>3359</v>
      </c>
      <c r="E2583" s="25"/>
      <c r="F2583" s="25" t="str">
        <f>IF(INDEX(I.Gas.Y1AssociatedGasEnergy,30)="","",INDEX(I.Gas.Y1AssociatedGasEnergy,30))</f>
        <v/>
      </c>
      <c r="G2583" s="25"/>
      <c r="H2583" s="1" t="str">
        <f>IF(AND(I.Product.GasToPowerStatus="Yes",I.Gas.Y1Count&gt;=30,F2583=""),"Incomplete","Complete")</f>
        <v>Complete</v>
      </c>
      <c r="I2583" s="48" t="s">
        <v>2397</v>
      </c>
    </row>
    <row r="2584" spans="2:9" ht="15" customHeight="1" x14ac:dyDescent="0.25">
      <c r="B2584" s="26" t="s">
        <v>452</v>
      </c>
      <c r="C2584" s="1">
        <v>31</v>
      </c>
      <c r="D2584" s="27" t="s">
        <v>3359</v>
      </c>
      <c r="E2584" s="25"/>
      <c r="F2584" s="25" t="str">
        <f>IF(INDEX(I.Gas.Y1AssociatedGasEnergy,31)="","",INDEX(I.Gas.Y1AssociatedGasEnergy,31))</f>
        <v/>
      </c>
      <c r="G2584" s="25"/>
      <c r="H2584" s="1" t="str">
        <f>IF(AND(I.Product.GasToPowerStatus="Yes",I.Gas.Y1Count&gt;=31,F2584=""),"Incomplete","Complete")</f>
        <v>Complete</v>
      </c>
      <c r="I2584" s="48" t="s">
        <v>2398</v>
      </c>
    </row>
    <row r="2585" spans="2:9" ht="15" customHeight="1" x14ac:dyDescent="0.25">
      <c r="B2585" s="26" t="s">
        <v>452</v>
      </c>
      <c r="C2585" s="1">
        <v>32</v>
      </c>
      <c r="D2585" s="27" t="s">
        <v>3359</v>
      </c>
      <c r="E2585" s="25"/>
      <c r="F2585" s="25" t="str">
        <f>IF(INDEX(I.Gas.Y1AssociatedGasEnergy,32)="","",INDEX(I.Gas.Y1AssociatedGasEnergy,32))</f>
        <v/>
      </c>
      <c r="G2585" s="25"/>
      <c r="H2585" s="1" t="str">
        <f>IF(AND(I.Product.GasToPowerStatus="Yes",I.Gas.Y1Count&gt;=32,F2585=""),"Incomplete","Complete")</f>
        <v>Complete</v>
      </c>
      <c r="I2585" s="48" t="s">
        <v>2399</v>
      </c>
    </row>
    <row r="2586" spans="2:9" ht="15" customHeight="1" x14ac:dyDescent="0.25">
      <c r="B2586" s="26" t="s">
        <v>452</v>
      </c>
      <c r="C2586" s="1">
        <v>33</v>
      </c>
      <c r="D2586" s="27" t="s">
        <v>3359</v>
      </c>
      <c r="E2586" s="25"/>
      <c r="F2586" s="25" t="str">
        <f>IF(INDEX(I.Gas.Y1AssociatedGasEnergy,33)="","",INDEX(I.Gas.Y1AssociatedGasEnergy,33))</f>
        <v/>
      </c>
      <c r="G2586" s="25"/>
      <c r="H2586" s="1" t="str">
        <f>IF(AND(I.Product.GasToPowerStatus="Yes",I.Gas.Y1Count&gt;=33,F2586=""),"Incomplete","Complete")</f>
        <v>Complete</v>
      </c>
      <c r="I2586" s="48" t="s">
        <v>2400</v>
      </c>
    </row>
    <row r="2587" spans="2:9" ht="15" customHeight="1" x14ac:dyDescent="0.25">
      <c r="B2587" s="26" t="s">
        <v>452</v>
      </c>
      <c r="C2587" s="1">
        <v>34</v>
      </c>
      <c r="D2587" s="27" t="s">
        <v>3359</v>
      </c>
      <c r="E2587" s="25"/>
      <c r="F2587" s="25" t="str">
        <f>IF(INDEX(I.Gas.Y1AssociatedGasEnergy,34)="","",INDEX(I.Gas.Y1AssociatedGasEnergy,34))</f>
        <v/>
      </c>
      <c r="G2587" s="25"/>
      <c r="H2587" s="1" t="str">
        <f>IF(AND(I.Product.GasToPowerStatus="Yes",I.Gas.Y1Count&gt;=34,F2587=""),"Incomplete","Complete")</f>
        <v>Complete</v>
      </c>
      <c r="I2587" s="48" t="s">
        <v>2401</v>
      </c>
    </row>
    <row r="2588" spans="2:9" ht="15" customHeight="1" x14ac:dyDescent="0.25">
      <c r="B2588" s="26" t="s">
        <v>452</v>
      </c>
      <c r="C2588" s="1">
        <v>35</v>
      </c>
      <c r="D2588" s="27" t="s">
        <v>3359</v>
      </c>
      <c r="E2588" s="25"/>
      <c r="F2588" s="25" t="str">
        <f>IF(INDEX(I.Gas.Y1AssociatedGasEnergy,35)="","",INDEX(I.Gas.Y1AssociatedGasEnergy,35))</f>
        <v/>
      </c>
      <c r="G2588" s="25"/>
      <c r="H2588" s="1" t="str">
        <f>IF(AND(I.Product.GasToPowerStatus="Yes",I.Gas.Y1Count&gt;=35,F2588=""),"Incomplete","Complete")</f>
        <v>Complete</v>
      </c>
      <c r="I2588" s="48" t="s">
        <v>2402</v>
      </c>
    </row>
    <row r="2589" spans="2:9" ht="15" customHeight="1" x14ac:dyDescent="0.25">
      <c r="B2589" s="26" t="s">
        <v>452</v>
      </c>
      <c r="C2589" s="1">
        <v>36</v>
      </c>
      <c r="D2589" s="27" t="s">
        <v>3359</v>
      </c>
      <c r="E2589" s="25"/>
      <c r="F2589" s="25" t="str">
        <f>IF(INDEX(I.Gas.Y1AssociatedGasEnergy,36)="","",INDEX(I.Gas.Y1AssociatedGasEnergy,36))</f>
        <v/>
      </c>
      <c r="G2589" s="25"/>
      <c r="H2589" s="1" t="str">
        <f>IF(AND(I.Product.GasToPowerStatus="Yes",I.Gas.Y1Count&gt;=36,F2589=""),"Incomplete","Complete")</f>
        <v>Complete</v>
      </c>
      <c r="I2589" s="48" t="s">
        <v>2403</v>
      </c>
    </row>
    <row r="2590" spans="2:9" ht="15" customHeight="1" x14ac:dyDescent="0.25">
      <c r="B2590" s="26" t="s">
        <v>452</v>
      </c>
      <c r="C2590" s="1">
        <v>37</v>
      </c>
      <c r="D2590" s="27" t="s">
        <v>3359</v>
      </c>
      <c r="E2590" s="25"/>
      <c r="F2590" s="25" t="str">
        <f>IF(INDEX(I.Gas.Y1AssociatedGasEnergy,37)="","",INDEX(I.Gas.Y1AssociatedGasEnergy,37))</f>
        <v/>
      </c>
      <c r="G2590" s="25"/>
      <c r="H2590" s="1" t="str">
        <f>IF(AND(I.Product.GasToPowerStatus="Yes",I.Gas.Y1Count&gt;=37,F2590=""),"Incomplete","Complete")</f>
        <v>Complete</v>
      </c>
      <c r="I2590" s="48" t="s">
        <v>2404</v>
      </c>
    </row>
    <row r="2591" spans="2:9" ht="15" customHeight="1" x14ac:dyDescent="0.25">
      <c r="B2591" s="26" t="s">
        <v>452</v>
      </c>
      <c r="C2591" s="1">
        <v>38</v>
      </c>
      <c r="D2591" s="27" t="s">
        <v>3359</v>
      </c>
      <c r="E2591" s="25"/>
      <c r="F2591" s="25" t="str">
        <f>IF(INDEX(I.Gas.Y1AssociatedGasEnergy,38)="","",INDEX(I.Gas.Y1AssociatedGasEnergy,38))</f>
        <v/>
      </c>
      <c r="G2591" s="25"/>
      <c r="H2591" s="1" t="str">
        <f>IF(AND(I.Product.GasToPowerStatus="Yes",I.Gas.Y1Count&gt;=38,F2591=""),"Incomplete","Complete")</f>
        <v>Complete</v>
      </c>
      <c r="I2591" s="48" t="s">
        <v>2405</v>
      </c>
    </row>
    <row r="2592" spans="2:9" ht="15" customHeight="1" x14ac:dyDescent="0.25">
      <c r="B2592" s="26" t="s">
        <v>452</v>
      </c>
      <c r="C2592" s="1">
        <v>39</v>
      </c>
      <c r="D2592" s="27" t="s">
        <v>3359</v>
      </c>
      <c r="E2592" s="25"/>
      <c r="F2592" s="25" t="str">
        <f>IF(INDEX(I.Gas.Y1AssociatedGasEnergy,39)="","",INDEX(I.Gas.Y1AssociatedGasEnergy,39))</f>
        <v/>
      </c>
      <c r="G2592" s="25"/>
      <c r="H2592" s="1" t="str">
        <f>IF(AND(I.Product.GasToPowerStatus="Yes",I.Gas.Y1Count&gt;=39,F2592=""),"Incomplete","Complete")</f>
        <v>Complete</v>
      </c>
      <c r="I2592" s="48" t="s">
        <v>2406</v>
      </c>
    </row>
    <row r="2593" spans="2:9" ht="15" customHeight="1" x14ac:dyDescent="0.25">
      <c r="B2593" s="26" t="s">
        <v>452</v>
      </c>
      <c r="C2593" s="1">
        <v>40</v>
      </c>
      <c r="D2593" s="27" t="s">
        <v>3359</v>
      </c>
      <c r="E2593" s="25"/>
      <c r="F2593" s="25" t="str">
        <f>IF(INDEX(I.Gas.Y1AssociatedGasEnergy,40)="","",INDEX(I.Gas.Y1AssociatedGasEnergy,40))</f>
        <v/>
      </c>
      <c r="G2593" s="25"/>
      <c r="H2593" s="1" t="str">
        <f>IF(AND(I.Product.GasToPowerStatus="Yes",I.Gas.Y1Count&gt;=40,F2593=""),"Incomplete","Complete")</f>
        <v>Complete</v>
      </c>
      <c r="I2593" s="48" t="s">
        <v>2407</v>
      </c>
    </row>
    <row r="2594" spans="2:9" ht="15" customHeight="1" x14ac:dyDescent="0.25">
      <c r="B2594" s="26" t="s">
        <v>452</v>
      </c>
      <c r="C2594" s="1">
        <v>41</v>
      </c>
      <c r="D2594" s="27" t="s">
        <v>3359</v>
      </c>
      <c r="E2594" s="25"/>
      <c r="F2594" s="25" t="str">
        <f>IF(INDEX(I.Gas.Y1AssociatedGasEnergy,41)="","",INDEX(I.Gas.Y1AssociatedGasEnergy,41))</f>
        <v/>
      </c>
      <c r="G2594" s="25"/>
      <c r="H2594" s="1" t="str">
        <f>IF(AND(I.Product.GasToPowerStatus="Yes",I.Gas.Y1Count&gt;=41,F2594=""),"Incomplete","Complete")</f>
        <v>Complete</v>
      </c>
      <c r="I2594" s="48" t="s">
        <v>2408</v>
      </c>
    </row>
    <row r="2595" spans="2:9" ht="15" customHeight="1" x14ac:dyDescent="0.25">
      <c r="B2595" s="26" t="s">
        <v>452</v>
      </c>
      <c r="C2595" s="1">
        <v>42</v>
      </c>
      <c r="D2595" s="27" t="s">
        <v>3359</v>
      </c>
      <c r="E2595" s="25"/>
      <c r="F2595" s="25" t="str">
        <f>IF(INDEX(I.Gas.Y1AssociatedGasEnergy,42)="","",INDEX(I.Gas.Y1AssociatedGasEnergy,42))</f>
        <v/>
      </c>
      <c r="G2595" s="25"/>
      <c r="H2595" s="1" t="str">
        <f>IF(AND(I.Product.GasToPowerStatus="Yes",I.Gas.Y1Count&gt;=42,F2595=""),"Incomplete","Complete")</f>
        <v>Complete</v>
      </c>
      <c r="I2595" s="48" t="s">
        <v>2409</v>
      </c>
    </row>
    <row r="2596" spans="2:9" ht="15" customHeight="1" x14ac:dyDescent="0.25">
      <c r="B2596" s="26" t="s">
        <v>452</v>
      </c>
      <c r="C2596" s="1">
        <v>43</v>
      </c>
      <c r="D2596" s="27" t="s">
        <v>3359</v>
      </c>
      <c r="E2596" s="25"/>
      <c r="F2596" s="25" t="str">
        <f>IF(INDEX(I.Gas.Y1AssociatedGasEnergy,43)="","",INDEX(I.Gas.Y1AssociatedGasEnergy,43))</f>
        <v/>
      </c>
      <c r="G2596" s="25"/>
      <c r="H2596" s="1" t="str">
        <f>IF(AND(I.Product.GasToPowerStatus="Yes",I.Gas.Y1Count&gt;=43,F2596=""),"Incomplete","Complete")</f>
        <v>Complete</v>
      </c>
      <c r="I2596" s="48" t="s">
        <v>2410</v>
      </c>
    </row>
    <row r="2597" spans="2:9" ht="15" customHeight="1" x14ac:dyDescent="0.25">
      <c r="B2597" s="26" t="s">
        <v>452</v>
      </c>
      <c r="C2597" s="1">
        <v>44</v>
      </c>
      <c r="D2597" s="27" t="s">
        <v>3359</v>
      </c>
      <c r="E2597" s="25"/>
      <c r="F2597" s="25" t="str">
        <f>IF(INDEX(I.Gas.Y1AssociatedGasEnergy,44)="","",INDEX(I.Gas.Y1AssociatedGasEnergy,44))</f>
        <v/>
      </c>
      <c r="G2597" s="25"/>
      <c r="H2597" s="1" t="str">
        <f>IF(AND(I.Product.GasToPowerStatus="Yes",I.Gas.Y1Count&gt;=44,F2597=""),"Incomplete","Complete")</f>
        <v>Complete</v>
      </c>
      <c r="I2597" s="48" t="s">
        <v>2411</v>
      </c>
    </row>
    <row r="2598" spans="2:9" ht="15" customHeight="1" x14ac:dyDescent="0.25">
      <c r="B2598" s="26" t="s">
        <v>452</v>
      </c>
      <c r="C2598" s="1">
        <v>45</v>
      </c>
      <c r="D2598" s="27" t="s">
        <v>3359</v>
      </c>
      <c r="E2598" s="25"/>
      <c r="F2598" s="25" t="str">
        <f>IF(INDEX(I.Gas.Y1AssociatedGasEnergy,45)="","",INDEX(I.Gas.Y1AssociatedGasEnergy,45))</f>
        <v/>
      </c>
      <c r="G2598" s="25"/>
      <c r="H2598" s="1" t="str">
        <f>IF(AND(I.Product.GasToPowerStatus="Yes",I.Gas.Y1Count&gt;=45,F2598=""),"Incomplete","Complete")</f>
        <v>Complete</v>
      </c>
      <c r="I2598" s="48" t="s">
        <v>2412</v>
      </c>
    </row>
    <row r="2599" spans="2:9" ht="15" customHeight="1" x14ac:dyDescent="0.25">
      <c r="B2599" s="26" t="s">
        <v>452</v>
      </c>
      <c r="C2599" s="1">
        <v>46</v>
      </c>
      <c r="D2599" s="27" t="s">
        <v>3359</v>
      </c>
      <c r="E2599" s="25"/>
      <c r="F2599" s="25" t="str">
        <f>IF(INDEX(I.Gas.Y1AssociatedGasEnergy,46)="","",INDEX(I.Gas.Y1AssociatedGasEnergy,46))</f>
        <v/>
      </c>
      <c r="G2599" s="25"/>
      <c r="H2599" s="1" t="str">
        <f>IF(AND(I.Product.GasToPowerStatus="Yes",I.Gas.Y1Count&gt;=46,F2599=""),"Incomplete","Complete")</f>
        <v>Complete</v>
      </c>
      <c r="I2599" s="48" t="s">
        <v>2413</v>
      </c>
    </row>
    <row r="2600" spans="2:9" ht="15" customHeight="1" x14ac:dyDescent="0.25">
      <c r="B2600" s="26" t="s">
        <v>452</v>
      </c>
      <c r="C2600" s="1">
        <v>47</v>
      </c>
      <c r="D2600" s="27" t="s">
        <v>3359</v>
      </c>
      <c r="E2600" s="25"/>
      <c r="F2600" s="25" t="str">
        <f>IF(INDEX(I.Gas.Y1AssociatedGasEnergy,47)="","",INDEX(I.Gas.Y1AssociatedGasEnergy,47))</f>
        <v/>
      </c>
      <c r="G2600" s="25"/>
      <c r="H2600" s="1" t="str">
        <f>IF(AND(I.Product.GasToPowerStatus="Yes",I.Gas.Y1Count&gt;=47,F2600=""),"Incomplete","Complete")</f>
        <v>Complete</v>
      </c>
      <c r="I2600" s="48" t="s">
        <v>2414</v>
      </c>
    </row>
    <row r="2601" spans="2:9" ht="15" customHeight="1" x14ac:dyDescent="0.25">
      <c r="B2601" s="26" t="s">
        <v>452</v>
      </c>
      <c r="C2601" s="1">
        <v>48</v>
      </c>
      <c r="D2601" s="27" t="s">
        <v>3359</v>
      </c>
      <c r="E2601" s="25"/>
      <c r="F2601" s="25" t="str">
        <f>IF(INDEX(I.Gas.Y1AssociatedGasEnergy,48)="","",INDEX(I.Gas.Y1AssociatedGasEnergy,48))</f>
        <v/>
      </c>
      <c r="G2601" s="25"/>
      <c r="H2601" s="1" t="str">
        <f>IF(AND(I.Product.GasToPowerStatus="Yes",I.Gas.Y1Count&gt;=48,F2601=""),"Incomplete","Complete")</f>
        <v>Complete</v>
      </c>
      <c r="I2601" s="48" t="s">
        <v>2415</v>
      </c>
    </row>
    <row r="2602" spans="2:9" ht="15" customHeight="1" x14ac:dyDescent="0.25">
      <c r="B2602" s="26" t="s">
        <v>452</v>
      </c>
      <c r="C2602" s="1">
        <v>49</v>
      </c>
      <c r="D2602" s="27" t="s">
        <v>3359</v>
      </c>
      <c r="E2602" s="25"/>
      <c r="F2602" s="25" t="str">
        <f>IF(INDEX(I.Gas.Y1AssociatedGasEnergy,49)="","",INDEX(I.Gas.Y1AssociatedGasEnergy,49))</f>
        <v/>
      </c>
      <c r="G2602" s="25"/>
      <c r="H2602" s="1" t="str">
        <f>IF(AND(I.Product.GasToPowerStatus="Yes",I.Gas.Y1Count&gt;=49,F2602=""),"Incomplete","Complete")</f>
        <v>Complete</v>
      </c>
      <c r="I2602" s="48" t="s">
        <v>2416</v>
      </c>
    </row>
    <row r="2603" spans="2:9" ht="15" customHeight="1" x14ac:dyDescent="0.25">
      <c r="B2603" s="34" t="s">
        <v>452</v>
      </c>
      <c r="C2603" s="35">
        <v>50</v>
      </c>
      <c r="D2603" s="46" t="s">
        <v>3359</v>
      </c>
      <c r="E2603" s="45"/>
      <c r="F2603" s="45" t="str">
        <f>IF(INDEX(I.Gas.Y1AssociatedGasEnergy,50)="","",INDEX(I.Gas.Y1AssociatedGasEnergy,50))</f>
        <v/>
      </c>
      <c r="G2603" s="45"/>
      <c r="H2603" s="35" t="str">
        <f>IF(AND(I.Product.GasToPowerStatus="Yes",I.Gas.Y1Count&gt;=50,F2603=""),"Incomplete","Complete")</f>
        <v>Complete</v>
      </c>
      <c r="I2603" s="49" t="s">
        <v>2417</v>
      </c>
    </row>
    <row r="2604" spans="2:9" ht="15" customHeight="1" x14ac:dyDescent="0.25">
      <c r="B2604" s="26" t="s">
        <v>453</v>
      </c>
      <c r="C2604" s="1">
        <v>1</v>
      </c>
      <c r="D2604" s="27" t="s">
        <v>3360</v>
      </c>
      <c r="E2604" s="25"/>
      <c r="F2604" s="25" t="str">
        <f>IF(INDEX(I.Gas.Y1TotalGasEnergy,1)="","",INDEX(I.Gas.Y1TotalGasEnergy,1))</f>
        <v/>
      </c>
      <c r="G2604" s="25"/>
      <c r="H2604" s="1" t="str">
        <f>IF(AND(I.Product.GasToPowerStatus="Yes",I.Gas.Y1Count&gt;=1,F2604=""),"Incomplete","Complete")</f>
        <v>Complete</v>
      </c>
      <c r="I2604" s="48" t="s">
        <v>2418</v>
      </c>
    </row>
    <row r="2605" spans="2:9" ht="15" customHeight="1" x14ac:dyDescent="0.25">
      <c r="B2605" s="26" t="s">
        <v>453</v>
      </c>
      <c r="C2605" s="1">
        <v>2</v>
      </c>
      <c r="D2605" s="27" t="s">
        <v>3360</v>
      </c>
      <c r="E2605" s="25"/>
      <c r="F2605" s="25" t="str">
        <f>IF(INDEX(I.Gas.Y1TotalGasEnergy,2)="","",INDEX(I.Gas.Y1TotalGasEnergy,2))</f>
        <v/>
      </c>
      <c r="G2605" s="25"/>
      <c r="H2605" s="1" t="str">
        <f>IF(AND(I.Product.GasToPowerStatus="Yes",I.Gas.Y1Count&gt;=2,F2605=""),"Incomplete","Complete")</f>
        <v>Complete</v>
      </c>
      <c r="I2605" s="48" t="s">
        <v>2419</v>
      </c>
    </row>
    <row r="2606" spans="2:9" ht="15" customHeight="1" x14ac:dyDescent="0.25">
      <c r="B2606" s="26" t="s">
        <v>453</v>
      </c>
      <c r="C2606" s="1">
        <v>3</v>
      </c>
      <c r="D2606" s="27" t="s">
        <v>3360</v>
      </c>
      <c r="E2606" s="25"/>
      <c r="F2606" s="25" t="str">
        <f>IF(INDEX(I.Gas.Y1TotalGasEnergy,3)="","",INDEX(I.Gas.Y1TotalGasEnergy,3))</f>
        <v/>
      </c>
      <c r="G2606" s="25"/>
      <c r="H2606" s="1" t="str">
        <f>IF(AND(I.Product.GasToPowerStatus="Yes",I.Gas.Y1Count&gt;=3,F2606=""),"Incomplete","Complete")</f>
        <v>Complete</v>
      </c>
      <c r="I2606" s="48" t="s">
        <v>2420</v>
      </c>
    </row>
    <row r="2607" spans="2:9" ht="15" customHeight="1" x14ac:dyDescent="0.25">
      <c r="B2607" s="26" t="s">
        <v>453</v>
      </c>
      <c r="C2607" s="1">
        <v>4</v>
      </c>
      <c r="D2607" s="27" t="s">
        <v>3360</v>
      </c>
      <c r="E2607" s="25"/>
      <c r="F2607" s="25" t="str">
        <f>IF(INDEX(I.Gas.Y1TotalGasEnergy,4)="","",INDEX(I.Gas.Y1TotalGasEnergy,4))</f>
        <v/>
      </c>
      <c r="G2607" s="25"/>
      <c r="H2607" s="1" t="str">
        <f>IF(AND(I.Product.GasToPowerStatus="Yes",I.Gas.Y1Count&gt;=4,F2607=""),"Incomplete","Complete")</f>
        <v>Complete</v>
      </c>
      <c r="I2607" s="48" t="s">
        <v>2421</v>
      </c>
    </row>
    <row r="2608" spans="2:9" ht="15" customHeight="1" x14ac:dyDescent="0.25">
      <c r="B2608" s="26" t="s">
        <v>453</v>
      </c>
      <c r="C2608" s="1">
        <v>5</v>
      </c>
      <c r="D2608" s="27" t="s">
        <v>3360</v>
      </c>
      <c r="E2608" s="25"/>
      <c r="F2608" s="25" t="str">
        <f>IF(INDEX(I.Gas.Y1TotalGasEnergy,5)="","",INDEX(I.Gas.Y1TotalGasEnergy,5))</f>
        <v/>
      </c>
      <c r="G2608" s="25"/>
      <c r="H2608" s="1" t="str">
        <f>IF(AND(I.Product.GasToPowerStatus="Yes",I.Gas.Y1Count&gt;=5,F2608=""),"Incomplete","Complete")</f>
        <v>Complete</v>
      </c>
      <c r="I2608" s="48" t="s">
        <v>2422</v>
      </c>
    </row>
    <row r="2609" spans="2:9" ht="15" customHeight="1" x14ac:dyDescent="0.25">
      <c r="B2609" s="26" t="s">
        <v>453</v>
      </c>
      <c r="C2609" s="1">
        <v>6</v>
      </c>
      <c r="D2609" s="27" t="s">
        <v>3360</v>
      </c>
      <c r="E2609" s="25"/>
      <c r="F2609" s="25" t="str">
        <f>IF(INDEX(I.Gas.Y1TotalGasEnergy,6)="","",INDEX(I.Gas.Y1TotalGasEnergy,6))</f>
        <v/>
      </c>
      <c r="G2609" s="25"/>
      <c r="H2609" s="1" t="str">
        <f>IF(AND(I.Product.GasToPowerStatus="Yes",I.Gas.Y1Count&gt;=6,F2609=""),"Incomplete","Complete")</f>
        <v>Complete</v>
      </c>
      <c r="I2609" s="48" t="s">
        <v>2423</v>
      </c>
    </row>
    <row r="2610" spans="2:9" ht="15" customHeight="1" x14ac:dyDescent="0.25">
      <c r="B2610" s="26" t="s">
        <v>453</v>
      </c>
      <c r="C2610" s="1">
        <v>7</v>
      </c>
      <c r="D2610" s="27" t="s">
        <v>3360</v>
      </c>
      <c r="E2610" s="25"/>
      <c r="F2610" s="25" t="str">
        <f>IF(INDEX(I.Gas.Y1TotalGasEnergy,7)="","",INDEX(I.Gas.Y1TotalGasEnergy,7))</f>
        <v/>
      </c>
      <c r="G2610" s="25"/>
      <c r="H2610" s="1" t="str">
        <f>IF(AND(I.Product.GasToPowerStatus="Yes",I.Gas.Y1Count&gt;=7,F2610=""),"Incomplete","Complete")</f>
        <v>Complete</v>
      </c>
      <c r="I2610" s="48" t="s">
        <v>2424</v>
      </c>
    </row>
    <row r="2611" spans="2:9" ht="15" customHeight="1" x14ac:dyDescent="0.25">
      <c r="B2611" s="26" t="s">
        <v>453</v>
      </c>
      <c r="C2611" s="1">
        <v>8</v>
      </c>
      <c r="D2611" s="27" t="s">
        <v>3360</v>
      </c>
      <c r="E2611" s="25"/>
      <c r="F2611" s="25" t="str">
        <f>IF(INDEX(I.Gas.Y1TotalGasEnergy,8)="","",INDEX(I.Gas.Y1TotalGasEnergy,8))</f>
        <v/>
      </c>
      <c r="G2611" s="25"/>
      <c r="H2611" s="1" t="str">
        <f>IF(AND(I.Product.GasToPowerStatus="Yes",I.Gas.Y1Count&gt;=8,F2611=""),"Incomplete","Complete")</f>
        <v>Complete</v>
      </c>
      <c r="I2611" s="48" t="s">
        <v>2425</v>
      </c>
    </row>
    <row r="2612" spans="2:9" ht="15" customHeight="1" x14ac:dyDescent="0.25">
      <c r="B2612" s="26" t="s">
        <v>453</v>
      </c>
      <c r="C2612" s="1">
        <v>9</v>
      </c>
      <c r="D2612" s="27" t="s">
        <v>3360</v>
      </c>
      <c r="E2612" s="25"/>
      <c r="F2612" s="25" t="str">
        <f>IF(INDEX(I.Gas.Y1TotalGasEnergy,9)="","",INDEX(I.Gas.Y1TotalGasEnergy,9))</f>
        <v/>
      </c>
      <c r="G2612" s="25"/>
      <c r="H2612" s="1" t="str">
        <f>IF(AND(I.Product.GasToPowerStatus="Yes",I.Gas.Y1Count&gt;=9,F2612=""),"Incomplete","Complete")</f>
        <v>Complete</v>
      </c>
      <c r="I2612" s="48" t="s">
        <v>2426</v>
      </c>
    </row>
    <row r="2613" spans="2:9" ht="15" customHeight="1" x14ac:dyDescent="0.25">
      <c r="B2613" s="26" t="s">
        <v>453</v>
      </c>
      <c r="C2613" s="1">
        <v>10</v>
      </c>
      <c r="D2613" s="27" t="s">
        <v>3360</v>
      </c>
      <c r="E2613" s="25"/>
      <c r="F2613" s="25" t="str">
        <f>IF(INDEX(I.Gas.Y1TotalGasEnergy,10)="","",INDEX(I.Gas.Y1TotalGasEnergy,10))</f>
        <v/>
      </c>
      <c r="G2613" s="25"/>
      <c r="H2613" s="1" t="str">
        <f>IF(AND(I.Product.GasToPowerStatus="Yes",I.Gas.Y1Count&gt;=10,F2613=""),"Incomplete","Complete")</f>
        <v>Complete</v>
      </c>
      <c r="I2613" s="48" t="s">
        <v>2427</v>
      </c>
    </row>
    <row r="2614" spans="2:9" ht="15" customHeight="1" x14ac:dyDescent="0.25">
      <c r="B2614" s="26" t="s">
        <v>453</v>
      </c>
      <c r="C2614" s="1">
        <v>11</v>
      </c>
      <c r="D2614" s="27" t="s">
        <v>3360</v>
      </c>
      <c r="E2614" s="25"/>
      <c r="F2614" s="25" t="str">
        <f>IF(INDEX(I.Gas.Y1TotalGasEnergy,11)="","",INDEX(I.Gas.Y1TotalGasEnergy,11))</f>
        <v/>
      </c>
      <c r="G2614" s="25"/>
      <c r="H2614" s="1" t="str">
        <f>IF(AND(I.Product.GasToPowerStatus="Yes",I.Gas.Y1Count&gt;=11,F2614=""),"Incomplete","Complete")</f>
        <v>Complete</v>
      </c>
      <c r="I2614" s="48" t="s">
        <v>2428</v>
      </c>
    </row>
    <row r="2615" spans="2:9" ht="15" customHeight="1" x14ac:dyDescent="0.25">
      <c r="B2615" s="26" t="s">
        <v>453</v>
      </c>
      <c r="C2615" s="1">
        <v>12</v>
      </c>
      <c r="D2615" s="27" t="s">
        <v>3360</v>
      </c>
      <c r="E2615" s="25"/>
      <c r="F2615" s="25" t="str">
        <f>IF(INDEX(I.Gas.Y1TotalGasEnergy,12)="","",INDEX(I.Gas.Y1TotalGasEnergy,12))</f>
        <v/>
      </c>
      <c r="G2615" s="25"/>
      <c r="H2615" s="1" t="str">
        <f>IF(AND(I.Product.GasToPowerStatus="Yes",I.Gas.Y1Count&gt;=12,F2615=""),"Incomplete","Complete")</f>
        <v>Complete</v>
      </c>
      <c r="I2615" s="48" t="s">
        <v>2429</v>
      </c>
    </row>
    <row r="2616" spans="2:9" ht="15" customHeight="1" x14ac:dyDescent="0.25">
      <c r="B2616" s="26" t="s">
        <v>453</v>
      </c>
      <c r="C2616" s="1">
        <v>13</v>
      </c>
      <c r="D2616" s="27" t="s">
        <v>3360</v>
      </c>
      <c r="E2616" s="25"/>
      <c r="F2616" s="25" t="str">
        <f>IF(INDEX(I.Gas.Y1TotalGasEnergy,13)="","",INDEX(I.Gas.Y1TotalGasEnergy,13))</f>
        <v/>
      </c>
      <c r="G2616" s="25"/>
      <c r="H2616" s="1" t="str">
        <f>IF(AND(I.Product.GasToPowerStatus="Yes",I.Gas.Y1Count&gt;=13,F2616=""),"Incomplete","Complete")</f>
        <v>Complete</v>
      </c>
      <c r="I2616" s="48" t="s">
        <v>2430</v>
      </c>
    </row>
    <row r="2617" spans="2:9" ht="15" customHeight="1" x14ac:dyDescent="0.25">
      <c r="B2617" s="26" t="s">
        <v>453</v>
      </c>
      <c r="C2617" s="1">
        <v>14</v>
      </c>
      <c r="D2617" s="27" t="s">
        <v>3360</v>
      </c>
      <c r="E2617" s="25"/>
      <c r="F2617" s="25" t="str">
        <f>IF(INDEX(I.Gas.Y1TotalGasEnergy,14)="","",INDEX(I.Gas.Y1TotalGasEnergy,14))</f>
        <v/>
      </c>
      <c r="G2617" s="25"/>
      <c r="H2617" s="1" t="str">
        <f>IF(AND(I.Product.GasToPowerStatus="Yes",I.Gas.Y1Count&gt;=14,F2617=""),"Incomplete","Complete")</f>
        <v>Complete</v>
      </c>
      <c r="I2617" s="48" t="s">
        <v>2431</v>
      </c>
    </row>
    <row r="2618" spans="2:9" ht="15" customHeight="1" x14ac:dyDescent="0.25">
      <c r="B2618" s="26" t="s">
        <v>453</v>
      </c>
      <c r="C2618" s="1">
        <v>15</v>
      </c>
      <c r="D2618" s="27" t="s">
        <v>3360</v>
      </c>
      <c r="E2618" s="25"/>
      <c r="F2618" s="25" t="str">
        <f>IF(INDEX(I.Gas.Y1TotalGasEnergy,15)="","",INDEX(I.Gas.Y1TotalGasEnergy,15))</f>
        <v/>
      </c>
      <c r="G2618" s="25"/>
      <c r="H2618" s="1" t="str">
        <f>IF(AND(I.Product.GasToPowerStatus="Yes",I.Gas.Y1Count&gt;=15,F2618=""),"Incomplete","Complete")</f>
        <v>Complete</v>
      </c>
      <c r="I2618" s="48" t="s">
        <v>2432</v>
      </c>
    </row>
    <row r="2619" spans="2:9" ht="15" customHeight="1" x14ac:dyDescent="0.25">
      <c r="B2619" s="26" t="s">
        <v>453</v>
      </c>
      <c r="C2619" s="1">
        <v>16</v>
      </c>
      <c r="D2619" s="27" t="s">
        <v>3360</v>
      </c>
      <c r="E2619" s="25"/>
      <c r="F2619" s="25" t="str">
        <f>IF(INDEX(I.Gas.Y1TotalGasEnergy,16)="","",INDEX(I.Gas.Y1TotalGasEnergy,16))</f>
        <v/>
      </c>
      <c r="G2619" s="25"/>
      <c r="H2619" s="1" t="str">
        <f>IF(AND(I.Product.GasToPowerStatus="Yes",I.Gas.Y1Count&gt;=16,F2619=""),"Incomplete","Complete")</f>
        <v>Complete</v>
      </c>
      <c r="I2619" s="48" t="s">
        <v>2433</v>
      </c>
    </row>
    <row r="2620" spans="2:9" ht="15" customHeight="1" x14ac:dyDescent="0.25">
      <c r="B2620" s="26" t="s">
        <v>453</v>
      </c>
      <c r="C2620" s="1">
        <v>17</v>
      </c>
      <c r="D2620" s="27" t="s">
        <v>3360</v>
      </c>
      <c r="E2620" s="25"/>
      <c r="F2620" s="25" t="str">
        <f>IF(INDEX(I.Gas.Y1TotalGasEnergy,17)="","",INDEX(I.Gas.Y1TotalGasEnergy,17))</f>
        <v/>
      </c>
      <c r="G2620" s="25"/>
      <c r="H2620" s="1" t="str">
        <f>IF(AND(I.Product.GasToPowerStatus="Yes",I.Gas.Y1Count&gt;=17,F2620=""),"Incomplete","Complete")</f>
        <v>Complete</v>
      </c>
      <c r="I2620" s="48" t="s">
        <v>2434</v>
      </c>
    </row>
    <row r="2621" spans="2:9" ht="15" customHeight="1" x14ac:dyDescent="0.25">
      <c r="B2621" s="26" t="s">
        <v>453</v>
      </c>
      <c r="C2621" s="1">
        <v>18</v>
      </c>
      <c r="D2621" s="27" t="s">
        <v>3360</v>
      </c>
      <c r="E2621" s="25"/>
      <c r="F2621" s="25" t="str">
        <f>IF(INDEX(I.Gas.Y1TotalGasEnergy,18)="","",INDEX(I.Gas.Y1TotalGasEnergy,18))</f>
        <v/>
      </c>
      <c r="G2621" s="25"/>
      <c r="H2621" s="1" t="str">
        <f>IF(AND(I.Product.GasToPowerStatus="Yes",I.Gas.Y1Count&gt;=18,F2621=""),"Incomplete","Complete")</f>
        <v>Complete</v>
      </c>
      <c r="I2621" s="48" t="s">
        <v>2435</v>
      </c>
    </row>
    <row r="2622" spans="2:9" ht="15" customHeight="1" x14ac:dyDescent="0.25">
      <c r="B2622" s="26" t="s">
        <v>453</v>
      </c>
      <c r="C2622" s="1">
        <v>19</v>
      </c>
      <c r="D2622" s="27" t="s">
        <v>3360</v>
      </c>
      <c r="E2622" s="25"/>
      <c r="F2622" s="25" t="str">
        <f>IF(INDEX(I.Gas.Y1TotalGasEnergy,19)="","",INDEX(I.Gas.Y1TotalGasEnergy,19))</f>
        <v/>
      </c>
      <c r="G2622" s="25"/>
      <c r="H2622" s="1" t="str">
        <f>IF(AND(I.Product.GasToPowerStatus="Yes",I.Gas.Y1Count&gt;=19,F2622=""),"Incomplete","Complete")</f>
        <v>Complete</v>
      </c>
      <c r="I2622" s="48" t="s">
        <v>2436</v>
      </c>
    </row>
    <row r="2623" spans="2:9" ht="15" customHeight="1" x14ac:dyDescent="0.25">
      <c r="B2623" s="26" t="s">
        <v>453</v>
      </c>
      <c r="C2623" s="1">
        <v>20</v>
      </c>
      <c r="D2623" s="27" t="s">
        <v>3360</v>
      </c>
      <c r="E2623" s="25"/>
      <c r="F2623" s="25" t="str">
        <f>IF(INDEX(I.Gas.Y1TotalGasEnergy,20)="","",INDEX(I.Gas.Y1TotalGasEnergy,20))</f>
        <v/>
      </c>
      <c r="G2623" s="25"/>
      <c r="H2623" s="1" t="str">
        <f>IF(AND(I.Product.GasToPowerStatus="Yes",I.Gas.Y1Count&gt;=20,F2623=""),"Incomplete","Complete")</f>
        <v>Complete</v>
      </c>
      <c r="I2623" s="48" t="s">
        <v>2437</v>
      </c>
    </row>
    <row r="2624" spans="2:9" ht="15" customHeight="1" x14ac:dyDescent="0.25">
      <c r="B2624" s="26" t="s">
        <v>453</v>
      </c>
      <c r="C2624" s="1">
        <v>21</v>
      </c>
      <c r="D2624" s="27" t="s">
        <v>3360</v>
      </c>
      <c r="E2624" s="25"/>
      <c r="F2624" s="25" t="str">
        <f>IF(INDEX(I.Gas.Y1TotalGasEnergy,21)="","",INDEX(I.Gas.Y1TotalGasEnergy,21))</f>
        <v/>
      </c>
      <c r="G2624" s="25"/>
      <c r="H2624" s="1" t="str">
        <f>IF(AND(I.Product.GasToPowerStatus="Yes",I.Gas.Y1Count&gt;=21,F2624=""),"Incomplete","Complete")</f>
        <v>Complete</v>
      </c>
      <c r="I2624" s="48" t="s">
        <v>2438</v>
      </c>
    </row>
    <row r="2625" spans="2:9" ht="15" customHeight="1" x14ac:dyDescent="0.25">
      <c r="B2625" s="26" t="s">
        <v>453</v>
      </c>
      <c r="C2625" s="1">
        <v>22</v>
      </c>
      <c r="D2625" s="27" t="s">
        <v>3360</v>
      </c>
      <c r="E2625" s="25"/>
      <c r="F2625" s="25" t="str">
        <f>IF(INDEX(I.Gas.Y1TotalGasEnergy,22)="","",INDEX(I.Gas.Y1TotalGasEnergy,22))</f>
        <v/>
      </c>
      <c r="G2625" s="25"/>
      <c r="H2625" s="1" t="str">
        <f>IF(AND(I.Product.GasToPowerStatus="Yes",I.Gas.Y1Count&gt;=22,F2625=""),"Incomplete","Complete")</f>
        <v>Complete</v>
      </c>
      <c r="I2625" s="48" t="s">
        <v>2439</v>
      </c>
    </row>
    <row r="2626" spans="2:9" ht="15" customHeight="1" x14ac:dyDescent="0.25">
      <c r="B2626" s="26" t="s">
        <v>453</v>
      </c>
      <c r="C2626" s="1">
        <v>23</v>
      </c>
      <c r="D2626" s="27" t="s">
        <v>3360</v>
      </c>
      <c r="E2626" s="25"/>
      <c r="F2626" s="25" t="str">
        <f>IF(INDEX(I.Gas.Y1TotalGasEnergy,23)="","",INDEX(I.Gas.Y1TotalGasEnergy,23))</f>
        <v/>
      </c>
      <c r="G2626" s="25"/>
      <c r="H2626" s="1" t="str">
        <f>IF(AND(I.Product.GasToPowerStatus="Yes",I.Gas.Y1Count&gt;=23,F2626=""),"Incomplete","Complete")</f>
        <v>Complete</v>
      </c>
      <c r="I2626" s="48" t="s">
        <v>2440</v>
      </c>
    </row>
    <row r="2627" spans="2:9" ht="15" customHeight="1" x14ac:dyDescent="0.25">
      <c r="B2627" s="26" t="s">
        <v>453</v>
      </c>
      <c r="C2627" s="1">
        <v>24</v>
      </c>
      <c r="D2627" s="27" t="s">
        <v>3360</v>
      </c>
      <c r="E2627" s="25"/>
      <c r="F2627" s="25" t="str">
        <f>IF(INDEX(I.Gas.Y1TotalGasEnergy,24)="","",INDEX(I.Gas.Y1TotalGasEnergy,24))</f>
        <v/>
      </c>
      <c r="G2627" s="25"/>
      <c r="H2627" s="1" t="str">
        <f>IF(AND(I.Product.GasToPowerStatus="Yes",I.Gas.Y1Count&gt;=24,F2627=""),"Incomplete","Complete")</f>
        <v>Complete</v>
      </c>
      <c r="I2627" s="48" t="s">
        <v>2441</v>
      </c>
    </row>
    <row r="2628" spans="2:9" ht="15" customHeight="1" x14ac:dyDescent="0.25">
      <c r="B2628" s="26" t="s">
        <v>453</v>
      </c>
      <c r="C2628" s="1">
        <v>25</v>
      </c>
      <c r="D2628" s="27" t="s">
        <v>3360</v>
      </c>
      <c r="E2628" s="25"/>
      <c r="F2628" s="25" t="str">
        <f>IF(INDEX(I.Gas.Y1TotalGasEnergy,25)="","",INDEX(I.Gas.Y1TotalGasEnergy,25))</f>
        <v/>
      </c>
      <c r="G2628" s="25"/>
      <c r="H2628" s="1" t="str">
        <f>IF(AND(I.Product.GasToPowerStatus="Yes",I.Gas.Y1Count&gt;=25,F2628=""),"Incomplete","Complete")</f>
        <v>Complete</v>
      </c>
      <c r="I2628" s="48" t="s">
        <v>2442</v>
      </c>
    </row>
    <row r="2629" spans="2:9" ht="15" customHeight="1" x14ac:dyDescent="0.25">
      <c r="B2629" s="26" t="s">
        <v>453</v>
      </c>
      <c r="C2629" s="1">
        <v>26</v>
      </c>
      <c r="D2629" s="27" t="s">
        <v>3360</v>
      </c>
      <c r="E2629" s="25"/>
      <c r="F2629" s="25" t="str">
        <f>IF(INDEX(I.Gas.Y1TotalGasEnergy,26)="","",INDEX(I.Gas.Y1TotalGasEnergy,26))</f>
        <v/>
      </c>
      <c r="G2629" s="25"/>
      <c r="H2629" s="1" t="str">
        <f>IF(AND(I.Product.GasToPowerStatus="Yes",I.Gas.Y1Count&gt;=26,F2629=""),"Incomplete","Complete")</f>
        <v>Complete</v>
      </c>
      <c r="I2629" s="48" t="s">
        <v>2443</v>
      </c>
    </row>
    <row r="2630" spans="2:9" ht="15" customHeight="1" x14ac:dyDescent="0.25">
      <c r="B2630" s="26" t="s">
        <v>453</v>
      </c>
      <c r="C2630" s="1">
        <v>27</v>
      </c>
      <c r="D2630" s="27" t="s">
        <v>3360</v>
      </c>
      <c r="E2630" s="25"/>
      <c r="F2630" s="25" t="str">
        <f>IF(INDEX(I.Gas.Y1TotalGasEnergy,27)="","",INDEX(I.Gas.Y1TotalGasEnergy,27))</f>
        <v/>
      </c>
      <c r="G2630" s="25"/>
      <c r="H2630" s="1" t="str">
        <f>IF(AND(I.Product.GasToPowerStatus="Yes",I.Gas.Y1Count&gt;=27,F2630=""),"Incomplete","Complete")</f>
        <v>Complete</v>
      </c>
      <c r="I2630" s="48" t="s">
        <v>2444</v>
      </c>
    </row>
    <row r="2631" spans="2:9" ht="15" customHeight="1" x14ac:dyDescent="0.25">
      <c r="B2631" s="26" t="s">
        <v>453</v>
      </c>
      <c r="C2631" s="1">
        <v>28</v>
      </c>
      <c r="D2631" s="27" t="s">
        <v>3360</v>
      </c>
      <c r="E2631" s="25"/>
      <c r="F2631" s="25" t="str">
        <f>IF(INDEX(I.Gas.Y1TotalGasEnergy,28)="","",INDEX(I.Gas.Y1TotalGasEnergy,28))</f>
        <v/>
      </c>
      <c r="G2631" s="25"/>
      <c r="H2631" s="1" t="str">
        <f>IF(AND(I.Product.GasToPowerStatus="Yes",I.Gas.Y1Count&gt;=28,F2631=""),"Incomplete","Complete")</f>
        <v>Complete</v>
      </c>
      <c r="I2631" s="48" t="s">
        <v>2445</v>
      </c>
    </row>
    <row r="2632" spans="2:9" ht="15" customHeight="1" x14ac:dyDescent="0.25">
      <c r="B2632" s="26" t="s">
        <v>453</v>
      </c>
      <c r="C2632" s="1">
        <v>29</v>
      </c>
      <c r="D2632" s="27" t="s">
        <v>3360</v>
      </c>
      <c r="E2632" s="25"/>
      <c r="F2632" s="25" t="str">
        <f>IF(INDEX(I.Gas.Y1TotalGasEnergy,29)="","",INDEX(I.Gas.Y1TotalGasEnergy,29))</f>
        <v/>
      </c>
      <c r="G2632" s="25"/>
      <c r="H2632" s="1" t="str">
        <f>IF(AND(I.Product.GasToPowerStatus="Yes",I.Gas.Y1Count&gt;=29,F2632=""),"Incomplete","Complete")</f>
        <v>Complete</v>
      </c>
      <c r="I2632" s="48" t="s">
        <v>2446</v>
      </c>
    </row>
    <row r="2633" spans="2:9" ht="15" customHeight="1" x14ac:dyDescent="0.25">
      <c r="B2633" s="26" t="s">
        <v>453</v>
      </c>
      <c r="C2633" s="1">
        <v>30</v>
      </c>
      <c r="D2633" s="27" t="s">
        <v>3360</v>
      </c>
      <c r="E2633" s="25"/>
      <c r="F2633" s="25" t="str">
        <f>IF(INDEX(I.Gas.Y1TotalGasEnergy,30)="","",INDEX(I.Gas.Y1TotalGasEnergy,30))</f>
        <v/>
      </c>
      <c r="G2633" s="25"/>
      <c r="H2633" s="1" t="str">
        <f>IF(AND(I.Product.GasToPowerStatus="Yes",I.Gas.Y1Count&gt;=30,F2633=""),"Incomplete","Complete")</f>
        <v>Complete</v>
      </c>
      <c r="I2633" s="48" t="s">
        <v>2447</v>
      </c>
    </row>
    <row r="2634" spans="2:9" ht="15" customHeight="1" x14ac:dyDescent="0.25">
      <c r="B2634" s="26" t="s">
        <v>453</v>
      </c>
      <c r="C2634" s="1">
        <v>31</v>
      </c>
      <c r="D2634" s="27" t="s">
        <v>3360</v>
      </c>
      <c r="E2634" s="25"/>
      <c r="F2634" s="25" t="str">
        <f>IF(INDEX(I.Gas.Y1TotalGasEnergy,31)="","",INDEX(I.Gas.Y1TotalGasEnergy,31))</f>
        <v/>
      </c>
      <c r="G2634" s="25"/>
      <c r="H2634" s="1" t="str">
        <f>IF(AND(I.Product.GasToPowerStatus="Yes",I.Gas.Y1Count&gt;=31,F2634=""),"Incomplete","Complete")</f>
        <v>Complete</v>
      </c>
      <c r="I2634" s="48" t="s">
        <v>2448</v>
      </c>
    </row>
    <row r="2635" spans="2:9" ht="15" customHeight="1" x14ac:dyDescent="0.25">
      <c r="B2635" s="26" t="s">
        <v>453</v>
      </c>
      <c r="C2635" s="1">
        <v>32</v>
      </c>
      <c r="D2635" s="27" t="s">
        <v>3360</v>
      </c>
      <c r="E2635" s="25"/>
      <c r="F2635" s="25" t="str">
        <f>IF(INDEX(I.Gas.Y1TotalGasEnergy,32)="","",INDEX(I.Gas.Y1TotalGasEnergy,32))</f>
        <v/>
      </c>
      <c r="G2635" s="25"/>
      <c r="H2635" s="1" t="str">
        <f>IF(AND(I.Product.GasToPowerStatus="Yes",I.Gas.Y1Count&gt;=32,F2635=""),"Incomplete","Complete")</f>
        <v>Complete</v>
      </c>
      <c r="I2635" s="48" t="s">
        <v>2449</v>
      </c>
    </row>
    <row r="2636" spans="2:9" ht="15" customHeight="1" x14ac:dyDescent="0.25">
      <c r="B2636" s="26" t="s">
        <v>453</v>
      </c>
      <c r="C2636" s="1">
        <v>33</v>
      </c>
      <c r="D2636" s="27" t="s">
        <v>3360</v>
      </c>
      <c r="E2636" s="25"/>
      <c r="F2636" s="25" t="str">
        <f>IF(INDEX(I.Gas.Y1TotalGasEnergy,33)="","",INDEX(I.Gas.Y1TotalGasEnergy,33))</f>
        <v/>
      </c>
      <c r="G2636" s="25"/>
      <c r="H2636" s="1" t="str">
        <f>IF(AND(I.Product.GasToPowerStatus="Yes",I.Gas.Y1Count&gt;=33,F2636=""),"Incomplete","Complete")</f>
        <v>Complete</v>
      </c>
      <c r="I2636" s="48" t="s">
        <v>2450</v>
      </c>
    </row>
    <row r="2637" spans="2:9" ht="15" customHeight="1" x14ac:dyDescent="0.25">
      <c r="B2637" s="26" t="s">
        <v>453</v>
      </c>
      <c r="C2637" s="1">
        <v>34</v>
      </c>
      <c r="D2637" s="27" t="s">
        <v>3360</v>
      </c>
      <c r="E2637" s="25"/>
      <c r="F2637" s="25" t="str">
        <f>IF(INDEX(I.Gas.Y1TotalGasEnergy,34)="","",INDEX(I.Gas.Y1TotalGasEnergy,34))</f>
        <v/>
      </c>
      <c r="G2637" s="25"/>
      <c r="H2637" s="1" t="str">
        <f>IF(AND(I.Product.GasToPowerStatus="Yes",I.Gas.Y1Count&gt;=34,F2637=""),"Incomplete","Complete")</f>
        <v>Complete</v>
      </c>
      <c r="I2637" s="48" t="s">
        <v>2451</v>
      </c>
    </row>
    <row r="2638" spans="2:9" ht="15" customHeight="1" x14ac:dyDescent="0.25">
      <c r="B2638" s="26" t="s">
        <v>453</v>
      </c>
      <c r="C2638" s="1">
        <v>35</v>
      </c>
      <c r="D2638" s="27" t="s">
        <v>3360</v>
      </c>
      <c r="E2638" s="25"/>
      <c r="F2638" s="25" t="str">
        <f>IF(INDEX(I.Gas.Y1TotalGasEnergy,35)="","",INDEX(I.Gas.Y1TotalGasEnergy,35))</f>
        <v/>
      </c>
      <c r="G2638" s="25"/>
      <c r="H2638" s="1" t="str">
        <f>IF(AND(I.Product.GasToPowerStatus="Yes",I.Gas.Y1Count&gt;=35,F2638=""),"Incomplete","Complete")</f>
        <v>Complete</v>
      </c>
      <c r="I2638" s="48" t="s">
        <v>2452</v>
      </c>
    </row>
    <row r="2639" spans="2:9" ht="15" customHeight="1" x14ac:dyDescent="0.25">
      <c r="B2639" s="26" t="s">
        <v>453</v>
      </c>
      <c r="C2639" s="1">
        <v>36</v>
      </c>
      <c r="D2639" s="27" t="s">
        <v>3360</v>
      </c>
      <c r="E2639" s="25"/>
      <c r="F2639" s="25" t="str">
        <f>IF(INDEX(I.Gas.Y1TotalGasEnergy,36)="","",INDEX(I.Gas.Y1TotalGasEnergy,36))</f>
        <v/>
      </c>
      <c r="G2639" s="25"/>
      <c r="H2639" s="1" t="str">
        <f>IF(AND(I.Product.GasToPowerStatus="Yes",I.Gas.Y1Count&gt;=36,F2639=""),"Incomplete","Complete")</f>
        <v>Complete</v>
      </c>
      <c r="I2639" s="48" t="s">
        <v>2453</v>
      </c>
    </row>
    <row r="2640" spans="2:9" ht="15" customHeight="1" x14ac:dyDescent="0.25">
      <c r="B2640" s="26" t="s">
        <v>453</v>
      </c>
      <c r="C2640" s="1">
        <v>37</v>
      </c>
      <c r="D2640" s="27" t="s">
        <v>3360</v>
      </c>
      <c r="E2640" s="25"/>
      <c r="F2640" s="25" t="str">
        <f>IF(INDEX(I.Gas.Y1TotalGasEnergy,37)="","",INDEX(I.Gas.Y1TotalGasEnergy,37))</f>
        <v/>
      </c>
      <c r="G2640" s="25"/>
      <c r="H2640" s="1" t="str">
        <f>IF(AND(I.Product.GasToPowerStatus="Yes",I.Gas.Y1Count&gt;=37,F2640=""),"Incomplete","Complete")</f>
        <v>Complete</v>
      </c>
      <c r="I2640" s="48" t="s">
        <v>2454</v>
      </c>
    </row>
    <row r="2641" spans="2:9" ht="15" customHeight="1" x14ac:dyDescent="0.25">
      <c r="B2641" s="26" t="s">
        <v>453</v>
      </c>
      <c r="C2641" s="1">
        <v>38</v>
      </c>
      <c r="D2641" s="27" t="s">
        <v>3360</v>
      </c>
      <c r="E2641" s="25"/>
      <c r="F2641" s="25" t="str">
        <f>IF(INDEX(I.Gas.Y1TotalGasEnergy,38)="","",INDEX(I.Gas.Y1TotalGasEnergy,38))</f>
        <v/>
      </c>
      <c r="G2641" s="25"/>
      <c r="H2641" s="1" t="str">
        <f>IF(AND(I.Product.GasToPowerStatus="Yes",I.Gas.Y1Count&gt;=38,F2641=""),"Incomplete","Complete")</f>
        <v>Complete</v>
      </c>
      <c r="I2641" s="48" t="s">
        <v>2455</v>
      </c>
    </row>
    <row r="2642" spans="2:9" ht="15" customHeight="1" x14ac:dyDescent="0.25">
      <c r="B2642" s="26" t="s">
        <v>453</v>
      </c>
      <c r="C2642" s="1">
        <v>39</v>
      </c>
      <c r="D2642" s="27" t="s">
        <v>3360</v>
      </c>
      <c r="E2642" s="25"/>
      <c r="F2642" s="25" t="str">
        <f>IF(INDEX(I.Gas.Y1TotalGasEnergy,39)="","",INDEX(I.Gas.Y1TotalGasEnergy,39))</f>
        <v/>
      </c>
      <c r="G2642" s="25"/>
      <c r="H2642" s="1" t="str">
        <f>IF(AND(I.Product.GasToPowerStatus="Yes",I.Gas.Y1Count&gt;=39,F2642=""),"Incomplete","Complete")</f>
        <v>Complete</v>
      </c>
      <c r="I2642" s="48" t="s">
        <v>2456</v>
      </c>
    </row>
    <row r="2643" spans="2:9" ht="15" customHeight="1" x14ac:dyDescent="0.25">
      <c r="B2643" s="26" t="s">
        <v>453</v>
      </c>
      <c r="C2643" s="1">
        <v>40</v>
      </c>
      <c r="D2643" s="27" t="s">
        <v>3360</v>
      </c>
      <c r="E2643" s="25"/>
      <c r="F2643" s="25" t="str">
        <f>IF(INDEX(I.Gas.Y1TotalGasEnergy,40)="","",INDEX(I.Gas.Y1TotalGasEnergy,40))</f>
        <v/>
      </c>
      <c r="G2643" s="25"/>
      <c r="H2643" s="1" t="str">
        <f>IF(AND(I.Product.GasToPowerStatus="Yes",I.Gas.Y1Count&gt;=40,F2643=""),"Incomplete","Complete")</f>
        <v>Complete</v>
      </c>
      <c r="I2643" s="48" t="s">
        <v>2457</v>
      </c>
    </row>
    <row r="2644" spans="2:9" ht="15" customHeight="1" x14ac:dyDescent="0.25">
      <c r="B2644" s="26" t="s">
        <v>453</v>
      </c>
      <c r="C2644" s="1">
        <v>41</v>
      </c>
      <c r="D2644" s="27" t="s">
        <v>3360</v>
      </c>
      <c r="E2644" s="25"/>
      <c r="F2644" s="25" t="str">
        <f>IF(INDEX(I.Gas.Y1TotalGasEnergy,41)="","",INDEX(I.Gas.Y1TotalGasEnergy,41))</f>
        <v/>
      </c>
      <c r="G2644" s="25"/>
      <c r="H2644" s="1" t="str">
        <f>IF(AND(I.Product.GasToPowerStatus="Yes",I.Gas.Y1Count&gt;=41,F2644=""),"Incomplete","Complete")</f>
        <v>Complete</v>
      </c>
      <c r="I2644" s="48" t="s">
        <v>2458</v>
      </c>
    </row>
    <row r="2645" spans="2:9" ht="15" customHeight="1" x14ac:dyDescent="0.25">
      <c r="B2645" s="26" t="s">
        <v>453</v>
      </c>
      <c r="C2645" s="1">
        <v>42</v>
      </c>
      <c r="D2645" s="27" t="s">
        <v>3360</v>
      </c>
      <c r="E2645" s="25"/>
      <c r="F2645" s="25" t="str">
        <f>IF(INDEX(I.Gas.Y1TotalGasEnergy,42)="","",INDEX(I.Gas.Y1TotalGasEnergy,42))</f>
        <v/>
      </c>
      <c r="G2645" s="25"/>
      <c r="H2645" s="1" t="str">
        <f>IF(AND(I.Product.GasToPowerStatus="Yes",I.Gas.Y1Count&gt;=42,F2645=""),"Incomplete","Complete")</f>
        <v>Complete</v>
      </c>
      <c r="I2645" s="48" t="s">
        <v>2459</v>
      </c>
    </row>
    <row r="2646" spans="2:9" ht="15" customHeight="1" x14ac:dyDescent="0.25">
      <c r="B2646" s="26" t="s">
        <v>453</v>
      </c>
      <c r="C2646" s="1">
        <v>43</v>
      </c>
      <c r="D2646" s="27" t="s">
        <v>3360</v>
      </c>
      <c r="E2646" s="25"/>
      <c r="F2646" s="25" t="str">
        <f>IF(INDEX(I.Gas.Y1TotalGasEnergy,43)="","",INDEX(I.Gas.Y1TotalGasEnergy,43))</f>
        <v/>
      </c>
      <c r="G2646" s="25"/>
      <c r="H2646" s="1" t="str">
        <f>IF(AND(I.Product.GasToPowerStatus="Yes",I.Gas.Y1Count&gt;=43,F2646=""),"Incomplete","Complete")</f>
        <v>Complete</v>
      </c>
      <c r="I2646" s="48" t="s">
        <v>2460</v>
      </c>
    </row>
    <row r="2647" spans="2:9" ht="15" customHeight="1" x14ac:dyDescent="0.25">
      <c r="B2647" s="26" t="s">
        <v>453</v>
      </c>
      <c r="C2647" s="1">
        <v>44</v>
      </c>
      <c r="D2647" s="27" t="s">
        <v>3360</v>
      </c>
      <c r="E2647" s="25"/>
      <c r="F2647" s="25" t="str">
        <f>IF(INDEX(I.Gas.Y1TotalGasEnergy,44)="","",INDEX(I.Gas.Y1TotalGasEnergy,44))</f>
        <v/>
      </c>
      <c r="G2647" s="25"/>
      <c r="H2647" s="1" t="str">
        <f>IF(AND(I.Product.GasToPowerStatus="Yes",I.Gas.Y1Count&gt;=44,F2647=""),"Incomplete","Complete")</f>
        <v>Complete</v>
      </c>
      <c r="I2647" s="48" t="s">
        <v>2461</v>
      </c>
    </row>
    <row r="2648" spans="2:9" ht="15" customHeight="1" x14ac:dyDescent="0.25">
      <c r="B2648" s="26" t="s">
        <v>453</v>
      </c>
      <c r="C2648" s="1">
        <v>45</v>
      </c>
      <c r="D2648" s="27" t="s">
        <v>3360</v>
      </c>
      <c r="E2648" s="25"/>
      <c r="F2648" s="25" t="str">
        <f>IF(INDEX(I.Gas.Y1TotalGasEnergy,45)="","",INDEX(I.Gas.Y1TotalGasEnergy,45))</f>
        <v/>
      </c>
      <c r="G2648" s="25"/>
      <c r="H2648" s="1" t="str">
        <f>IF(AND(I.Product.GasToPowerStatus="Yes",I.Gas.Y1Count&gt;=45,F2648=""),"Incomplete","Complete")</f>
        <v>Complete</v>
      </c>
      <c r="I2648" s="48" t="s">
        <v>2462</v>
      </c>
    </row>
    <row r="2649" spans="2:9" ht="15" customHeight="1" x14ac:dyDescent="0.25">
      <c r="B2649" s="26" t="s">
        <v>453</v>
      </c>
      <c r="C2649" s="1">
        <v>46</v>
      </c>
      <c r="D2649" s="27" t="s">
        <v>3360</v>
      </c>
      <c r="E2649" s="25"/>
      <c r="F2649" s="25" t="str">
        <f>IF(INDEX(I.Gas.Y1TotalGasEnergy,46)="","",INDEX(I.Gas.Y1TotalGasEnergy,46))</f>
        <v/>
      </c>
      <c r="G2649" s="25"/>
      <c r="H2649" s="1" t="str">
        <f>IF(AND(I.Product.GasToPowerStatus="Yes",I.Gas.Y1Count&gt;=46,F2649=""),"Incomplete","Complete")</f>
        <v>Complete</v>
      </c>
      <c r="I2649" s="48" t="s">
        <v>2463</v>
      </c>
    </row>
    <row r="2650" spans="2:9" ht="15" customHeight="1" x14ac:dyDescent="0.25">
      <c r="B2650" s="26" t="s">
        <v>453</v>
      </c>
      <c r="C2650" s="1">
        <v>47</v>
      </c>
      <c r="D2650" s="27" t="s">
        <v>3360</v>
      </c>
      <c r="E2650" s="25"/>
      <c r="F2650" s="25" t="str">
        <f>IF(INDEX(I.Gas.Y1TotalGasEnergy,47)="","",INDEX(I.Gas.Y1TotalGasEnergy,47))</f>
        <v/>
      </c>
      <c r="G2650" s="25"/>
      <c r="H2650" s="1" t="str">
        <f>IF(AND(I.Product.GasToPowerStatus="Yes",I.Gas.Y1Count&gt;=47,F2650=""),"Incomplete","Complete")</f>
        <v>Complete</v>
      </c>
      <c r="I2650" s="48" t="s">
        <v>2464</v>
      </c>
    </row>
    <row r="2651" spans="2:9" ht="15" customHeight="1" x14ac:dyDescent="0.25">
      <c r="B2651" s="26" t="s">
        <v>453</v>
      </c>
      <c r="C2651" s="1">
        <v>48</v>
      </c>
      <c r="D2651" s="27" t="s">
        <v>3360</v>
      </c>
      <c r="E2651" s="25"/>
      <c r="F2651" s="25" t="str">
        <f>IF(INDEX(I.Gas.Y1TotalGasEnergy,48)="","",INDEX(I.Gas.Y1TotalGasEnergy,48))</f>
        <v/>
      </c>
      <c r="G2651" s="25"/>
      <c r="H2651" s="1" t="str">
        <f>IF(AND(I.Product.GasToPowerStatus="Yes",I.Gas.Y1Count&gt;=48,F2651=""),"Incomplete","Complete")</f>
        <v>Complete</v>
      </c>
      <c r="I2651" s="48" t="s">
        <v>2465</v>
      </c>
    </row>
    <row r="2652" spans="2:9" ht="15" customHeight="1" x14ac:dyDescent="0.25">
      <c r="B2652" s="26" t="s">
        <v>453</v>
      </c>
      <c r="C2652" s="1">
        <v>49</v>
      </c>
      <c r="D2652" s="27" t="s">
        <v>3360</v>
      </c>
      <c r="E2652" s="25"/>
      <c r="F2652" s="25" t="str">
        <f>IF(INDEX(I.Gas.Y1TotalGasEnergy,49)="","",INDEX(I.Gas.Y1TotalGasEnergy,49))</f>
        <v/>
      </c>
      <c r="G2652" s="25"/>
      <c r="H2652" s="1" t="str">
        <f>IF(AND(I.Product.GasToPowerStatus="Yes",I.Gas.Y1Count&gt;=49,F2652=""),"Incomplete","Complete")</f>
        <v>Complete</v>
      </c>
      <c r="I2652" s="48" t="s">
        <v>2466</v>
      </c>
    </row>
    <row r="2653" spans="2:9" ht="15" customHeight="1" x14ac:dyDescent="0.25">
      <c r="B2653" s="34" t="s">
        <v>453</v>
      </c>
      <c r="C2653" s="35">
        <v>50</v>
      </c>
      <c r="D2653" s="46" t="s">
        <v>3360</v>
      </c>
      <c r="E2653" s="45"/>
      <c r="F2653" s="45" t="str">
        <f>IF(INDEX(I.Gas.Y1TotalGasEnergy,50)="","",INDEX(I.Gas.Y1TotalGasEnergy,50))</f>
        <v/>
      </c>
      <c r="G2653" s="45"/>
      <c r="H2653" s="35" t="str">
        <f>IF(AND(I.Product.GasToPowerStatus="Yes",I.Gas.Y1Count&gt;=50,F2653=""),"Incomplete","Complete")</f>
        <v>Complete</v>
      </c>
      <c r="I2653" s="49" t="s">
        <v>2467</v>
      </c>
    </row>
    <row r="2654" spans="2:9" ht="15" customHeight="1" x14ac:dyDescent="0.25">
      <c r="B2654" s="26" t="s">
        <v>454</v>
      </c>
      <c r="C2654" s="1">
        <v>1</v>
      </c>
      <c r="D2654" s="27" t="s">
        <v>3361</v>
      </c>
      <c r="E2654" s="25"/>
      <c r="F2654" s="25" t="str">
        <f>IF(INDEX(I.Gas.Y1ElectricityGeneration,1)="","",INDEX(I.Gas.Y1ElectricityGeneration,1))</f>
        <v/>
      </c>
      <c r="G2654" s="25"/>
      <c r="H2654" s="1" t="str">
        <f>IF(AND(I.Product.GasToPowerStatus="Yes",I.Gas.Y1Count&gt;=1,F2654=""),"Incomplete","Complete")</f>
        <v>Complete</v>
      </c>
      <c r="I2654" s="48" t="s">
        <v>2468</v>
      </c>
    </row>
    <row r="2655" spans="2:9" ht="15" customHeight="1" x14ac:dyDescent="0.25">
      <c r="B2655" s="26" t="s">
        <v>454</v>
      </c>
      <c r="C2655" s="1">
        <v>2</v>
      </c>
      <c r="D2655" s="27" t="s">
        <v>3361</v>
      </c>
      <c r="E2655" s="25"/>
      <c r="F2655" s="25" t="str">
        <f>IF(INDEX(I.Gas.Y1ElectricityGeneration,2)="","",INDEX(I.Gas.Y1ElectricityGeneration,2))</f>
        <v/>
      </c>
      <c r="G2655" s="25"/>
      <c r="H2655" s="1" t="str">
        <f>IF(AND(I.Product.GasToPowerStatus="Yes",I.Gas.Y1Count&gt;=2,F2655=""),"Incomplete","Complete")</f>
        <v>Complete</v>
      </c>
      <c r="I2655" s="48" t="s">
        <v>2469</v>
      </c>
    </row>
    <row r="2656" spans="2:9" ht="15" customHeight="1" x14ac:dyDescent="0.25">
      <c r="B2656" s="26" t="s">
        <v>454</v>
      </c>
      <c r="C2656" s="1">
        <v>3</v>
      </c>
      <c r="D2656" s="27" t="s">
        <v>3361</v>
      </c>
      <c r="E2656" s="25"/>
      <c r="F2656" s="25" t="str">
        <f>IF(INDEX(I.Gas.Y1ElectricityGeneration,3)="","",INDEX(I.Gas.Y1ElectricityGeneration,3))</f>
        <v/>
      </c>
      <c r="G2656" s="25"/>
      <c r="H2656" s="1" t="str">
        <f>IF(AND(I.Product.GasToPowerStatus="Yes",I.Gas.Y1Count&gt;=3,F2656=""),"Incomplete","Complete")</f>
        <v>Complete</v>
      </c>
      <c r="I2656" s="48" t="s">
        <v>2470</v>
      </c>
    </row>
    <row r="2657" spans="2:9" ht="15" customHeight="1" x14ac:dyDescent="0.25">
      <c r="B2657" s="26" t="s">
        <v>454</v>
      </c>
      <c r="C2657" s="1">
        <v>4</v>
      </c>
      <c r="D2657" s="27" t="s">
        <v>3361</v>
      </c>
      <c r="E2657" s="25"/>
      <c r="F2657" s="25" t="str">
        <f>IF(INDEX(I.Gas.Y1ElectricityGeneration,4)="","",INDEX(I.Gas.Y1ElectricityGeneration,4))</f>
        <v/>
      </c>
      <c r="G2657" s="25"/>
      <c r="H2657" s="1" t="str">
        <f>IF(AND(I.Product.GasToPowerStatus="Yes",I.Gas.Y1Count&gt;=4,F2657=""),"Incomplete","Complete")</f>
        <v>Complete</v>
      </c>
      <c r="I2657" s="48" t="s">
        <v>2471</v>
      </c>
    </row>
    <row r="2658" spans="2:9" ht="15" customHeight="1" x14ac:dyDescent="0.25">
      <c r="B2658" s="26" t="s">
        <v>454</v>
      </c>
      <c r="C2658" s="1">
        <v>5</v>
      </c>
      <c r="D2658" s="27" t="s">
        <v>3361</v>
      </c>
      <c r="E2658" s="25"/>
      <c r="F2658" s="25" t="str">
        <f>IF(INDEX(I.Gas.Y1ElectricityGeneration,5)="","",INDEX(I.Gas.Y1ElectricityGeneration,5))</f>
        <v/>
      </c>
      <c r="G2658" s="25"/>
      <c r="H2658" s="1" t="str">
        <f>IF(AND(I.Product.GasToPowerStatus="Yes",I.Gas.Y1Count&gt;=5,F2658=""),"Incomplete","Complete")</f>
        <v>Complete</v>
      </c>
      <c r="I2658" s="48" t="s">
        <v>2472</v>
      </c>
    </row>
    <row r="2659" spans="2:9" ht="15" customHeight="1" x14ac:dyDescent="0.25">
      <c r="B2659" s="26" t="s">
        <v>454</v>
      </c>
      <c r="C2659" s="1">
        <v>6</v>
      </c>
      <c r="D2659" s="27" t="s">
        <v>3361</v>
      </c>
      <c r="E2659" s="25"/>
      <c r="F2659" s="25" t="str">
        <f>IF(INDEX(I.Gas.Y1ElectricityGeneration,6)="","",INDEX(I.Gas.Y1ElectricityGeneration,6))</f>
        <v/>
      </c>
      <c r="G2659" s="25"/>
      <c r="H2659" s="1" t="str">
        <f>IF(AND(I.Product.GasToPowerStatus="Yes",I.Gas.Y1Count&gt;=6,F2659=""),"Incomplete","Complete")</f>
        <v>Complete</v>
      </c>
      <c r="I2659" s="48" t="s">
        <v>2473</v>
      </c>
    </row>
    <row r="2660" spans="2:9" ht="15" customHeight="1" x14ac:dyDescent="0.25">
      <c r="B2660" s="26" t="s">
        <v>454</v>
      </c>
      <c r="C2660" s="1">
        <v>7</v>
      </c>
      <c r="D2660" s="27" t="s">
        <v>3361</v>
      </c>
      <c r="E2660" s="25"/>
      <c r="F2660" s="25" t="str">
        <f>IF(INDEX(I.Gas.Y1ElectricityGeneration,7)="","",INDEX(I.Gas.Y1ElectricityGeneration,7))</f>
        <v/>
      </c>
      <c r="G2660" s="25"/>
      <c r="H2660" s="1" t="str">
        <f>IF(AND(I.Product.GasToPowerStatus="Yes",I.Gas.Y1Count&gt;=7,F2660=""),"Incomplete","Complete")</f>
        <v>Complete</v>
      </c>
      <c r="I2660" s="48" t="s">
        <v>2474</v>
      </c>
    </row>
    <row r="2661" spans="2:9" ht="15" customHeight="1" x14ac:dyDescent="0.25">
      <c r="B2661" s="26" t="s">
        <v>454</v>
      </c>
      <c r="C2661" s="1">
        <v>8</v>
      </c>
      <c r="D2661" s="27" t="s">
        <v>3361</v>
      </c>
      <c r="E2661" s="25"/>
      <c r="F2661" s="25" t="str">
        <f>IF(INDEX(I.Gas.Y1ElectricityGeneration,8)="","",INDEX(I.Gas.Y1ElectricityGeneration,8))</f>
        <v/>
      </c>
      <c r="G2661" s="25"/>
      <c r="H2661" s="1" t="str">
        <f>IF(AND(I.Product.GasToPowerStatus="Yes",I.Gas.Y1Count&gt;=8,F2661=""),"Incomplete","Complete")</f>
        <v>Complete</v>
      </c>
      <c r="I2661" s="48" t="s">
        <v>2475</v>
      </c>
    </row>
    <row r="2662" spans="2:9" ht="15" customHeight="1" x14ac:dyDescent="0.25">
      <c r="B2662" s="26" t="s">
        <v>454</v>
      </c>
      <c r="C2662" s="1">
        <v>9</v>
      </c>
      <c r="D2662" s="27" t="s">
        <v>3361</v>
      </c>
      <c r="E2662" s="25"/>
      <c r="F2662" s="25" t="str">
        <f>IF(INDEX(I.Gas.Y1ElectricityGeneration,9)="","",INDEX(I.Gas.Y1ElectricityGeneration,9))</f>
        <v/>
      </c>
      <c r="G2662" s="25"/>
      <c r="H2662" s="1" t="str">
        <f>IF(AND(I.Product.GasToPowerStatus="Yes",I.Gas.Y1Count&gt;=9,F2662=""),"Incomplete","Complete")</f>
        <v>Complete</v>
      </c>
      <c r="I2662" s="48" t="s">
        <v>2476</v>
      </c>
    </row>
    <row r="2663" spans="2:9" ht="15" customHeight="1" x14ac:dyDescent="0.25">
      <c r="B2663" s="26" t="s">
        <v>454</v>
      </c>
      <c r="C2663" s="1">
        <v>10</v>
      </c>
      <c r="D2663" s="27" t="s">
        <v>3361</v>
      </c>
      <c r="E2663" s="25"/>
      <c r="F2663" s="25" t="str">
        <f>IF(INDEX(I.Gas.Y1ElectricityGeneration,10)="","",INDEX(I.Gas.Y1ElectricityGeneration,10))</f>
        <v/>
      </c>
      <c r="G2663" s="25"/>
      <c r="H2663" s="1" t="str">
        <f>IF(AND(I.Product.GasToPowerStatus="Yes",I.Gas.Y1Count&gt;=10,F2663=""),"Incomplete","Complete")</f>
        <v>Complete</v>
      </c>
      <c r="I2663" s="48" t="s">
        <v>2477</v>
      </c>
    </row>
    <row r="2664" spans="2:9" ht="15" customHeight="1" x14ac:dyDescent="0.25">
      <c r="B2664" s="26" t="s">
        <v>454</v>
      </c>
      <c r="C2664" s="1">
        <v>11</v>
      </c>
      <c r="D2664" s="27" t="s">
        <v>3361</v>
      </c>
      <c r="E2664" s="25"/>
      <c r="F2664" s="25" t="str">
        <f>IF(INDEX(I.Gas.Y1ElectricityGeneration,11)="","",INDEX(I.Gas.Y1ElectricityGeneration,11))</f>
        <v/>
      </c>
      <c r="G2664" s="25"/>
      <c r="H2664" s="1" t="str">
        <f>IF(AND(I.Product.GasToPowerStatus="Yes",I.Gas.Y1Count&gt;=11,F2664=""),"Incomplete","Complete")</f>
        <v>Complete</v>
      </c>
      <c r="I2664" s="48" t="s">
        <v>2478</v>
      </c>
    </row>
    <row r="2665" spans="2:9" ht="15" customHeight="1" x14ac:dyDescent="0.25">
      <c r="B2665" s="26" t="s">
        <v>454</v>
      </c>
      <c r="C2665" s="1">
        <v>12</v>
      </c>
      <c r="D2665" s="27" t="s">
        <v>3361</v>
      </c>
      <c r="E2665" s="25"/>
      <c r="F2665" s="25" t="str">
        <f>IF(INDEX(I.Gas.Y1ElectricityGeneration,12)="","",INDEX(I.Gas.Y1ElectricityGeneration,12))</f>
        <v/>
      </c>
      <c r="G2665" s="25"/>
      <c r="H2665" s="1" t="str">
        <f>IF(AND(I.Product.GasToPowerStatus="Yes",I.Gas.Y1Count&gt;=12,F2665=""),"Incomplete","Complete")</f>
        <v>Complete</v>
      </c>
      <c r="I2665" s="48" t="s">
        <v>2479</v>
      </c>
    </row>
    <row r="2666" spans="2:9" ht="15" customHeight="1" x14ac:dyDescent="0.25">
      <c r="B2666" s="26" t="s">
        <v>454</v>
      </c>
      <c r="C2666" s="1">
        <v>13</v>
      </c>
      <c r="D2666" s="27" t="s">
        <v>3361</v>
      </c>
      <c r="E2666" s="25"/>
      <c r="F2666" s="25" t="str">
        <f>IF(INDEX(I.Gas.Y1ElectricityGeneration,13)="","",INDEX(I.Gas.Y1ElectricityGeneration,13))</f>
        <v/>
      </c>
      <c r="G2666" s="25"/>
      <c r="H2666" s="1" t="str">
        <f>IF(AND(I.Product.GasToPowerStatus="Yes",I.Gas.Y1Count&gt;=13,F2666=""),"Incomplete","Complete")</f>
        <v>Complete</v>
      </c>
      <c r="I2666" s="48" t="s">
        <v>2480</v>
      </c>
    </row>
    <row r="2667" spans="2:9" ht="15" customHeight="1" x14ac:dyDescent="0.25">
      <c r="B2667" s="26" t="s">
        <v>454</v>
      </c>
      <c r="C2667" s="1">
        <v>14</v>
      </c>
      <c r="D2667" s="27" t="s">
        <v>3361</v>
      </c>
      <c r="E2667" s="25"/>
      <c r="F2667" s="25" t="str">
        <f>IF(INDEX(I.Gas.Y1ElectricityGeneration,14)="","",INDEX(I.Gas.Y1ElectricityGeneration,14))</f>
        <v/>
      </c>
      <c r="G2667" s="25"/>
      <c r="H2667" s="1" t="str">
        <f>IF(AND(I.Product.GasToPowerStatus="Yes",I.Gas.Y1Count&gt;=14,F2667=""),"Incomplete","Complete")</f>
        <v>Complete</v>
      </c>
      <c r="I2667" s="48" t="s">
        <v>2481</v>
      </c>
    </row>
    <row r="2668" spans="2:9" ht="15" customHeight="1" x14ac:dyDescent="0.25">
      <c r="B2668" s="26" t="s">
        <v>454</v>
      </c>
      <c r="C2668" s="1">
        <v>15</v>
      </c>
      <c r="D2668" s="27" t="s">
        <v>3361</v>
      </c>
      <c r="E2668" s="25"/>
      <c r="F2668" s="25" t="str">
        <f>IF(INDEX(I.Gas.Y1ElectricityGeneration,15)="","",INDEX(I.Gas.Y1ElectricityGeneration,15))</f>
        <v/>
      </c>
      <c r="G2668" s="25"/>
      <c r="H2668" s="1" t="str">
        <f>IF(AND(I.Product.GasToPowerStatus="Yes",I.Gas.Y1Count&gt;=15,F2668=""),"Incomplete","Complete")</f>
        <v>Complete</v>
      </c>
      <c r="I2668" s="48" t="s">
        <v>2482</v>
      </c>
    </row>
    <row r="2669" spans="2:9" ht="15" customHeight="1" x14ac:dyDescent="0.25">
      <c r="B2669" s="26" t="s">
        <v>454</v>
      </c>
      <c r="C2669" s="1">
        <v>16</v>
      </c>
      <c r="D2669" s="27" t="s">
        <v>3361</v>
      </c>
      <c r="E2669" s="25"/>
      <c r="F2669" s="25" t="str">
        <f>IF(INDEX(I.Gas.Y1ElectricityGeneration,16)="","",INDEX(I.Gas.Y1ElectricityGeneration,16))</f>
        <v/>
      </c>
      <c r="G2669" s="25"/>
      <c r="H2669" s="1" t="str">
        <f>IF(AND(I.Product.GasToPowerStatus="Yes",I.Gas.Y1Count&gt;=16,F2669=""),"Incomplete","Complete")</f>
        <v>Complete</v>
      </c>
      <c r="I2669" s="48" t="s">
        <v>2483</v>
      </c>
    </row>
    <row r="2670" spans="2:9" ht="15" customHeight="1" x14ac:dyDescent="0.25">
      <c r="B2670" s="26" t="s">
        <v>454</v>
      </c>
      <c r="C2670" s="1">
        <v>17</v>
      </c>
      <c r="D2670" s="27" t="s">
        <v>3361</v>
      </c>
      <c r="E2670" s="25"/>
      <c r="F2670" s="25" t="str">
        <f>IF(INDEX(I.Gas.Y1ElectricityGeneration,17)="","",INDEX(I.Gas.Y1ElectricityGeneration,17))</f>
        <v/>
      </c>
      <c r="G2670" s="25"/>
      <c r="H2670" s="1" t="str">
        <f>IF(AND(I.Product.GasToPowerStatus="Yes",I.Gas.Y1Count&gt;=17,F2670=""),"Incomplete","Complete")</f>
        <v>Complete</v>
      </c>
      <c r="I2670" s="48" t="s">
        <v>2484</v>
      </c>
    </row>
    <row r="2671" spans="2:9" ht="15" customHeight="1" x14ac:dyDescent="0.25">
      <c r="B2671" s="26" t="s">
        <v>454</v>
      </c>
      <c r="C2671" s="1">
        <v>18</v>
      </c>
      <c r="D2671" s="27" t="s">
        <v>3361</v>
      </c>
      <c r="E2671" s="25"/>
      <c r="F2671" s="25" t="str">
        <f>IF(INDEX(I.Gas.Y1ElectricityGeneration,18)="","",INDEX(I.Gas.Y1ElectricityGeneration,18))</f>
        <v/>
      </c>
      <c r="G2671" s="25"/>
      <c r="H2671" s="1" t="str">
        <f>IF(AND(I.Product.GasToPowerStatus="Yes",I.Gas.Y1Count&gt;=18,F2671=""),"Incomplete","Complete")</f>
        <v>Complete</v>
      </c>
      <c r="I2671" s="48" t="s">
        <v>2485</v>
      </c>
    </row>
    <row r="2672" spans="2:9" ht="15" customHeight="1" x14ac:dyDescent="0.25">
      <c r="B2672" s="26" t="s">
        <v>454</v>
      </c>
      <c r="C2672" s="1">
        <v>19</v>
      </c>
      <c r="D2672" s="27" t="s">
        <v>3361</v>
      </c>
      <c r="E2672" s="25"/>
      <c r="F2672" s="25" t="str">
        <f>IF(INDEX(I.Gas.Y1ElectricityGeneration,19)="","",INDEX(I.Gas.Y1ElectricityGeneration,19))</f>
        <v/>
      </c>
      <c r="G2672" s="25"/>
      <c r="H2672" s="1" t="str">
        <f>IF(AND(I.Product.GasToPowerStatus="Yes",I.Gas.Y1Count&gt;=19,F2672=""),"Incomplete","Complete")</f>
        <v>Complete</v>
      </c>
      <c r="I2672" s="48" t="s">
        <v>2486</v>
      </c>
    </row>
    <row r="2673" spans="2:9" ht="15" customHeight="1" x14ac:dyDescent="0.25">
      <c r="B2673" s="26" t="s">
        <v>454</v>
      </c>
      <c r="C2673" s="1">
        <v>20</v>
      </c>
      <c r="D2673" s="27" t="s">
        <v>3361</v>
      </c>
      <c r="E2673" s="25"/>
      <c r="F2673" s="25" t="str">
        <f>IF(INDEX(I.Gas.Y1ElectricityGeneration,20)="","",INDEX(I.Gas.Y1ElectricityGeneration,20))</f>
        <v/>
      </c>
      <c r="G2673" s="25"/>
      <c r="H2673" s="1" t="str">
        <f>IF(AND(I.Product.GasToPowerStatus="Yes",I.Gas.Y1Count&gt;=20,F2673=""),"Incomplete","Complete")</f>
        <v>Complete</v>
      </c>
      <c r="I2673" s="48" t="s">
        <v>2487</v>
      </c>
    </row>
    <row r="2674" spans="2:9" ht="15" customHeight="1" x14ac:dyDescent="0.25">
      <c r="B2674" s="26" t="s">
        <v>454</v>
      </c>
      <c r="C2674" s="1">
        <v>21</v>
      </c>
      <c r="D2674" s="27" t="s">
        <v>3361</v>
      </c>
      <c r="E2674" s="25"/>
      <c r="F2674" s="25" t="str">
        <f>IF(INDEX(I.Gas.Y1ElectricityGeneration,21)="","",INDEX(I.Gas.Y1ElectricityGeneration,21))</f>
        <v/>
      </c>
      <c r="G2674" s="25"/>
      <c r="H2674" s="1" t="str">
        <f>IF(AND(I.Product.GasToPowerStatus="Yes",I.Gas.Y1Count&gt;=21,F2674=""),"Incomplete","Complete")</f>
        <v>Complete</v>
      </c>
      <c r="I2674" s="48" t="s">
        <v>2488</v>
      </c>
    </row>
    <row r="2675" spans="2:9" ht="15" customHeight="1" x14ac:dyDescent="0.25">
      <c r="B2675" s="26" t="s">
        <v>454</v>
      </c>
      <c r="C2675" s="1">
        <v>22</v>
      </c>
      <c r="D2675" s="27" t="s">
        <v>3361</v>
      </c>
      <c r="E2675" s="25"/>
      <c r="F2675" s="25" t="str">
        <f>IF(INDEX(I.Gas.Y1ElectricityGeneration,22)="","",INDEX(I.Gas.Y1ElectricityGeneration,22))</f>
        <v/>
      </c>
      <c r="G2675" s="25"/>
      <c r="H2675" s="1" t="str">
        <f>IF(AND(I.Product.GasToPowerStatus="Yes",I.Gas.Y1Count&gt;=22,F2675=""),"Incomplete","Complete")</f>
        <v>Complete</v>
      </c>
      <c r="I2675" s="48" t="s">
        <v>2489</v>
      </c>
    </row>
    <row r="2676" spans="2:9" ht="15" customHeight="1" x14ac:dyDescent="0.25">
      <c r="B2676" s="26" t="s">
        <v>454</v>
      </c>
      <c r="C2676" s="1">
        <v>23</v>
      </c>
      <c r="D2676" s="27" t="s">
        <v>3361</v>
      </c>
      <c r="E2676" s="25"/>
      <c r="F2676" s="25" t="str">
        <f>IF(INDEX(I.Gas.Y1ElectricityGeneration,23)="","",INDEX(I.Gas.Y1ElectricityGeneration,23))</f>
        <v/>
      </c>
      <c r="G2676" s="25"/>
      <c r="H2676" s="1" t="str">
        <f>IF(AND(I.Product.GasToPowerStatus="Yes",I.Gas.Y1Count&gt;=23,F2676=""),"Incomplete","Complete")</f>
        <v>Complete</v>
      </c>
      <c r="I2676" s="48" t="s">
        <v>2490</v>
      </c>
    </row>
    <row r="2677" spans="2:9" ht="15" customHeight="1" x14ac:dyDescent="0.25">
      <c r="B2677" s="26" t="s">
        <v>454</v>
      </c>
      <c r="C2677" s="1">
        <v>24</v>
      </c>
      <c r="D2677" s="27" t="s">
        <v>3361</v>
      </c>
      <c r="E2677" s="25"/>
      <c r="F2677" s="25" t="str">
        <f>IF(INDEX(I.Gas.Y1ElectricityGeneration,24)="","",INDEX(I.Gas.Y1ElectricityGeneration,24))</f>
        <v/>
      </c>
      <c r="G2677" s="25"/>
      <c r="H2677" s="1" t="str">
        <f>IF(AND(I.Product.GasToPowerStatus="Yes",I.Gas.Y1Count&gt;=24,F2677=""),"Incomplete","Complete")</f>
        <v>Complete</v>
      </c>
      <c r="I2677" s="48" t="s">
        <v>2491</v>
      </c>
    </row>
    <row r="2678" spans="2:9" ht="15" customHeight="1" x14ac:dyDescent="0.25">
      <c r="B2678" s="26" t="s">
        <v>454</v>
      </c>
      <c r="C2678" s="1">
        <v>25</v>
      </c>
      <c r="D2678" s="27" t="s">
        <v>3361</v>
      </c>
      <c r="E2678" s="25"/>
      <c r="F2678" s="25" t="str">
        <f>IF(INDEX(I.Gas.Y1ElectricityGeneration,25)="","",INDEX(I.Gas.Y1ElectricityGeneration,25))</f>
        <v/>
      </c>
      <c r="G2678" s="25"/>
      <c r="H2678" s="1" t="str">
        <f>IF(AND(I.Product.GasToPowerStatus="Yes",I.Gas.Y1Count&gt;=25,F2678=""),"Incomplete","Complete")</f>
        <v>Complete</v>
      </c>
      <c r="I2678" s="48" t="s">
        <v>2492</v>
      </c>
    </row>
    <row r="2679" spans="2:9" ht="15" customHeight="1" x14ac:dyDescent="0.25">
      <c r="B2679" s="26" t="s">
        <v>454</v>
      </c>
      <c r="C2679" s="1">
        <v>26</v>
      </c>
      <c r="D2679" s="27" t="s">
        <v>3361</v>
      </c>
      <c r="E2679" s="25"/>
      <c r="F2679" s="25" t="str">
        <f>IF(INDEX(I.Gas.Y1ElectricityGeneration,26)="","",INDEX(I.Gas.Y1ElectricityGeneration,26))</f>
        <v/>
      </c>
      <c r="G2679" s="25"/>
      <c r="H2679" s="1" t="str">
        <f>IF(AND(I.Product.GasToPowerStatus="Yes",I.Gas.Y1Count&gt;=26,F2679=""),"Incomplete","Complete")</f>
        <v>Complete</v>
      </c>
      <c r="I2679" s="48" t="s">
        <v>2493</v>
      </c>
    </row>
    <row r="2680" spans="2:9" ht="15" customHeight="1" x14ac:dyDescent="0.25">
      <c r="B2680" s="26" t="s">
        <v>454</v>
      </c>
      <c r="C2680" s="1">
        <v>27</v>
      </c>
      <c r="D2680" s="27" t="s">
        <v>3361</v>
      </c>
      <c r="E2680" s="25"/>
      <c r="F2680" s="25" t="str">
        <f>IF(INDEX(I.Gas.Y1ElectricityGeneration,27)="","",INDEX(I.Gas.Y1ElectricityGeneration,27))</f>
        <v/>
      </c>
      <c r="G2680" s="25"/>
      <c r="H2680" s="1" t="str">
        <f>IF(AND(I.Product.GasToPowerStatus="Yes",I.Gas.Y1Count&gt;=27,F2680=""),"Incomplete","Complete")</f>
        <v>Complete</v>
      </c>
      <c r="I2680" s="48" t="s">
        <v>2494</v>
      </c>
    </row>
    <row r="2681" spans="2:9" ht="15" customHeight="1" x14ac:dyDescent="0.25">
      <c r="B2681" s="26" t="s">
        <v>454</v>
      </c>
      <c r="C2681" s="1">
        <v>28</v>
      </c>
      <c r="D2681" s="27" t="s">
        <v>3361</v>
      </c>
      <c r="E2681" s="25"/>
      <c r="F2681" s="25" t="str">
        <f>IF(INDEX(I.Gas.Y1ElectricityGeneration,28)="","",INDEX(I.Gas.Y1ElectricityGeneration,28))</f>
        <v/>
      </c>
      <c r="G2681" s="25"/>
      <c r="H2681" s="1" t="str">
        <f>IF(AND(I.Product.GasToPowerStatus="Yes",I.Gas.Y1Count&gt;=28,F2681=""),"Incomplete","Complete")</f>
        <v>Complete</v>
      </c>
      <c r="I2681" s="48" t="s">
        <v>2495</v>
      </c>
    </row>
    <row r="2682" spans="2:9" ht="15" customHeight="1" x14ac:dyDescent="0.25">
      <c r="B2682" s="26" t="s">
        <v>454</v>
      </c>
      <c r="C2682" s="1">
        <v>29</v>
      </c>
      <c r="D2682" s="27" t="s">
        <v>3361</v>
      </c>
      <c r="E2682" s="25"/>
      <c r="F2682" s="25" t="str">
        <f>IF(INDEX(I.Gas.Y1ElectricityGeneration,29)="","",INDEX(I.Gas.Y1ElectricityGeneration,29))</f>
        <v/>
      </c>
      <c r="G2682" s="25"/>
      <c r="H2682" s="1" t="str">
        <f>IF(AND(I.Product.GasToPowerStatus="Yes",I.Gas.Y1Count&gt;=29,F2682=""),"Incomplete","Complete")</f>
        <v>Complete</v>
      </c>
      <c r="I2682" s="48" t="s">
        <v>2496</v>
      </c>
    </row>
    <row r="2683" spans="2:9" ht="15" customHeight="1" x14ac:dyDescent="0.25">
      <c r="B2683" s="26" t="s">
        <v>454</v>
      </c>
      <c r="C2683" s="1">
        <v>30</v>
      </c>
      <c r="D2683" s="27" t="s">
        <v>3361</v>
      </c>
      <c r="E2683" s="25"/>
      <c r="F2683" s="25" t="str">
        <f>IF(INDEX(I.Gas.Y1ElectricityGeneration,30)="","",INDEX(I.Gas.Y1ElectricityGeneration,30))</f>
        <v/>
      </c>
      <c r="G2683" s="25"/>
      <c r="H2683" s="1" t="str">
        <f>IF(AND(I.Product.GasToPowerStatus="Yes",I.Gas.Y1Count&gt;=30,F2683=""),"Incomplete","Complete")</f>
        <v>Complete</v>
      </c>
      <c r="I2683" s="48" t="s">
        <v>2497</v>
      </c>
    </row>
    <row r="2684" spans="2:9" ht="15" customHeight="1" x14ac:dyDescent="0.25">
      <c r="B2684" s="26" t="s">
        <v>454</v>
      </c>
      <c r="C2684" s="1">
        <v>31</v>
      </c>
      <c r="D2684" s="27" t="s">
        <v>3361</v>
      </c>
      <c r="E2684" s="25"/>
      <c r="F2684" s="25" t="str">
        <f>IF(INDEX(I.Gas.Y1ElectricityGeneration,31)="","",INDEX(I.Gas.Y1ElectricityGeneration,31))</f>
        <v/>
      </c>
      <c r="G2684" s="25"/>
      <c r="H2684" s="1" t="str">
        <f>IF(AND(I.Product.GasToPowerStatus="Yes",I.Gas.Y1Count&gt;=31,F2684=""),"Incomplete","Complete")</f>
        <v>Complete</v>
      </c>
      <c r="I2684" s="48" t="s">
        <v>2498</v>
      </c>
    </row>
    <row r="2685" spans="2:9" ht="15" customHeight="1" x14ac:dyDescent="0.25">
      <c r="B2685" s="26" t="s">
        <v>454</v>
      </c>
      <c r="C2685" s="1">
        <v>32</v>
      </c>
      <c r="D2685" s="27" t="s">
        <v>3361</v>
      </c>
      <c r="E2685" s="25"/>
      <c r="F2685" s="25" t="str">
        <f>IF(INDEX(I.Gas.Y1ElectricityGeneration,32)="","",INDEX(I.Gas.Y1ElectricityGeneration,32))</f>
        <v/>
      </c>
      <c r="G2685" s="25"/>
      <c r="H2685" s="1" t="str">
        <f>IF(AND(I.Product.GasToPowerStatus="Yes",I.Gas.Y1Count&gt;=32,F2685=""),"Incomplete","Complete")</f>
        <v>Complete</v>
      </c>
      <c r="I2685" s="48" t="s">
        <v>2499</v>
      </c>
    </row>
    <row r="2686" spans="2:9" ht="15" customHeight="1" x14ac:dyDescent="0.25">
      <c r="B2686" s="26" t="s">
        <v>454</v>
      </c>
      <c r="C2686" s="1">
        <v>33</v>
      </c>
      <c r="D2686" s="27" t="s">
        <v>3361</v>
      </c>
      <c r="E2686" s="25"/>
      <c r="F2686" s="25" t="str">
        <f>IF(INDEX(I.Gas.Y1ElectricityGeneration,33)="","",INDEX(I.Gas.Y1ElectricityGeneration,33))</f>
        <v/>
      </c>
      <c r="G2686" s="25"/>
      <c r="H2686" s="1" t="str">
        <f>IF(AND(I.Product.GasToPowerStatus="Yes",I.Gas.Y1Count&gt;=33,F2686=""),"Incomplete","Complete")</f>
        <v>Complete</v>
      </c>
      <c r="I2686" s="48" t="s">
        <v>2500</v>
      </c>
    </row>
    <row r="2687" spans="2:9" ht="15" customHeight="1" x14ac:dyDescent="0.25">
      <c r="B2687" s="26" t="s">
        <v>454</v>
      </c>
      <c r="C2687" s="1">
        <v>34</v>
      </c>
      <c r="D2687" s="27" t="s">
        <v>3361</v>
      </c>
      <c r="E2687" s="25"/>
      <c r="F2687" s="25" t="str">
        <f>IF(INDEX(I.Gas.Y1ElectricityGeneration,34)="","",INDEX(I.Gas.Y1ElectricityGeneration,34))</f>
        <v/>
      </c>
      <c r="G2687" s="25"/>
      <c r="H2687" s="1" t="str">
        <f>IF(AND(I.Product.GasToPowerStatus="Yes",I.Gas.Y1Count&gt;=34,F2687=""),"Incomplete","Complete")</f>
        <v>Complete</v>
      </c>
      <c r="I2687" s="48" t="s">
        <v>2501</v>
      </c>
    </row>
    <row r="2688" spans="2:9" ht="15" customHeight="1" x14ac:dyDescent="0.25">
      <c r="B2688" s="26" t="s">
        <v>454</v>
      </c>
      <c r="C2688" s="1">
        <v>35</v>
      </c>
      <c r="D2688" s="27" t="s">
        <v>3361</v>
      </c>
      <c r="E2688" s="25"/>
      <c r="F2688" s="25" t="str">
        <f>IF(INDEX(I.Gas.Y1ElectricityGeneration,35)="","",INDEX(I.Gas.Y1ElectricityGeneration,35))</f>
        <v/>
      </c>
      <c r="G2688" s="25"/>
      <c r="H2688" s="1" t="str">
        <f>IF(AND(I.Product.GasToPowerStatus="Yes",I.Gas.Y1Count&gt;=35,F2688=""),"Incomplete","Complete")</f>
        <v>Complete</v>
      </c>
      <c r="I2688" s="48" t="s">
        <v>2502</v>
      </c>
    </row>
    <row r="2689" spans="2:9" ht="15" customHeight="1" x14ac:dyDescent="0.25">
      <c r="B2689" s="26" t="s">
        <v>454</v>
      </c>
      <c r="C2689" s="1">
        <v>36</v>
      </c>
      <c r="D2689" s="27" t="s">
        <v>3361</v>
      </c>
      <c r="E2689" s="25"/>
      <c r="F2689" s="25" t="str">
        <f>IF(INDEX(I.Gas.Y1ElectricityGeneration,36)="","",INDEX(I.Gas.Y1ElectricityGeneration,36))</f>
        <v/>
      </c>
      <c r="G2689" s="25"/>
      <c r="H2689" s="1" t="str">
        <f>IF(AND(I.Product.GasToPowerStatus="Yes",I.Gas.Y1Count&gt;=36,F2689=""),"Incomplete","Complete")</f>
        <v>Complete</v>
      </c>
      <c r="I2689" s="48" t="s">
        <v>2503</v>
      </c>
    </row>
    <row r="2690" spans="2:9" ht="15" customHeight="1" x14ac:dyDescent="0.25">
      <c r="B2690" s="26" t="s">
        <v>454</v>
      </c>
      <c r="C2690" s="1">
        <v>37</v>
      </c>
      <c r="D2690" s="27" t="s">
        <v>3361</v>
      </c>
      <c r="E2690" s="25"/>
      <c r="F2690" s="25" t="str">
        <f>IF(INDEX(I.Gas.Y1ElectricityGeneration,37)="","",INDEX(I.Gas.Y1ElectricityGeneration,37))</f>
        <v/>
      </c>
      <c r="G2690" s="25"/>
      <c r="H2690" s="1" t="str">
        <f>IF(AND(I.Product.GasToPowerStatus="Yes",I.Gas.Y1Count&gt;=37,F2690=""),"Incomplete","Complete")</f>
        <v>Complete</v>
      </c>
      <c r="I2690" s="48" t="s">
        <v>2504</v>
      </c>
    </row>
    <row r="2691" spans="2:9" ht="15" customHeight="1" x14ac:dyDescent="0.25">
      <c r="B2691" s="26" t="s">
        <v>454</v>
      </c>
      <c r="C2691" s="1">
        <v>38</v>
      </c>
      <c r="D2691" s="27" t="s">
        <v>3361</v>
      </c>
      <c r="E2691" s="25"/>
      <c r="F2691" s="25" t="str">
        <f>IF(INDEX(I.Gas.Y1ElectricityGeneration,38)="","",INDEX(I.Gas.Y1ElectricityGeneration,38))</f>
        <v/>
      </c>
      <c r="G2691" s="25"/>
      <c r="H2691" s="1" t="str">
        <f>IF(AND(I.Product.GasToPowerStatus="Yes",I.Gas.Y1Count&gt;=38,F2691=""),"Incomplete","Complete")</f>
        <v>Complete</v>
      </c>
      <c r="I2691" s="48" t="s">
        <v>2505</v>
      </c>
    </row>
    <row r="2692" spans="2:9" ht="15" customHeight="1" x14ac:dyDescent="0.25">
      <c r="B2692" s="26" t="s">
        <v>454</v>
      </c>
      <c r="C2692" s="1">
        <v>39</v>
      </c>
      <c r="D2692" s="27" t="s">
        <v>3361</v>
      </c>
      <c r="E2692" s="25"/>
      <c r="F2692" s="25" t="str">
        <f>IF(INDEX(I.Gas.Y1ElectricityGeneration,39)="","",INDEX(I.Gas.Y1ElectricityGeneration,39))</f>
        <v/>
      </c>
      <c r="G2692" s="25"/>
      <c r="H2692" s="1" t="str">
        <f>IF(AND(I.Product.GasToPowerStatus="Yes",I.Gas.Y1Count&gt;=39,F2692=""),"Incomplete","Complete")</f>
        <v>Complete</v>
      </c>
      <c r="I2692" s="48" t="s">
        <v>2506</v>
      </c>
    </row>
    <row r="2693" spans="2:9" ht="15" customHeight="1" x14ac:dyDescent="0.25">
      <c r="B2693" s="26" t="s">
        <v>454</v>
      </c>
      <c r="C2693" s="1">
        <v>40</v>
      </c>
      <c r="D2693" s="27" t="s">
        <v>3361</v>
      </c>
      <c r="E2693" s="25"/>
      <c r="F2693" s="25" t="str">
        <f>IF(INDEX(I.Gas.Y1ElectricityGeneration,40)="","",INDEX(I.Gas.Y1ElectricityGeneration,40))</f>
        <v/>
      </c>
      <c r="G2693" s="25"/>
      <c r="H2693" s="1" t="str">
        <f>IF(AND(I.Product.GasToPowerStatus="Yes",I.Gas.Y1Count&gt;=40,F2693=""),"Incomplete","Complete")</f>
        <v>Complete</v>
      </c>
      <c r="I2693" s="48" t="s">
        <v>2507</v>
      </c>
    </row>
    <row r="2694" spans="2:9" ht="15" customHeight="1" x14ac:dyDescent="0.25">
      <c r="B2694" s="26" t="s">
        <v>454</v>
      </c>
      <c r="C2694" s="1">
        <v>41</v>
      </c>
      <c r="D2694" s="27" t="s">
        <v>3361</v>
      </c>
      <c r="E2694" s="25"/>
      <c r="F2694" s="25" t="str">
        <f>IF(INDEX(I.Gas.Y1ElectricityGeneration,41)="","",INDEX(I.Gas.Y1ElectricityGeneration,41))</f>
        <v/>
      </c>
      <c r="G2694" s="25"/>
      <c r="H2694" s="1" t="str">
        <f>IF(AND(I.Product.GasToPowerStatus="Yes",I.Gas.Y1Count&gt;=41,F2694=""),"Incomplete","Complete")</f>
        <v>Complete</v>
      </c>
      <c r="I2694" s="48" t="s">
        <v>2508</v>
      </c>
    </row>
    <row r="2695" spans="2:9" ht="15" customHeight="1" x14ac:dyDescent="0.25">
      <c r="B2695" s="26" t="s">
        <v>454</v>
      </c>
      <c r="C2695" s="1">
        <v>42</v>
      </c>
      <c r="D2695" s="27" t="s">
        <v>3361</v>
      </c>
      <c r="E2695" s="25"/>
      <c r="F2695" s="25" t="str">
        <f>IF(INDEX(I.Gas.Y1ElectricityGeneration,42)="","",INDEX(I.Gas.Y1ElectricityGeneration,42))</f>
        <v/>
      </c>
      <c r="G2695" s="25"/>
      <c r="H2695" s="1" t="str">
        <f>IF(AND(I.Product.GasToPowerStatus="Yes",I.Gas.Y1Count&gt;=42,F2695=""),"Incomplete","Complete")</f>
        <v>Complete</v>
      </c>
      <c r="I2695" s="48" t="s">
        <v>2509</v>
      </c>
    </row>
    <row r="2696" spans="2:9" ht="15" customHeight="1" x14ac:dyDescent="0.25">
      <c r="B2696" s="26" t="s">
        <v>454</v>
      </c>
      <c r="C2696" s="1">
        <v>43</v>
      </c>
      <c r="D2696" s="27" t="s">
        <v>3361</v>
      </c>
      <c r="E2696" s="25"/>
      <c r="F2696" s="25" t="str">
        <f>IF(INDEX(I.Gas.Y1ElectricityGeneration,43)="","",INDEX(I.Gas.Y1ElectricityGeneration,43))</f>
        <v/>
      </c>
      <c r="G2696" s="25"/>
      <c r="H2696" s="1" t="str">
        <f>IF(AND(I.Product.GasToPowerStatus="Yes",I.Gas.Y1Count&gt;=43,F2696=""),"Incomplete","Complete")</f>
        <v>Complete</v>
      </c>
      <c r="I2696" s="48" t="s">
        <v>2510</v>
      </c>
    </row>
    <row r="2697" spans="2:9" ht="15" customHeight="1" x14ac:dyDescent="0.25">
      <c r="B2697" s="26" t="s">
        <v>454</v>
      </c>
      <c r="C2697" s="1">
        <v>44</v>
      </c>
      <c r="D2697" s="27" t="s">
        <v>3361</v>
      </c>
      <c r="E2697" s="25"/>
      <c r="F2697" s="25" t="str">
        <f>IF(INDEX(I.Gas.Y1ElectricityGeneration,44)="","",INDEX(I.Gas.Y1ElectricityGeneration,44))</f>
        <v/>
      </c>
      <c r="G2697" s="25"/>
      <c r="H2697" s="1" t="str">
        <f>IF(AND(I.Product.GasToPowerStatus="Yes",I.Gas.Y1Count&gt;=44,F2697=""),"Incomplete","Complete")</f>
        <v>Complete</v>
      </c>
      <c r="I2697" s="48" t="s">
        <v>2511</v>
      </c>
    </row>
    <row r="2698" spans="2:9" ht="15" customHeight="1" x14ac:dyDescent="0.25">
      <c r="B2698" s="26" t="s">
        <v>454</v>
      </c>
      <c r="C2698" s="1">
        <v>45</v>
      </c>
      <c r="D2698" s="27" t="s">
        <v>3361</v>
      </c>
      <c r="E2698" s="25"/>
      <c r="F2698" s="25" t="str">
        <f>IF(INDEX(I.Gas.Y1ElectricityGeneration,45)="","",INDEX(I.Gas.Y1ElectricityGeneration,45))</f>
        <v/>
      </c>
      <c r="G2698" s="25"/>
      <c r="H2698" s="1" t="str">
        <f>IF(AND(I.Product.GasToPowerStatus="Yes",I.Gas.Y1Count&gt;=45,F2698=""),"Incomplete","Complete")</f>
        <v>Complete</v>
      </c>
      <c r="I2698" s="48" t="s">
        <v>2512</v>
      </c>
    </row>
    <row r="2699" spans="2:9" ht="15" customHeight="1" x14ac:dyDescent="0.25">
      <c r="B2699" s="26" t="s">
        <v>454</v>
      </c>
      <c r="C2699" s="1">
        <v>46</v>
      </c>
      <c r="D2699" s="27" t="s">
        <v>3361</v>
      </c>
      <c r="E2699" s="25"/>
      <c r="F2699" s="25" t="str">
        <f>IF(INDEX(I.Gas.Y1ElectricityGeneration,46)="","",INDEX(I.Gas.Y1ElectricityGeneration,46))</f>
        <v/>
      </c>
      <c r="G2699" s="25"/>
      <c r="H2699" s="1" t="str">
        <f>IF(AND(I.Product.GasToPowerStatus="Yes",I.Gas.Y1Count&gt;=46,F2699=""),"Incomplete","Complete")</f>
        <v>Complete</v>
      </c>
      <c r="I2699" s="48" t="s">
        <v>2513</v>
      </c>
    </row>
    <row r="2700" spans="2:9" ht="15" customHeight="1" x14ac:dyDescent="0.25">
      <c r="B2700" s="26" t="s">
        <v>454</v>
      </c>
      <c r="C2700" s="1">
        <v>47</v>
      </c>
      <c r="D2700" s="27" t="s">
        <v>3361</v>
      </c>
      <c r="E2700" s="25"/>
      <c r="F2700" s="25" t="str">
        <f>IF(INDEX(I.Gas.Y1ElectricityGeneration,47)="","",INDEX(I.Gas.Y1ElectricityGeneration,47))</f>
        <v/>
      </c>
      <c r="G2700" s="25"/>
      <c r="H2700" s="1" t="str">
        <f>IF(AND(I.Product.GasToPowerStatus="Yes",I.Gas.Y1Count&gt;=47,F2700=""),"Incomplete","Complete")</f>
        <v>Complete</v>
      </c>
      <c r="I2700" s="48" t="s">
        <v>2514</v>
      </c>
    </row>
    <row r="2701" spans="2:9" ht="15" customHeight="1" x14ac:dyDescent="0.25">
      <c r="B2701" s="26" t="s">
        <v>454</v>
      </c>
      <c r="C2701" s="1">
        <v>48</v>
      </c>
      <c r="D2701" s="27" t="s">
        <v>3361</v>
      </c>
      <c r="E2701" s="25"/>
      <c r="F2701" s="25" t="str">
        <f>IF(INDEX(I.Gas.Y1ElectricityGeneration,48)="","",INDEX(I.Gas.Y1ElectricityGeneration,48))</f>
        <v/>
      </c>
      <c r="G2701" s="25"/>
      <c r="H2701" s="1" t="str">
        <f>IF(AND(I.Product.GasToPowerStatus="Yes",I.Gas.Y1Count&gt;=48,F2701=""),"Incomplete","Complete")</f>
        <v>Complete</v>
      </c>
      <c r="I2701" s="48" t="s">
        <v>2515</v>
      </c>
    </row>
    <row r="2702" spans="2:9" ht="15" customHeight="1" x14ac:dyDescent="0.25">
      <c r="B2702" s="26" t="s">
        <v>454</v>
      </c>
      <c r="C2702" s="1">
        <v>49</v>
      </c>
      <c r="D2702" s="27" t="s">
        <v>3361</v>
      </c>
      <c r="E2702" s="25"/>
      <c r="F2702" s="25" t="str">
        <f>IF(INDEX(I.Gas.Y1ElectricityGeneration,49)="","",INDEX(I.Gas.Y1ElectricityGeneration,49))</f>
        <v/>
      </c>
      <c r="G2702" s="25"/>
      <c r="H2702" s="1" t="str">
        <f>IF(AND(I.Product.GasToPowerStatus="Yes",I.Gas.Y1Count&gt;=49,F2702=""),"Incomplete","Complete")</f>
        <v>Complete</v>
      </c>
      <c r="I2702" s="48" t="s">
        <v>2516</v>
      </c>
    </row>
    <row r="2703" spans="2:9" ht="15" customHeight="1" x14ac:dyDescent="0.25">
      <c r="B2703" s="34" t="s">
        <v>454</v>
      </c>
      <c r="C2703" s="35">
        <v>50</v>
      </c>
      <c r="D2703" s="46" t="s">
        <v>3361</v>
      </c>
      <c r="E2703" s="45"/>
      <c r="F2703" s="45" t="str">
        <f>IF(INDEX(I.Gas.Y1ElectricityGeneration,50)="","",INDEX(I.Gas.Y1ElectricityGeneration,50))</f>
        <v/>
      </c>
      <c r="G2703" s="45"/>
      <c r="H2703" s="35" t="str">
        <f>IF(AND(I.Product.GasToPowerStatus="Yes",I.Gas.Y1Count&gt;=50,F2703=""),"Incomplete","Complete")</f>
        <v>Complete</v>
      </c>
      <c r="I2703" s="49" t="s">
        <v>2517</v>
      </c>
    </row>
    <row r="2704" spans="2:9" ht="15" customHeight="1" x14ac:dyDescent="0.25">
      <c r="B2704" s="26" t="s">
        <v>455</v>
      </c>
      <c r="C2704" s="1">
        <v>1</v>
      </c>
      <c r="D2704" s="27" t="s">
        <v>3362</v>
      </c>
      <c r="E2704" s="25"/>
      <c r="F2704" s="25" t="str">
        <f>IF(INDEX(I.Gas.Y1C1E1,1)="","",INDEX(I.Gas.Y1C1E1,1))</f>
        <v/>
      </c>
      <c r="G2704" s="25"/>
      <c r="H2704" s="1" t="str">
        <f>IF(AND(I.Product.GasToPowerStatus="Yes",I.Gas.Y1Count&gt;=1,F2704=""),"Incomplete","Complete")</f>
        <v>Complete</v>
      </c>
      <c r="I2704" s="48" t="s">
        <v>2518</v>
      </c>
    </row>
    <row r="2705" spans="2:9" ht="15" customHeight="1" x14ac:dyDescent="0.25">
      <c r="B2705" s="26" t="s">
        <v>455</v>
      </c>
      <c r="C2705" s="1">
        <v>2</v>
      </c>
      <c r="D2705" s="27" t="s">
        <v>3362</v>
      </c>
      <c r="E2705" s="25"/>
      <c r="F2705" s="25" t="str">
        <f>IF(INDEX(I.Gas.Y1C1E1,2)="","",INDEX(I.Gas.Y1C1E1,2))</f>
        <v/>
      </c>
      <c r="G2705" s="25"/>
      <c r="H2705" s="1" t="str">
        <f>IF(AND(I.Product.GasToPowerStatus="Yes",I.Gas.Y1Count&gt;=2,F2705=""),"Incomplete","Complete")</f>
        <v>Complete</v>
      </c>
      <c r="I2705" s="48" t="s">
        <v>2519</v>
      </c>
    </row>
    <row r="2706" spans="2:9" ht="15" customHeight="1" x14ac:dyDescent="0.25">
      <c r="B2706" s="26" t="s">
        <v>455</v>
      </c>
      <c r="C2706" s="1">
        <v>3</v>
      </c>
      <c r="D2706" s="27" t="s">
        <v>3362</v>
      </c>
      <c r="E2706" s="25"/>
      <c r="F2706" s="25" t="str">
        <f>IF(INDEX(I.Gas.Y1C1E1,3)="","",INDEX(I.Gas.Y1C1E1,3))</f>
        <v/>
      </c>
      <c r="G2706" s="25"/>
      <c r="H2706" s="1" t="str">
        <f>IF(AND(I.Product.GasToPowerStatus="Yes",I.Gas.Y1Count&gt;=3,F2706=""),"Incomplete","Complete")</f>
        <v>Complete</v>
      </c>
      <c r="I2706" s="48" t="s">
        <v>2520</v>
      </c>
    </row>
    <row r="2707" spans="2:9" ht="15" customHeight="1" x14ac:dyDescent="0.25">
      <c r="B2707" s="26" t="s">
        <v>455</v>
      </c>
      <c r="C2707" s="1">
        <v>4</v>
      </c>
      <c r="D2707" s="27" t="s">
        <v>3362</v>
      </c>
      <c r="E2707" s="25"/>
      <c r="F2707" s="25" t="str">
        <f>IF(INDEX(I.Gas.Y1C1E1,4)="","",INDEX(I.Gas.Y1C1E1,4))</f>
        <v/>
      </c>
      <c r="G2707" s="25"/>
      <c r="H2707" s="1" t="str">
        <f>IF(AND(I.Product.GasToPowerStatus="Yes",I.Gas.Y1Count&gt;=4,F2707=""),"Incomplete","Complete")</f>
        <v>Complete</v>
      </c>
      <c r="I2707" s="48" t="s">
        <v>2521</v>
      </c>
    </row>
    <row r="2708" spans="2:9" ht="15" customHeight="1" x14ac:dyDescent="0.25">
      <c r="B2708" s="26" t="s">
        <v>455</v>
      </c>
      <c r="C2708" s="1">
        <v>5</v>
      </c>
      <c r="D2708" s="27" t="s">
        <v>3362</v>
      </c>
      <c r="E2708" s="25"/>
      <c r="F2708" s="25" t="str">
        <f>IF(INDEX(I.Gas.Y1C1E1,5)="","",INDEX(I.Gas.Y1C1E1,5))</f>
        <v/>
      </c>
      <c r="G2708" s="25"/>
      <c r="H2708" s="1" t="str">
        <f>IF(AND(I.Product.GasToPowerStatus="Yes",I.Gas.Y1Count&gt;=5,F2708=""),"Incomplete","Complete")</f>
        <v>Complete</v>
      </c>
      <c r="I2708" s="48" t="s">
        <v>2522</v>
      </c>
    </row>
    <row r="2709" spans="2:9" ht="15" customHeight="1" x14ac:dyDescent="0.25">
      <c r="B2709" s="26" t="s">
        <v>455</v>
      </c>
      <c r="C2709" s="1">
        <v>6</v>
      </c>
      <c r="D2709" s="27" t="s">
        <v>3362</v>
      </c>
      <c r="E2709" s="25"/>
      <c r="F2709" s="25" t="str">
        <f>IF(INDEX(I.Gas.Y1C1E1,6)="","",INDEX(I.Gas.Y1C1E1,6))</f>
        <v/>
      </c>
      <c r="G2709" s="25"/>
      <c r="H2709" s="1" t="str">
        <f>IF(AND(I.Product.GasToPowerStatus="Yes",I.Gas.Y1Count&gt;=6,F2709=""),"Incomplete","Complete")</f>
        <v>Complete</v>
      </c>
      <c r="I2709" s="48" t="s">
        <v>2523</v>
      </c>
    </row>
    <row r="2710" spans="2:9" ht="15" customHeight="1" x14ac:dyDescent="0.25">
      <c r="B2710" s="26" t="s">
        <v>455</v>
      </c>
      <c r="C2710" s="1">
        <v>7</v>
      </c>
      <c r="D2710" s="27" t="s">
        <v>3362</v>
      </c>
      <c r="E2710" s="25"/>
      <c r="F2710" s="25" t="str">
        <f>IF(INDEX(I.Gas.Y1C1E1,7)="","",INDEX(I.Gas.Y1C1E1,7))</f>
        <v/>
      </c>
      <c r="G2710" s="25"/>
      <c r="H2710" s="1" t="str">
        <f>IF(AND(I.Product.GasToPowerStatus="Yes",I.Gas.Y1Count&gt;=7,F2710=""),"Incomplete","Complete")</f>
        <v>Complete</v>
      </c>
      <c r="I2710" s="48" t="s">
        <v>2524</v>
      </c>
    </row>
    <row r="2711" spans="2:9" ht="15" customHeight="1" x14ac:dyDescent="0.25">
      <c r="B2711" s="26" t="s">
        <v>455</v>
      </c>
      <c r="C2711" s="1">
        <v>8</v>
      </c>
      <c r="D2711" s="27" t="s">
        <v>3362</v>
      </c>
      <c r="E2711" s="25"/>
      <c r="F2711" s="25" t="str">
        <f>IF(INDEX(I.Gas.Y1C1E1,8)="","",INDEX(I.Gas.Y1C1E1,8))</f>
        <v/>
      </c>
      <c r="G2711" s="25"/>
      <c r="H2711" s="1" t="str">
        <f>IF(AND(I.Product.GasToPowerStatus="Yes",I.Gas.Y1Count&gt;=8,F2711=""),"Incomplete","Complete")</f>
        <v>Complete</v>
      </c>
      <c r="I2711" s="48" t="s">
        <v>2525</v>
      </c>
    </row>
    <row r="2712" spans="2:9" ht="15" customHeight="1" x14ac:dyDescent="0.25">
      <c r="B2712" s="26" t="s">
        <v>455</v>
      </c>
      <c r="C2712" s="1">
        <v>9</v>
      </c>
      <c r="D2712" s="27" t="s">
        <v>3362</v>
      </c>
      <c r="E2712" s="25"/>
      <c r="F2712" s="25" t="str">
        <f>IF(INDEX(I.Gas.Y1C1E1,9)="","",INDEX(I.Gas.Y1C1E1,9))</f>
        <v/>
      </c>
      <c r="G2712" s="25"/>
      <c r="H2712" s="1" t="str">
        <f>IF(AND(I.Product.GasToPowerStatus="Yes",I.Gas.Y1Count&gt;=9,F2712=""),"Incomplete","Complete")</f>
        <v>Complete</v>
      </c>
      <c r="I2712" s="48" t="s">
        <v>2526</v>
      </c>
    </row>
    <row r="2713" spans="2:9" ht="15" customHeight="1" x14ac:dyDescent="0.25">
      <c r="B2713" s="26" t="s">
        <v>455</v>
      </c>
      <c r="C2713" s="1">
        <v>10</v>
      </c>
      <c r="D2713" s="27" t="s">
        <v>3362</v>
      </c>
      <c r="E2713" s="25"/>
      <c r="F2713" s="25" t="str">
        <f>IF(INDEX(I.Gas.Y1C1E1,10)="","",INDEX(I.Gas.Y1C1E1,10))</f>
        <v/>
      </c>
      <c r="G2713" s="25"/>
      <c r="H2713" s="1" t="str">
        <f>IF(AND(I.Product.GasToPowerStatus="Yes",I.Gas.Y1Count&gt;=10,F2713=""),"Incomplete","Complete")</f>
        <v>Complete</v>
      </c>
      <c r="I2713" s="48" t="s">
        <v>2527</v>
      </c>
    </row>
    <row r="2714" spans="2:9" ht="15" customHeight="1" x14ac:dyDescent="0.25">
      <c r="B2714" s="26" t="s">
        <v>455</v>
      </c>
      <c r="C2714" s="1">
        <v>11</v>
      </c>
      <c r="D2714" s="27" t="s">
        <v>3362</v>
      </c>
      <c r="E2714" s="25"/>
      <c r="F2714" s="25" t="str">
        <f>IF(INDEX(I.Gas.Y1C1E1,11)="","",INDEX(I.Gas.Y1C1E1,11))</f>
        <v/>
      </c>
      <c r="G2714" s="25"/>
      <c r="H2714" s="1" t="str">
        <f>IF(AND(I.Product.GasToPowerStatus="Yes",I.Gas.Y1Count&gt;=11,F2714=""),"Incomplete","Complete")</f>
        <v>Complete</v>
      </c>
      <c r="I2714" s="48" t="s">
        <v>2528</v>
      </c>
    </row>
    <row r="2715" spans="2:9" ht="15" customHeight="1" x14ac:dyDescent="0.25">
      <c r="B2715" s="26" t="s">
        <v>455</v>
      </c>
      <c r="C2715" s="1">
        <v>12</v>
      </c>
      <c r="D2715" s="27" t="s">
        <v>3362</v>
      </c>
      <c r="E2715" s="25"/>
      <c r="F2715" s="25" t="str">
        <f>IF(INDEX(I.Gas.Y1C1E1,12)="","",INDEX(I.Gas.Y1C1E1,12))</f>
        <v/>
      </c>
      <c r="G2715" s="25"/>
      <c r="H2715" s="1" t="str">
        <f>IF(AND(I.Product.GasToPowerStatus="Yes",I.Gas.Y1Count&gt;=12,F2715=""),"Incomplete","Complete")</f>
        <v>Complete</v>
      </c>
      <c r="I2715" s="48" t="s">
        <v>2529</v>
      </c>
    </row>
    <row r="2716" spans="2:9" ht="15" customHeight="1" x14ac:dyDescent="0.25">
      <c r="B2716" s="26" t="s">
        <v>455</v>
      </c>
      <c r="C2716" s="1">
        <v>13</v>
      </c>
      <c r="D2716" s="27" t="s">
        <v>3362</v>
      </c>
      <c r="E2716" s="25"/>
      <c r="F2716" s="25" t="str">
        <f>IF(INDEX(I.Gas.Y1C1E1,13)="","",INDEX(I.Gas.Y1C1E1,13))</f>
        <v/>
      </c>
      <c r="G2716" s="25"/>
      <c r="H2716" s="1" t="str">
        <f>IF(AND(I.Product.GasToPowerStatus="Yes",I.Gas.Y1Count&gt;=13,F2716=""),"Incomplete","Complete")</f>
        <v>Complete</v>
      </c>
      <c r="I2716" s="48" t="s">
        <v>2530</v>
      </c>
    </row>
    <row r="2717" spans="2:9" ht="15" customHeight="1" x14ac:dyDescent="0.25">
      <c r="B2717" s="26" t="s">
        <v>455</v>
      </c>
      <c r="C2717" s="1">
        <v>14</v>
      </c>
      <c r="D2717" s="27" t="s">
        <v>3362</v>
      </c>
      <c r="E2717" s="25"/>
      <c r="F2717" s="25" t="str">
        <f>IF(INDEX(I.Gas.Y1C1E1,14)="","",INDEX(I.Gas.Y1C1E1,14))</f>
        <v/>
      </c>
      <c r="G2717" s="25"/>
      <c r="H2717" s="1" t="str">
        <f>IF(AND(I.Product.GasToPowerStatus="Yes",I.Gas.Y1Count&gt;=14,F2717=""),"Incomplete","Complete")</f>
        <v>Complete</v>
      </c>
      <c r="I2717" s="48" t="s">
        <v>2531</v>
      </c>
    </row>
    <row r="2718" spans="2:9" ht="15" customHeight="1" x14ac:dyDescent="0.25">
      <c r="B2718" s="26" t="s">
        <v>455</v>
      </c>
      <c r="C2718" s="1">
        <v>15</v>
      </c>
      <c r="D2718" s="27" t="s">
        <v>3362</v>
      </c>
      <c r="E2718" s="25"/>
      <c r="F2718" s="25" t="str">
        <f>IF(INDEX(I.Gas.Y1C1E1,15)="","",INDEX(I.Gas.Y1C1E1,15))</f>
        <v/>
      </c>
      <c r="G2718" s="25"/>
      <c r="H2718" s="1" t="str">
        <f>IF(AND(I.Product.GasToPowerStatus="Yes",I.Gas.Y1Count&gt;=15,F2718=""),"Incomplete","Complete")</f>
        <v>Complete</v>
      </c>
      <c r="I2718" s="48" t="s">
        <v>2532</v>
      </c>
    </row>
    <row r="2719" spans="2:9" ht="15" customHeight="1" x14ac:dyDescent="0.25">
      <c r="B2719" s="26" t="s">
        <v>455</v>
      </c>
      <c r="C2719" s="1">
        <v>16</v>
      </c>
      <c r="D2719" s="27" t="s">
        <v>3362</v>
      </c>
      <c r="E2719" s="25"/>
      <c r="F2719" s="25" t="str">
        <f>IF(INDEX(I.Gas.Y1C1E1,16)="","",INDEX(I.Gas.Y1C1E1,16))</f>
        <v/>
      </c>
      <c r="G2719" s="25"/>
      <c r="H2719" s="1" t="str">
        <f>IF(AND(I.Product.GasToPowerStatus="Yes",I.Gas.Y1Count&gt;=16,F2719=""),"Incomplete","Complete")</f>
        <v>Complete</v>
      </c>
      <c r="I2719" s="48" t="s">
        <v>2533</v>
      </c>
    </row>
    <row r="2720" spans="2:9" ht="15" customHeight="1" x14ac:dyDescent="0.25">
      <c r="B2720" s="26" t="s">
        <v>455</v>
      </c>
      <c r="C2720" s="1">
        <v>17</v>
      </c>
      <c r="D2720" s="27" t="s">
        <v>3362</v>
      </c>
      <c r="E2720" s="25"/>
      <c r="F2720" s="25" t="str">
        <f>IF(INDEX(I.Gas.Y1C1E1,17)="","",INDEX(I.Gas.Y1C1E1,17))</f>
        <v/>
      </c>
      <c r="G2720" s="25"/>
      <c r="H2720" s="1" t="str">
        <f>IF(AND(I.Product.GasToPowerStatus="Yes",I.Gas.Y1Count&gt;=17,F2720=""),"Incomplete","Complete")</f>
        <v>Complete</v>
      </c>
      <c r="I2720" s="48" t="s">
        <v>2534</v>
      </c>
    </row>
    <row r="2721" spans="2:9" ht="15" customHeight="1" x14ac:dyDescent="0.25">
      <c r="B2721" s="26" t="s">
        <v>455</v>
      </c>
      <c r="C2721" s="1">
        <v>18</v>
      </c>
      <c r="D2721" s="27" t="s">
        <v>3362</v>
      </c>
      <c r="E2721" s="25"/>
      <c r="F2721" s="25" t="str">
        <f>IF(INDEX(I.Gas.Y1C1E1,18)="","",INDEX(I.Gas.Y1C1E1,18))</f>
        <v/>
      </c>
      <c r="G2721" s="25"/>
      <c r="H2721" s="1" t="str">
        <f>IF(AND(I.Product.GasToPowerStatus="Yes",I.Gas.Y1Count&gt;=18,F2721=""),"Incomplete","Complete")</f>
        <v>Complete</v>
      </c>
      <c r="I2721" s="48" t="s">
        <v>2535</v>
      </c>
    </row>
    <row r="2722" spans="2:9" ht="15" customHeight="1" x14ac:dyDescent="0.25">
      <c r="B2722" s="26" t="s">
        <v>455</v>
      </c>
      <c r="C2722" s="1">
        <v>19</v>
      </c>
      <c r="D2722" s="27" t="s">
        <v>3362</v>
      </c>
      <c r="E2722" s="25"/>
      <c r="F2722" s="25" t="str">
        <f>IF(INDEX(I.Gas.Y1C1E1,19)="","",INDEX(I.Gas.Y1C1E1,19))</f>
        <v/>
      </c>
      <c r="G2722" s="25"/>
      <c r="H2722" s="1" t="str">
        <f>IF(AND(I.Product.GasToPowerStatus="Yes",I.Gas.Y1Count&gt;=19,F2722=""),"Incomplete","Complete")</f>
        <v>Complete</v>
      </c>
      <c r="I2722" s="48" t="s">
        <v>2536</v>
      </c>
    </row>
    <row r="2723" spans="2:9" ht="15" customHeight="1" x14ac:dyDescent="0.25">
      <c r="B2723" s="26" t="s">
        <v>455</v>
      </c>
      <c r="C2723" s="1">
        <v>20</v>
      </c>
      <c r="D2723" s="27" t="s">
        <v>3362</v>
      </c>
      <c r="E2723" s="25"/>
      <c r="F2723" s="25" t="str">
        <f>IF(INDEX(I.Gas.Y1C1E1,20)="","",INDEX(I.Gas.Y1C1E1,20))</f>
        <v/>
      </c>
      <c r="G2723" s="25"/>
      <c r="H2723" s="1" t="str">
        <f>IF(AND(I.Product.GasToPowerStatus="Yes",I.Gas.Y1Count&gt;=20,F2723=""),"Incomplete","Complete")</f>
        <v>Complete</v>
      </c>
      <c r="I2723" s="48" t="s">
        <v>2537</v>
      </c>
    </row>
    <row r="2724" spans="2:9" ht="15" customHeight="1" x14ac:dyDescent="0.25">
      <c r="B2724" s="26" t="s">
        <v>455</v>
      </c>
      <c r="C2724" s="1">
        <v>21</v>
      </c>
      <c r="D2724" s="27" t="s">
        <v>3362</v>
      </c>
      <c r="E2724" s="25"/>
      <c r="F2724" s="25" t="str">
        <f>IF(INDEX(I.Gas.Y1C1E1,21)="","",INDEX(I.Gas.Y1C1E1,21))</f>
        <v/>
      </c>
      <c r="G2724" s="25"/>
      <c r="H2724" s="1" t="str">
        <f>IF(AND(I.Product.GasToPowerStatus="Yes",I.Gas.Y1Count&gt;=21,F2724=""),"Incomplete","Complete")</f>
        <v>Complete</v>
      </c>
      <c r="I2724" s="48" t="s">
        <v>2538</v>
      </c>
    </row>
    <row r="2725" spans="2:9" ht="15" customHeight="1" x14ac:dyDescent="0.25">
      <c r="B2725" s="26" t="s">
        <v>455</v>
      </c>
      <c r="C2725" s="1">
        <v>22</v>
      </c>
      <c r="D2725" s="27" t="s">
        <v>3362</v>
      </c>
      <c r="E2725" s="25"/>
      <c r="F2725" s="25" t="str">
        <f>IF(INDEX(I.Gas.Y1C1E1,22)="","",INDEX(I.Gas.Y1C1E1,22))</f>
        <v/>
      </c>
      <c r="G2725" s="25"/>
      <c r="H2725" s="1" t="str">
        <f>IF(AND(I.Product.GasToPowerStatus="Yes",I.Gas.Y1Count&gt;=22,F2725=""),"Incomplete","Complete")</f>
        <v>Complete</v>
      </c>
      <c r="I2725" s="48" t="s">
        <v>2539</v>
      </c>
    </row>
    <row r="2726" spans="2:9" ht="15" customHeight="1" x14ac:dyDescent="0.25">
      <c r="B2726" s="26" t="s">
        <v>455</v>
      </c>
      <c r="C2726" s="1">
        <v>23</v>
      </c>
      <c r="D2726" s="27" t="s">
        <v>3362</v>
      </c>
      <c r="E2726" s="25"/>
      <c r="F2726" s="25" t="str">
        <f>IF(INDEX(I.Gas.Y1C1E1,23)="","",INDEX(I.Gas.Y1C1E1,23))</f>
        <v/>
      </c>
      <c r="G2726" s="25"/>
      <c r="H2726" s="1" t="str">
        <f>IF(AND(I.Product.GasToPowerStatus="Yes",I.Gas.Y1Count&gt;=23,F2726=""),"Incomplete","Complete")</f>
        <v>Complete</v>
      </c>
      <c r="I2726" s="48" t="s">
        <v>2540</v>
      </c>
    </row>
    <row r="2727" spans="2:9" ht="15" customHeight="1" x14ac:dyDescent="0.25">
      <c r="B2727" s="26" t="s">
        <v>455</v>
      </c>
      <c r="C2727" s="1">
        <v>24</v>
      </c>
      <c r="D2727" s="27" t="s">
        <v>3362</v>
      </c>
      <c r="E2727" s="25"/>
      <c r="F2727" s="25" t="str">
        <f>IF(INDEX(I.Gas.Y1C1E1,24)="","",INDEX(I.Gas.Y1C1E1,24))</f>
        <v/>
      </c>
      <c r="G2727" s="25"/>
      <c r="H2727" s="1" t="str">
        <f>IF(AND(I.Product.GasToPowerStatus="Yes",I.Gas.Y1Count&gt;=24,F2727=""),"Incomplete","Complete")</f>
        <v>Complete</v>
      </c>
      <c r="I2727" s="48" t="s">
        <v>2541</v>
      </c>
    </row>
    <row r="2728" spans="2:9" ht="15" customHeight="1" x14ac:dyDescent="0.25">
      <c r="B2728" s="26" t="s">
        <v>455</v>
      </c>
      <c r="C2728" s="1">
        <v>25</v>
      </c>
      <c r="D2728" s="27" t="s">
        <v>3362</v>
      </c>
      <c r="E2728" s="25"/>
      <c r="F2728" s="25" t="str">
        <f>IF(INDEX(I.Gas.Y1C1E1,25)="","",INDEX(I.Gas.Y1C1E1,25))</f>
        <v/>
      </c>
      <c r="G2728" s="25"/>
      <c r="H2728" s="1" t="str">
        <f>IF(AND(I.Product.GasToPowerStatus="Yes",I.Gas.Y1Count&gt;=25,F2728=""),"Incomplete","Complete")</f>
        <v>Complete</v>
      </c>
      <c r="I2728" s="48" t="s">
        <v>2542</v>
      </c>
    </row>
    <row r="2729" spans="2:9" ht="15" customHeight="1" x14ac:dyDescent="0.25">
      <c r="B2729" s="26" t="s">
        <v>455</v>
      </c>
      <c r="C2729" s="1">
        <v>26</v>
      </c>
      <c r="D2729" s="27" t="s">
        <v>3362</v>
      </c>
      <c r="E2729" s="25"/>
      <c r="F2729" s="25" t="str">
        <f>IF(INDEX(I.Gas.Y1C1E1,26)="","",INDEX(I.Gas.Y1C1E1,26))</f>
        <v/>
      </c>
      <c r="G2729" s="25"/>
      <c r="H2729" s="1" t="str">
        <f>IF(AND(I.Product.GasToPowerStatus="Yes",I.Gas.Y1Count&gt;=26,F2729=""),"Incomplete","Complete")</f>
        <v>Complete</v>
      </c>
      <c r="I2729" s="48" t="s">
        <v>2543</v>
      </c>
    </row>
    <row r="2730" spans="2:9" ht="15" customHeight="1" x14ac:dyDescent="0.25">
      <c r="B2730" s="26" t="s">
        <v>455</v>
      </c>
      <c r="C2730" s="1">
        <v>27</v>
      </c>
      <c r="D2730" s="27" t="s">
        <v>3362</v>
      </c>
      <c r="E2730" s="25"/>
      <c r="F2730" s="25" t="str">
        <f>IF(INDEX(I.Gas.Y1C1E1,27)="","",INDEX(I.Gas.Y1C1E1,27))</f>
        <v/>
      </c>
      <c r="G2730" s="25"/>
      <c r="H2730" s="1" t="str">
        <f>IF(AND(I.Product.GasToPowerStatus="Yes",I.Gas.Y1Count&gt;=27,F2730=""),"Incomplete","Complete")</f>
        <v>Complete</v>
      </c>
      <c r="I2730" s="48" t="s">
        <v>2544</v>
      </c>
    </row>
    <row r="2731" spans="2:9" ht="15" customHeight="1" x14ac:dyDescent="0.25">
      <c r="B2731" s="26" t="s">
        <v>455</v>
      </c>
      <c r="C2731" s="1">
        <v>28</v>
      </c>
      <c r="D2731" s="27" t="s">
        <v>3362</v>
      </c>
      <c r="E2731" s="25"/>
      <c r="F2731" s="25" t="str">
        <f>IF(INDEX(I.Gas.Y1C1E1,28)="","",INDEX(I.Gas.Y1C1E1,28))</f>
        <v/>
      </c>
      <c r="G2731" s="25"/>
      <c r="H2731" s="1" t="str">
        <f>IF(AND(I.Product.GasToPowerStatus="Yes",I.Gas.Y1Count&gt;=28,F2731=""),"Incomplete","Complete")</f>
        <v>Complete</v>
      </c>
      <c r="I2731" s="48" t="s">
        <v>2545</v>
      </c>
    </row>
    <row r="2732" spans="2:9" ht="15" customHeight="1" x14ac:dyDescent="0.25">
      <c r="B2732" s="26" t="s">
        <v>455</v>
      </c>
      <c r="C2732" s="1">
        <v>29</v>
      </c>
      <c r="D2732" s="27" t="s">
        <v>3362</v>
      </c>
      <c r="E2732" s="25"/>
      <c r="F2732" s="25" t="str">
        <f>IF(INDEX(I.Gas.Y1C1E1,29)="","",INDEX(I.Gas.Y1C1E1,29))</f>
        <v/>
      </c>
      <c r="G2732" s="25"/>
      <c r="H2732" s="1" t="str">
        <f>IF(AND(I.Product.GasToPowerStatus="Yes",I.Gas.Y1Count&gt;=29,F2732=""),"Incomplete","Complete")</f>
        <v>Complete</v>
      </c>
      <c r="I2732" s="48" t="s">
        <v>2546</v>
      </c>
    </row>
    <row r="2733" spans="2:9" ht="15" customHeight="1" x14ac:dyDescent="0.25">
      <c r="B2733" s="26" t="s">
        <v>455</v>
      </c>
      <c r="C2733" s="1">
        <v>30</v>
      </c>
      <c r="D2733" s="27" t="s">
        <v>3362</v>
      </c>
      <c r="E2733" s="25"/>
      <c r="F2733" s="25" t="str">
        <f>IF(INDEX(I.Gas.Y1C1E1,30)="","",INDEX(I.Gas.Y1C1E1,30))</f>
        <v/>
      </c>
      <c r="G2733" s="25"/>
      <c r="H2733" s="1" t="str">
        <f>IF(AND(I.Product.GasToPowerStatus="Yes",I.Gas.Y1Count&gt;=30,F2733=""),"Incomplete","Complete")</f>
        <v>Complete</v>
      </c>
      <c r="I2733" s="48" t="s">
        <v>2547</v>
      </c>
    </row>
    <row r="2734" spans="2:9" ht="15" customHeight="1" x14ac:dyDescent="0.25">
      <c r="B2734" s="26" t="s">
        <v>455</v>
      </c>
      <c r="C2734" s="1">
        <v>31</v>
      </c>
      <c r="D2734" s="27" t="s">
        <v>3362</v>
      </c>
      <c r="E2734" s="25"/>
      <c r="F2734" s="25" t="str">
        <f>IF(INDEX(I.Gas.Y1C1E1,31)="","",INDEX(I.Gas.Y1C1E1,31))</f>
        <v/>
      </c>
      <c r="G2734" s="25"/>
      <c r="H2734" s="1" t="str">
        <f>IF(AND(I.Product.GasToPowerStatus="Yes",I.Gas.Y1Count&gt;=31,F2734=""),"Incomplete","Complete")</f>
        <v>Complete</v>
      </c>
      <c r="I2734" s="48" t="s">
        <v>2548</v>
      </c>
    </row>
    <row r="2735" spans="2:9" ht="15" customHeight="1" x14ac:dyDescent="0.25">
      <c r="B2735" s="26" t="s">
        <v>455</v>
      </c>
      <c r="C2735" s="1">
        <v>32</v>
      </c>
      <c r="D2735" s="27" t="s">
        <v>3362</v>
      </c>
      <c r="E2735" s="25"/>
      <c r="F2735" s="25" t="str">
        <f>IF(INDEX(I.Gas.Y1C1E1,32)="","",INDEX(I.Gas.Y1C1E1,32))</f>
        <v/>
      </c>
      <c r="G2735" s="25"/>
      <c r="H2735" s="1" t="str">
        <f>IF(AND(I.Product.GasToPowerStatus="Yes",I.Gas.Y1Count&gt;=32,F2735=""),"Incomplete","Complete")</f>
        <v>Complete</v>
      </c>
      <c r="I2735" s="48" t="s">
        <v>2549</v>
      </c>
    </row>
    <row r="2736" spans="2:9" ht="15" customHeight="1" x14ac:dyDescent="0.25">
      <c r="B2736" s="26" t="s">
        <v>455</v>
      </c>
      <c r="C2736" s="1">
        <v>33</v>
      </c>
      <c r="D2736" s="27" t="s">
        <v>3362</v>
      </c>
      <c r="E2736" s="25"/>
      <c r="F2736" s="25" t="str">
        <f>IF(INDEX(I.Gas.Y1C1E1,33)="","",INDEX(I.Gas.Y1C1E1,33))</f>
        <v/>
      </c>
      <c r="G2736" s="25"/>
      <c r="H2736" s="1" t="str">
        <f>IF(AND(I.Product.GasToPowerStatus="Yes",I.Gas.Y1Count&gt;=33,F2736=""),"Incomplete","Complete")</f>
        <v>Complete</v>
      </c>
      <c r="I2736" s="48" t="s">
        <v>2550</v>
      </c>
    </row>
    <row r="2737" spans="2:9" ht="15" customHeight="1" x14ac:dyDescent="0.25">
      <c r="B2737" s="26" t="s">
        <v>455</v>
      </c>
      <c r="C2737" s="1">
        <v>34</v>
      </c>
      <c r="D2737" s="27" t="s">
        <v>3362</v>
      </c>
      <c r="E2737" s="25"/>
      <c r="F2737" s="25" t="str">
        <f>IF(INDEX(I.Gas.Y1C1E1,34)="","",INDEX(I.Gas.Y1C1E1,34))</f>
        <v/>
      </c>
      <c r="G2737" s="25"/>
      <c r="H2737" s="1" t="str">
        <f>IF(AND(I.Product.GasToPowerStatus="Yes",I.Gas.Y1Count&gt;=34,F2737=""),"Incomplete","Complete")</f>
        <v>Complete</v>
      </c>
      <c r="I2737" s="48" t="s">
        <v>2551</v>
      </c>
    </row>
    <row r="2738" spans="2:9" ht="15" customHeight="1" x14ac:dyDescent="0.25">
      <c r="B2738" s="26" t="s">
        <v>455</v>
      </c>
      <c r="C2738" s="1">
        <v>35</v>
      </c>
      <c r="D2738" s="27" t="s">
        <v>3362</v>
      </c>
      <c r="E2738" s="25"/>
      <c r="F2738" s="25" t="str">
        <f>IF(INDEX(I.Gas.Y1C1E1,35)="","",INDEX(I.Gas.Y1C1E1,35))</f>
        <v/>
      </c>
      <c r="G2738" s="25"/>
      <c r="H2738" s="1" t="str">
        <f>IF(AND(I.Product.GasToPowerStatus="Yes",I.Gas.Y1Count&gt;=35,F2738=""),"Incomplete","Complete")</f>
        <v>Complete</v>
      </c>
      <c r="I2738" s="48" t="s">
        <v>2552</v>
      </c>
    </row>
    <row r="2739" spans="2:9" ht="15" customHeight="1" x14ac:dyDescent="0.25">
      <c r="B2739" s="26" t="s">
        <v>455</v>
      </c>
      <c r="C2739" s="1">
        <v>36</v>
      </c>
      <c r="D2739" s="27" t="s">
        <v>3362</v>
      </c>
      <c r="E2739" s="25"/>
      <c r="F2739" s="25" t="str">
        <f>IF(INDEX(I.Gas.Y1C1E1,36)="","",INDEX(I.Gas.Y1C1E1,36))</f>
        <v/>
      </c>
      <c r="G2739" s="25"/>
      <c r="H2739" s="1" t="str">
        <f>IF(AND(I.Product.GasToPowerStatus="Yes",I.Gas.Y1Count&gt;=36,F2739=""),"Incomplete","Complete")</f>
        <v>Complete</v>
      </c>
      <c r="I2739" s="48" t="s">
        <v>2553</v>
      </c>
    </row>
    <row r="2740" spans="2:9" ht="15" customHeight="1" x14ac:dyDescent="0.25">
      <c r="B2740" s="26" t="s">
        <v>455</v>
      </c>
      <c r="C2740" s="1">
        <v>37</v>
      </c>
      <c r="D2740" s="27" t="s">
        <v>3362</v>
      </c>
      <c r="E2740" s="25"/>
      <c r="F2740" s="25" t="str">
        <f>IF(INDEX(I.Gas.Y1C1E1,37)="","",INDEX(I.Gas.Y1C1E1,37))</f>
        <v/>
      </c>
      <c r="G2740" s="25"/>
      <c r="H2740" s="1" t="str">
        <f>IF(AND(I.Product.GasToPowerStatus="Yes",I.Gas.Y1Count&gt;=37,F2740=""),"Incomplete","Complete")</f>
        <v>Complete</v>
      </c>
      <c r="I2740" s="48" t="s">
        <v>2554</v>
      </c>
    </row>
    <row r="2741" spans="2:9" ht="15" customHeight="1" x14ac:dyDescent="0.25">
      <c r="B2741" s="26" t="s">
        <v>455</v>
      </c>
      <c r="C2741" s="1">
        <v>38</v>
      </c>
      <c r="D2741" s="27" t="s">
        <v>3362</v>
      </c>
      <c r="E2741" s="25"/>
      <c r="F2741" s="25" t="str">
        <f>IF(INDEX(I.Gas.Y1C1E1,38)="","",INDEX(I.Gas.Y1C1E1,38))</f>
        <v/>
      </c>
      <c r="G2741" s="25"/>
      <c r="H2741" s="1" t="str">
        <f>IF(AND(I.Product.GasToPowerStatus="Yes",I.Gas.Y1Count&gt;=38,F2741=""),"Incomplete","Complete")</f>
        <v>Complete</v>
      </c>
      <c r="I2741" s="48" t="s">
        <v>2555</v>
      </c>
    </row>
    <row r="2742" spans="2:9" ht="15" customHeight="1" x14ac:dyDescent="0.25">
      <c r="B2742" s="26" t="s">
        <v>455</v>
      </c>
      <c r="C2742" s="1">
        <v>39</v>
      </c>
      <c r="D2742" s="27" t="s">
        <v>3362</v>
      </c>
      <c r="E2742" s="25"/>
      <c r="F2742" s="25" t="str">
        <f>IF(INDEX(I.Gas.Y1C1E1,39)="","",INDEX(I.Gas.Y1C1E1,39))</f>
        <v/>
      </c>
      <c r="G2742" s="25"/>
      <c r="H2742" s="1" t="str">
        <f>IF(AND(I.Product.GasToPowerStatus="Yes",I.Gas.Y1Count&gt;=39,F2742=""),"Incomplete","Complete")</f>
        <v>Complete</v>
      </c>
      <c r="I2742" s="48" t="s">
        <v>2556</v>
      </c>
    </row>
    <row r="2743" spans="2:9" ht="15" customHeight="1" x14ac:dyDescent="0.25">
      <c r="B2743" s="26" t="s">
        <v>455</v>
      </c>
      <c r="C2743" s="1">
        <v>40</v>
      </c>
      <c r="D2743" s="27" t="s">
        <v>3362</v>
      </c>
      <c r="E2743" s="25"/>
      <c r="F2743" s="25" t="str">
        <f>IF(INDEX(I.Gas.Y1C1E1,40)="","",INDEX(I.Gas.Y1C1E1,40))</f>
        <v/>
      </c>
      <c r="G2743" s="25"/>
      <c r="H2743" s="1" t="str">
        <f>IF(AND(I.Product.GasToPowerStatus="Yes",I.Gas.Y1Count&gt;=40,F2743=""),"Incomplete","Complete")</f>
        <v>Complete</v>
      </c>
      <c r="I2743" s="48" t="s">
        <v>2557</v>
      </c>
    </row>
    <row r="2744" spans="2:9" ht="15" customHeight="1" x14ac:dyDescent="0.25">
      <c r="B2744" s="26" t="s">
        <v>455</v>
      </c>
      <c r="C2744" s="1">
        <v>41</v>
      </c>
      <c r="D2744" s="27" t="s">
        <v>3362</v>
      </c>
      <c r="E2744" s="25"/>
      <c r="F2744" s="25" t="str">
        <f>IF(INDEX(I.Gas.Y1C1E1,41)="","",INDEX(I.Gas.Y1C1E1,41))</f>
        <v/>
      </c>
      <c r="G2744" s="25"/>
      <c r="H2744" s="1" t="str">
        <f>IF(AND(I.Product.GasToPowerStatus="Yes",I.Gas.Y1Count&gt;=41,F2744=""),"Incomplete","Complete")</f>
        <v>Complete</v>
      </c>
      <c r="I2744" s="48" t="s">
        <v>2558</v>
      </c>
    </row>
    <row r="2745" spans="2:9" ht="15" customHeight="1" x14ac:dyDescent="0.25">
      <c r="B2745" s="26" t="s">
        <v>455</v>
      </c>
      <c r="C2745" s="1">
        <v>42</v>
      </c>
      <c r="D2745" s="27" t="s">
        <v>3362</v>
      </c>
      <c r="E2745" s="25"/>
      <c r="F2745" s="25" t="str">
        <f>IF(INDEX(I.Gas.Y1C1E1,42)="","",INDEX(I.Gas.Y1C1E1,42))</f>
        <v/>
      </c>
      <c r="G2745" s="25"/>
      <c r="H2745" s="1" t="str">
        <f>IF(AND(I.Product.GasToPowerStatus="Yes",I.Gas.Y1Count&gt;=42,F2745=""),"Incomplete","Complete")</f>
        <v>Complete</v>
      </c>
      <c r="I2745" s="48" t="s">
        <v>2559</v>
      </c>
    </row>
    <row r="2746" spans="2:9" ht="15" customHeight="1" x14ac:dyDescent="0.25">
      <c r="B2746" s="26" t="s">
        <v>455</v>
      </c>
      <c r="C2746" s="1">
        <v>43</v>
      </c>
      <c r="D2746" s="27" t="s">
        <v>3362</v>
      </c>
      <c r="E2746" s="25"/>
      <c r="F2746" s="25" t="str">
        <f>IF(INDEX(I.Gas.Y1C1E1,43)="","",INDEX(I.Gas.Y1C1E1,43))</f>
        <v/>
      </c>
      <c r="G2746" s="25"/>
      <c r="H2746" s="1" t="str">
        <f>IF(AND(I.Product.GasToPowerStatus="Yes",I.Gas.Y1Count&gt;=43,F2746=""),"Incomplete","Complete")</f>
        <v>Complete</v>
      </c>
      <c r="I2746" s="48" t="s">
        <v>2560</v>
      </c>
    </row>
    <row r="2747" spans="2:9" ht="15" customHeight="1" x14ac:dyDescent="0.25">
      <c r="B2747" s="26" t="s">
        <v>455</v>
      </c>
      <c r="C2747" s="1">
        <v>44</v>
      </c>
      <c r="D2747" s="27" t="s">
        <v>3362</v>
      </c>
      <c r="E2747" s="25"/>
      <c r="F2747" s="25" t="str">
        <f>IF(INDEX(I.Gas.Y1C1E1,44)="","",INDEX(I.Gas.Y1C1E1,44))</f>
        <v/>
      </c>
      <c r="G2747" s="25"/>
      <c r="H2747" s="1" t="str">
        <f>IF(AND(I.Product.GasToPowerStatus="Yes",I.Gas.Y1Count&gt;=44,F2747=""),"Incomplete","Complete")</f>
        <v>Complete</v>
      </c>
      <c r="I2747" s="48" t="s">
        <v>2561</v>
      </c>
    </row>
    <row r="2748" spans="2:9" ht="15" customHeight="1" x14ac:dyDescent="0.25">
      <c r="B2748" s="26" t="s">
        <v>455</v>
      </c>
      <c r="C2748" s="1">
        <v>45</v>
      </c>
      <c r="D2748" s="27" t="s">
        <v>3362</v>
      </c>
      <c r="E2748" s="25"/>
      <c r="F2748" s="25" t="str">
        <f>IF(INDEX(I.Gas.Y1C1E1,45)="","",INDEX(I.Gas.Y1C1E1,45))</f>
        <v/>
      </c>
      <c r="G2748" s="25"/>
      <c r="H2748" s="1" t="str">
        <f>IF(AND(I.Product.GasToPowerStatus="Yes",I.Gas.Y1Count&gt;=45,F2748=""),"Incomplete","Complete")</f>
        <v>Complete</v>
      </c>
      <c r="I2748" s="48" t="s">
        <v>2562</v>
      </c>
    </row>
    <row r="2749" spans="2:9" ht="15" customHeight="1" x14ac:dyDescent="0.25">
      <c r="B2749" s="26" t="s">
        <v>455</v>
      </c>
      <c r="C2749" s="1">
        <v>46</v>
      </c>
      <c r="D2749" s="27" t="s">
        <v>3362</v>
      </c>
      <c r="E2749" s="25"/>
      <c r="F2749" s="25" t="str">
        <f>IF(INDEX(I.Gas.Y1C1E1,46)="","",INDEX(I.Gas.Y1C1E1,46))</f>
        <v/>
      </c>
      <c r="G2749" s="25"/>
      <c r="H2749" s="1" t="str">
        <f>IF(AND(I.Product.GasToPowerStatus="Yes",I.Gas.Y1Count&gt;=46,F2749=""),"Incomplete","Complete")</f>
        <v>Complete</v>
      </c>
      <c r="I2749" s="48" t="s">
        <v>2563</v>
      </c>
    </row>
    <row r="2750" spans="2:9" ht="15" customHeight="1" x14ac:dyDescent="0.25">
      <c r="B2750" s="26" t="s">
        <v>455</v>
      </c>
      <c r="C2750" s="1">
        <v>47</v>
      </c>
      <c r="D2750" s="27" t="s">
        <v>3362</v>
      </c>
      <c r="E2750" s="25"/>
      <c r="F2750" s="25" t="str">
        <f>IF(INDEX(I.Gas.Y1C1E1,47)="","",INDEX(I.Gas.Y1C1E1,47))</f>
        <v/>
      </c>
      <c r="G2750" s="25"/>
      <c r="H2750" s="1" t="str">
        <f>IF(AND(I.Product.GasToPowerStatus="Yes",I.Gas.Y1Count&gt;=47,F2750=""),"Incomplete","Complete")</f>
        <v>Complete</v>
      </c>
      <c r="I2750" s="48" t="s">
        <v>2564</v>
      </c>
    </row>
    <row r="2751" spans="2:9" ht="15" customHeight="1" x14ac:dyDescent="0.25">
      <c r="B2751" s="26" t="s">
        <v>455</v>
      </c>
      <c r="C2751" s="1">
        <v>48</v>
      </c>
      <c r="D2751" s="27" t="s">
        <v>3362</v>
      </c>
      <c r="E2751" s="25"/>
      <c r="F2751" s="25" t="str">
        <f>IF(INDEX(I.Gas.Y1C1E1,48)="","",INDEX(I.Gas.Y1C1E1,48))</f>
        <v/>
      </c>
      <c r="G2751" s="25"/>
      <c r="H2751" s="1" t="str">
        <f>IF(AND(I.Product.GasToPowerStatus="Yes",I.Gas.Y1Count&gt;=48,F2751=""),"Incomplete","Complete")</f>
        <v>Complete</v>
      </c>
      <c r="I2751" s="48" t="s">
        <v>2565</v>
      </c>
    </row>
    <row r="2752" spans="2:9" ht="15" customHeight="1" x14ac:dyDescent="0.25">
      <c r="B2752" s="26" t="s">
        <v>455</v>
      </c>
      <c r="C2752" s="1">
        <v>49</v>
      </c>
      <c r="D2752" s="27" t="s">
        <v>3362</v>
      </c>
      <c r="E2752" s="25"/>
      <c r="F2752" s="25" t="str">
        <f>IF(INDEX(I.Gas.Y1C1E1,49)="","",INDEX(I.Gas.Y1C1E1,49))</f>
        <v/>
      </c>
      <c r="G2752" s="25"/>
      <c r="H2752" s="1" t="str">
        <f>IF(AND(I.Product.GasToPowerStatus="Yes",I.Gas.Y1Count&gt;=49,F2752=""),"Incomplete","Complete")</f>
        <v>Complete</v>
      </c>
      <c r="I2752" s="48" t="s">
        <v>2566</v>
      </c>
    </row>
    <row r="2753" spans="2:9" ht="15" customHeight="1" x14ac:dyDescent="0.25">
      <c r="B2753" s="34" t="s">
        <v>455</v>
      </c>
      <c r="C2753" s="35">
        <v>50</v>
      </c>
      <c r="D2753" s="46" t="s">
        <v>3362</v>
      </c>
      <c r="E2753" s="45"/>
      <c r="F2753" s="45" t="str">
        <f>IF(INDEX(I.Gas.Y1C1E1,50)="","",INDEX(I.Gas.Y1C1E1,50))</f>
        <v/>
      </c>
      <c r="G2753" s="45"/>
      <c r="H2753" s="35" t="str">
        <f>IF(AND(I.Product.GasToPowerStatus="Yes",I.Gas.Y1Count&gt;=50,F2753=""),"Incomplete","Complete")</f>
        <v>Complete</v>
      </c>
      <c r="I2753" s="49" t="s">
        <v>2567</v>
      </c>
    </row>
    <row r="2754" spans="2:9" ht="15" customHeight="1" x14ac:dyDescent="0.25">
      <c r="B2754" s="26" t="s">
        <v>456</v>
      </c>
      <c r="C2754" s="1">
        <v>1</v>
      </c>
      <c r="D2754" s="27" t="s">
        <v>3363</v>
      </c>
      <c r="E2754" s="25"/>
      <c r="F2754" s="25" t="str">
        <f>IF(INDEX(I.Gas.Y1C1E2,1)="","",INDEX(I.Gas.Y1C1E2,1))</f>
        <v/>
      </c>
      <c r="G2754" s="25"/>
      <c r="H2754" s="1" t="str">
        <f>IF(AND(I.Product.GasToPowerStatus="Yes",I.Gas.Y1Count&gt;=1,F2754=""),"Incomplete","Complete")</f>
        <v>Complete</v>
      </c>
      <c r="I2754" s="48" t="s">
        <v>2568</v>
      </c>
    </row>
    <row r="2755" spans="2:9" ht="15" customHeight="1" x14ac:dyDescent="0.25">
      <c r="B2755" s="26" t="s">
        <v>456</v>
      </c>
      <c r="C2755" s="1">
        <v>2</v>
      </c>
      <c r="D2755" s="27" t="s">
        <v>3363</v>
      </c>
      <c r="E2755" s="25"/>
      <c r="F2755" s="25" t="str">
        <f>IF(INDEX(I.Gas.Y1C1E2,2)="","",INDEX(I.Gas.Y1C1E2,2))</f>
        <v/>
      </c>
      <c r="G2755" s="25"/>
      <c r="H2755" s="1" t="str">
        <f>IF(AND(I.Product.GasToPowerStatus="Yes",I.Gas.Y1Count&gt;=2,F2755=""),"Incomplete","Complete")</f>
        <v>Complete</v>
      </c>
      <c r="I2755" s="48" t="s">
        <v>2569</v>
      </c>
    </row>
    <row r="2756" spans="2:9" ht="15" customHeight="1" x14ac:dyDescent="0.25">
      <c r="B2756" s="26" t="s">
        <v>456</v>
      </c>
      <c r="C2756" s="1">
        <v>3</v>
      </c>
      <c r="D2756" s="27" t="s">
        <v>3363</v>
      </c>
      <c r="E2756" s="25"/>
      <c r="F2756" s="25" t="str">
        <f>IF(INDEX(I.Gas.Y1C1E2,3)="","",INDEX(I.Gas.Y1C1E2,3))</f>
        <v/>
      </c>
      <c r="G2756" s="25"/>
      <c r="H2756" s="1" t="str">
        <f>IF(AND(I.Product.GasToPowerStatus="Yes",I.Gas.Y1Count&gt;=3,F2756=""),"Incomplete","Complete")</f>
        <v>Complete</v>
      </c>
      <c r="I2756" s="48" t="s">
        <v>2570</v>
      </c>
    </row>
    <row r="2757" spans="2:9" ht="15" customHeight="1" x14ac:dyDescent="0.25">
      <c r="B2757" s="26" t="s">
        <v>456</v>
      </c>
      <c r="C2757" s="1">
        <v>4</v>
      </c>
      <c r="D2757" s="27" t="s">
        <v>3363</v>
      </c>
      <c r="E2757" s="25"/>
      <c r="F2757" s="25" t="str">
        <f>IF(INDEX(I.Gas.Y1C1E2,4)="","",INDEX(I.Gas.Y1C1E2,4))</f>
        <v/>
      </c>
      <c r="G2757" s="25"/>
      <c r="H2757" s="1" t="str">
        <f>IF(AND(I.Product.GasToPowerStatus="Yes",I.Gas.Y1Count&gt;=4,F2757=""),"Incomplete","Complete")</f>
        <v>Complete</v>
      </c>
      <c r="I2757" s="48" t="s">
        <v>2571</v>
      </c>
    </row>
    <row r="2758" spans="2:9" ht="15" customHeight="1" x14ac:dyDescent="0.25">
      <c r="B2758" s="26" t="s">
        <v>456</v>
      </c>
      <c r="C2758" s="1">
        <v>5</v>
      </c>
      <c r="D2758" s="27" t="s">
        <v>3363</v>
      </c>
      <c r="E2758" s="25"/>
      <c r="F2758" s="25" t="str">
        <f>IF(INDEX(I.Gas.Y1C1E2,5)="","",INDEX(I.Gas.Y1C1E2,5))</f>
        <v/>
      </c>
      <c r="G2758" s="25"/>
      <c r="H2758" s="1" t="str">
        <f>IF(AND(I.Product.GasToPowerStatus="Yes",I.Gas.Y1Count&gt;=5,F2758=""),"Incomplete","Complete")</f>
        <v>Complete</v>
      </c>
      <c r="I2758" s="48" t="s">
        <v>2572</v>
      </c>
    </row>
    <row r="2759" spans="2:9" ht="15" customHeight="1" x14ac:dyDescent="0.25">
      <c r="B2759" s="26" t="s">
        <v>456</v>
      </c>
      <c r="C2759" s="1">
        <v>6</v>
      </c>
      <c r="D2759" s="27" t="s">
        <v>3363</v>
      </c>
      <c r="E2759" s="25"/>
      <c r="F2759" s="25" t="str">
        <f>IF(INDEX(I.Gas.Y1C1E2,6)="","",INDEX(I.Gas.Y1C1E2,6))</f>
        <v/>
      </c>
      <c r="G2759" s="25"/>
      <c r="H2759" s="1" t="str">
        <f>IF(AND(I.Product.GasToPowerStatus="Yes",I.Gas.Y1Count&gt;=6,F2759=""),"Incomplete","Complete")</f>
        <v>Complete</v>
      </c>
      <c r="I2759" s="48" t="s">
        <v>2573</v>
      </c>
    </row>
    <row r="2760" spans="2:9" ht="15" customHeight="1" x14ac:dyDescent="0.25">
      <c r="B2760" s="26" t="s">
        <v>456</v>
      </c>
      <c r="C2760" s="1">
        <v>7</v>
      </c>
      <c r="D2760" s="27" t="s">
        <v>3363</v>
      </c>
      <c r="E2760" s="25"/>
      <c r="F2760" s="25" t="str">
        <f>IF(INDEX(I.Gas.Y1C1E2,7)="","",INDEX(I.Gas.Y1C1E2,7))</f>
        <v/>
      </c>
      <c r="G2760" s="25"/>
      <c r="H2760" s="1" t="str">
        <f>IF(AND(I.Product.GasToPowerStatus="Yes",I.Gas.Y1Count&gt;=7,F2760=""),"Incomplete","Complete")</f>
        <v>Complete</v>
      </c>
      <c r="I2760" s="48" t="s">
        <v>2574</v>
      </c>
    </row>
    <row r="2761" spans="2:9" ht="15" customHeight="1" x14ac:dyDescent="0.25">
      <c r="B2761" s="26" t="s">
        <v>456</v>
      </c>
      <c r="C2761" s="1">
        <v>8</v>
      </c>
      <c r="D2761" s="27" t="s">
        <v>3363</v>
      </c>
      <c r="E2761" s="25"/>
      <c r="F2761" s="25" t="str">
        <f>IF(INDEX(I.Gas.Y1C1E2,8)="","",INDEX(I.Gas.Y1C1E2,8))</f>
        <v/>
      </c>
      <c r="G2761" s="25"/>
      <c r="H2761" s="1" t="str">
        <f>IF(AND(I.Product.GasToPowerStatus="Yes",I.Gas.Y1Count&gt;=8,F2761=""),"Incomplete","Complete")</f>
        <v>Complete</v>
      </c>
      <c r="I2761" s="48" t="s">
        <v>2575</v>
      </c>
    </row>
    <row r="2762" spans="2:9" ht="15" customHeight="1" x14ac:dyDescent="0.25">
      <c r="B2762" s="26" t="s">
        <v>456</v>
      </c>
      <c r="C2762" s="1">
        <v>9</v>
      </c>
      <c r="D2762" s="27" t="s">
        <v>3363</v>
      </c>
      <c r="E2762" s="25"/>
      <c r="F2762" s="25" t="str">
        <f>IF(INDEX(I.Gas.Y1C1E2,9)="","",INDEX(I.Gas.Y1C1E2,9))</f>
        <v/>
      </c>
      <c r="G2762" s="25"/>
      <c r="H2762" s="1" t="str">
        <f>IF(AND(I.Product.GasToPowerStatus="Yes",I.Gas.Y1Count&gt;=9,F2762=""),"Incomplete","Complete")</f>
        <v>Complete</v>
      </c>
      <c r="I2762" s="48" t="s">
        <v>2576</v>
      </c>
    </row>
    <row r="2763" spans="2:9" ht="15" customHeight="1" x14ac:dyDescent="0.25">
      <c r="B2763" s="26" t="s">
        <v>456</v>
      </c>
      <c r="C2763" s="1">
        <v>10</v>
      </c>
      <c r="D2763" s="27" t="s">
        <v>3363</v>
      </c>
      <c r="E2763" s="25"/>
      <c r="F2763" s="25" t="str">
        <f>IF(INDEX(I.Gas.Y1C1E2,10)="","",INDEX(I.Gas.Y1C1E2,10))</f>
        <v/>
      </c>
      <c r="G2763" s="25"/>
      <c r="H2763" s="1" t="str">
        <f>IF(AND(I.Product.GasToPowerStatus="Yes",I.Gas.Y1Count&gt;=10,F2763=""),"Incomplete","Complete")</f>
        <v>Complete</v>
      </c>
      <c r="I2763" s="48" t="s">
        <v>2577</v>
      </c>
    </row>
    <row r="2764" spans="2:9" ht="15" customHeight="1" x14ac:dyDescent="0.25">
      <c r="B2764" s="26" t="s">
        <v>456</v>
      </c>
      <c r="C2764" s="1">
        <v>11</v>
      </c>
      <c r="D2764" s="27" t="s">
        <v>3363</v>
      </c>
      <c r="E2764" s="25"/>
      <c r="F2764" s="25" t="str">
        <f>IF(INDEX(I.Gas.Y1C1E2,11)="","",INDEX(I.Gas.Y1C1E2,11))</f>
        <v/>
      </c>
      <c r="G2764" s="25"/>
      <c r="H2764" s="1" t="str">
        <f>IF(AND(I.Product.GasToPowerStatus="Yes",I.Gas.Y1Count&gt;=11,F2764=""),"Incomplete","Complete")</f>
        <v>Complete</v>
      </c>
      <c r="I2764" s="48" t="s">
        <v>2578</v>
      </c>
    </row>
    <row r="2765" spans="2:9" ht="15" customHeight="1" x14ac:dyDescent="0.25">
      <c r="B2765" s="26" t="s">
        <v>456</v>
      </c>
      <c r="C2765" s="1">
        <v>12</v>
      </c>
      <c r="D2765" s="27" t="s">
        <v>3363</v>
      </c>
      <c r="E2765" s="25"/>
      <c r="F2765" s="25" t="str">
        <f>IF(INDEX(I.Gas.Y1C1E2,12)="","",INDEX(I.Gas.Y1C1E2,12))</f>
        <v/>
      </c>
      <c r="G2765" s="25"/>
      <c r="H2765" s="1" t="str">
        <f>IF(AND(I.Product.GasToPowerStatus="Yes",I.Gas.Y1Count&gt;=12,F2765=""),"Incomplete","Complete")</f>
        <v>Complete</v>
      </c>
      <c r="I2765" s="48" t="s">
        <v>2579</v>
      </c>
    </row>
    <row r="2766" spans="2:9" ht="15" customHeight="1" x14ac:dyDescent="0.25">
      <c r="B2766" s="26" t="s">
        <v>456</v>
      </c>
      <c r="C2766" s="1">
        <v>13</v>
      </c>
      <c r="D2766" s="27" t="s">
        <v>3363</v>
      </c>
      <c r="E2766" s="25"/>
      <c r="F2766" s="25" t="str">
        <f>IF(INDEX(I.Gas.Y1C1E2,13)="","",INDEX(I.Gas.Y1C1E2,13))</f>
        <v/>
      </c>
      <c r="G2766" s="25"/>
      <c r="H2766" s="1" t="str">
        <f>IF(AND(I.Product.GasToPowerStatus="Yes",I.Gas.Y1Count&gt;=13,F2766=""),"Incomplete","Complete")</f>
        <v>Complete</v>
      </c>
      <c r="I2766" s="48" t="s">
        <v>2580</v>
      </c>
    </row>
    <row r="2767" spans="2:9" ht="15" customHeight="1" x14ac:dyDescent="0.25">
      <c r="B2767" s="26" t="s">
        <v>456</v>
      </c>
      <c r="C2767" s="1">
        <v>14</v>
      </c>
      <c r="D2767" s="27" t="s">
        <v>3363</v>
      </c>
      <c r="E2767" s="25"/>
      <c r="F2767" s="25" t="str">
        <f>IF(INDEX(I.Gas.Y1C1E2,14)="","",INDEX(I.Gas.Y1C1E2,14))</f>
        <v/>
      </c>
      <c r="G2767" s="25"/>
      <c r="H2767" s="1" t="str">
        <f>IF(AND(I.Product.GasToPowerStatus="Yes",I.Gas.Y1Count&gt;=14,F2767=""),"Incomplete","Complete")</f>
        <v>Complete</v>
      </c>
      <c r="I2767" s="48" t="s">
        <v>2581</v>
      </c>
    </row>
    <row r="2768" spans="2:9" ht="15" customHeight="1" x14ac:dyDescent="0.25">
      <c r="B2768" s="26" t="s">
        <v>456</v>
      </c>
      <c r="C2768" s="1">
        <v>15</v>
      </c>
      <c r="D2768" s="27" t="s">
        <v>3363</v>
      </c>
      <c r="E2768" s="25"/>
      <c r="F2768" s="25" t="str">
        <f>IF(INDEX(I.Gas.Y1C1E2,15)="","",INDEX(I.Gas.Y1C1E2,15))</f>
        <v/>
      </c>
      <c r="G2768" s="25"/>
      <c r="H2768" s="1" t="str">
        <f>IF(AND(I.Product.GasToPowerStatus="Yes",I.Gas.Y1Count&gt;=15,F2768=""),"Incomplete","Complete")</f>
        <v>Complete</v>
      </c>
      <c r="I2768" s="48" t="s">
        <v>2582</v>
      </c>
    </row>
    <row r="2769" spans="2:9" ht="15" customHeight="1" x14ac:dyDescent="0.25">
      <c r="B2769" s="26" t="s">
        <v>456</v>
      </c>
      <c r="C2769" s="1">
        <v>16</v>
      </c>
      <c r="D2769" s="27" t="s">
        <v>3363</v>
      </c>
      <c r="E2769" s="25"/>
      <c r="F2769" s="25" t="str">
        <f>IF(INDEX(I.Gas.Y1C1E2,16)="","",INDEX(I.Gas.Y1C1E2,16))</f>
        <v/>
      </c>
      <c r="G2769" s="25"/>
      <c r="H2769" s="1" t="str">
        <f>IF(AND(I.Product.GasToPowerStatus="Yes",I.Gas.Y1Count&gt;=16,F2769=""),"Incomplete","Complete")</f>
        <v>Complete</v>
      </c>
      <c r="I2769" s="48" t="s">
        <v>2583</v>
      </c>
    </row>
    <row r="2770" spans="2:9" ht="15" customHeight="1" x14ac:dyDescent="0.25">
      <c r="B2770" s="26" t="s">
        <v>456</v>
      </c>
      <c r="C2770" s="1">
        <v>17</v>
      </c>
      <c r="D2770" s="27" t="s">
        <v>3363</v>
      </c>
      <c r="E2770" s="25"/>
      <c r="F2770" s="25" t="str">
        <f>IF(INDEX(I.Gas.Y1C1E2,17)="","",INDEX(I.Gas.Y1C1E2,17))</f>
        <v/>
      </c>
      <c r="G2770" s="25"/>
      <c r="H2770" s="1" t="str">
        <f>IF(AND(I.Product.GasToPowerStatus="Yes",I.Gas.Y1Count&gt;=17,F2770=""),"Incomplete","Complete")</f>
        <v>Complete</v>
      </c>
      <c r="I2770" s="48" t="s">
        <v>2584</v>
      </c>
    </row>
    <row r="2771" spans="2:9" ht="15" customHeight="1" x14ac:dyDescent="0.25">
      <c r="B2771" s="26" t="s">
        <v>456</v>
      </c>
      <c r="C2771" s="1">
        <v>18</v>
      </c>
      <c r="D2771" s="27" t="s">
        <v>3363</v>
      </c>
      <c r="E2771" s="25"/>
      <c r="F2771" s="25" t="str">
        <f>IF(INDEX(I.Gas.Y1C1E2,18)="","",INDEX(I.Gas.Y1C1E2,18))</f>
        <v/>
      </c>
      <c r="G2771" s="25"/>
      <c r="H2771" s="1" t="str">
        <f>IF(AND(I.Product.GasToPowerStatus="Yes",I.Gas.Y1Count&gt;=18,F2771=""),"Incomplete","Complete")</f>
        <v>Complete</v>
      </c>
      <c r="I2771" s="48" t="s">
        <v>2585</v>
      </c>
    </row>
    <row r="2772" spans="2:9" ht="15" customHeight="1" x14ac:dyDescent="0.25">
      <c r="B2772" s="26" t="s">
        <v>456</v>
      </c>
      <c r="C2772" s="1">
        <v>19</v>
      </c>
      <c r="D2772" s="27" t="s">
        <v>3363</v>
      </c>
      <c r="E2772" s="25"/>
      <c r="F2772" s="25" t="str">
        <f>IF(INDEX(I.Gas.Y1C1E2,19)="","",INDEX(I.Gas.Y1C1E2,19))</f>
        <v/>
      </c>
      <c r="G2772" s="25"/>
      <c r="H2772" s="1" t="str">
        <f>IF(AND(I.Product.GasToPowerStatus="Yes",I.Gas.Y1Count&gt;=19,F2772=""),"Incomplete","Complete")</f>
        <v>Complete</v>
      </c>
      <c r="I2772" s="48" t="s">
        <v>2586</v>
      </c>
    </row>
    <row r="2773" spans="2:9" ht="15" customHeight="1" x14ac:dyDescent="0.25">
      <c r="B2773" s="26" t="s">
        <v>456</v>
      </c>
      <c r="C2773" s="1">
        <v>20</v>
      </c>
      <c r="D2773" s="27" t="s">
        <v>3363</v>
      </c>
      <c r="E2773" s="25"/>
      <c r="F2773" s="25" t="str">
        <f>IF(INDEX(I.Gas.Y1C1E2,20)="","",INDEX(I.Gas.Y1C1E2,20))</f>
        <v/>
      </c>
      <c r="G2773" s="25"/>
      <c r="H2773" s="1" t="str">
        <f>IF(AND(I.Product.GasToPowerStatus="Yes",I.Gas.Y1Count&gt;=20,F2773=""),"Incomplete","Complete")</f>
        <v>Complete</v>
      </c>
      <c r="I2773" s="48" t="s">
        <v>2587</v>
      </c>
    </row>
    <row r="2774" spans="2:9" ht="15" customHeight="1" x14ac:dyDescent="0.25">
      <c r="B2774" s="26" t="s">
        <v>456</v>
      </c>
      <c r="C2774" s="1">
        <v>21</v>
      </c>
      <c r="D2774" s="27" t="s">
        <v>3363</v>
      </c>
      <c r="E2774" s="25"/>
      <c r="F2774" s="25" t="str">
        <f>IF(INDEX(I.Gas.Y1C1E2,21)="","",INDEX(I.Gas.Y1C1E2,21))</f>
        <v/>
      </c>
      <c r="G2774" s="25"/>
      <c r="H2774" s="1" t="str">
        <f>IF(AND(I.Product.GasToPowerStatus="Yes",I.Gas.Y1Count&gt;=21,F2774=""),"Incomplete","Complete")</f>
        <v>Complete</v>
      </c>
      <c r="I2774" s="48" t="s">
        <v>2588</v>
      </c>
    </row>
    <row r="2775" spans="2:9" ht="15" customHeight="1" x14ac:dyDescent="0.25">
      <c r="B2775" s="26" t="s">
        <v>456</v>
      </c>
      <c r="C2775" s="1">
        <v>22</v>
      </c>
      <c r="D2775" s="27" t="s">
        <v>3363</v>
      </c>
      <c r="E2775" s="25"/>
      <c r="F2775" s="25" t="str">
        <f>IF(INDEX(I.Gas.Y1C1E2,22)="","",INDEX(I.Gas.Y1C1E2,22))</f>
        <v/>
      </c>
      <c r="G2775" s="25"/>
      <c r="H2775" s="1" t="str">
        <f>IF(AND(I.Product.GasToPowerStatus="Yes",I.Gas.Y1Count&gt;=22,F2775=""),"Incomplete","Complete")</f>
        <v>Complete</v>
      </c>
      <c r="I2775" s="48" t="s">
        <v>2589</v>
      </c>
    </row>
    <row r="2776" spans="2:9" ht="15" customHeight="1" x14ac:dyDescent="0.25">
      <c r="B2776" s="26" t="s">
        <v>456</v>
      </c>
      <c r="C2776" s="1">
        <v>23</v>
      </c>
      <c r="D2776" s="27" t="s">
        <v>3363</v>
      </c>
      <c r="E2776" s="25"/>
      <c r="F2776" s="25" t="str">
        <f>IF(INDEX(I.Gas.Y1C1E2,23)="","",INDEX(I.Gas.Y1C1E2,23))</f>
        <v/>
      </c>
      <c r="G2776" s="25"/>
      <c r="H2776" s="1" t="str">
        <f>IF(AND(I.Product.GasToPowerStatus="Yes",I.Gas.Y1Count&gt;=23,F2776=""),"Incomplete","Complete")</f>
        <v>Complete</v>
      </c>
      <c r="I2776" s="48" t="s">
        <v>2590</v>
      </c>
    </row>
    <row r="2777" spans="2:9" ht="15" customHeight="1" x14ac:dyDescent="0.25">
      <c r="B2777" s="26" t="s">
        <v>456</v>
      </c>
      <c r="C2777" s="1">
        <v>24</v>
      </c>
      <c r="D2777" s="27" t="s">
        <v>3363</v>
      </c>
      <c r="E2777" s="25"/>
      <c r="F2777" s="25" t="str">
        <f>IF(INDEX(I.Gas.Y1C1E2,24)="","",INDEX(I.Gas.Y1C1E2,24))</f>
        <v/>
      </c>
      <c r="G2777" s="25"/>
      <c r="H2777" s="1" t="str">
        <f>IF(AND(I.Product.GasToPowerStatus="Yes",I.Gas.Y1Count&gt;=24,F2777=""),"Incomplete","Complete")</f>
        <v>Complete</v>
      </c>
      <c r="I2777" s="48" t="s">
        <v>2591</v>
      </c>
    </row>
    <row r="2778" spans="2:9" ht="15" customHeight="1" x14ac:dyDescent="0.25">
      <c r="B2778" s="26" t="s">
        <v>456</v>
      </c>
      <c r="C2778" s="1">
        <v>25</v>
      </c>
      <c r="D2778" s="27" t="s">
        <v>3363</v>
      </c>
      <c r="E2778" s="25"/>
      <c r="F2778" s="25" t="str">
        <f>IF(INDEX(I.Gas.Y1C1E2,25)="","",INDEX(I.Gas.Y1C1E2,25))</f>
        <v/>
      </c>
      <c r="G2778" s="25"/>
      <c r="H2778" s="1" t="str">
        <f>IF(AND(I.Product.GasToPowerStatus="Yes",I.Gas.Y1Count&gt;=25,F2778=""),"Incomplete","Complete")</f>
        <v>Complete</v>
      </c>
      <c r="I2778" s="48" t="s">
        <v>2592</v>
      </c>
    </row>
    <row r="2779" spans="2:9" ht="15" customHeight="1" x14ac:dyDescent="0.25">
      <c r="B2779" s="26" t="s">
        <v>456</v>
      </c>
      <c r="C2779" s="1">
        <v>26</v>
      </c>
      <c r="D2779" s="27" t="s">
        <v>3363</v>
      </c>
      <c r="E2779" s="25"/>
      <c r="F2779" s="25" t="str">
        <f>IF(INDEX(I.Gas.Y1C1E2,26)="","",INDEX(I.Gas.Y1C1E2,26))</f>
        <v/>
      </c>
      <c r="G2779" s="25"/>
      <c r="H2779" s="1" t="str">
        <f>IF(AND(I.Product.GasToPowerStatus="Yes",I.Gas.Y1Count&gt;=26,F2779=""),"Incomplete","Complete")</f>
        <v>Complete</v>
      </c>
      <c r="I2779" s="48" t="s">
        <v>2593</v>
      </c>
    </row>
    <row r="2780" spans="2:9" ht="15" customHeight="1" x14ac:dyDescent="0.25">
      <c r="B2780" s="26" t="s">
        <v>456</v>
      </c>
      <c r="C2780" s="1">
        <v>27</v>
      </c>
      <c r="D2780" s="27" t="s">
        <v>3363</v>
      </c>
      <c r="E2780" s="25"/>
      <c r="F2780" s="25" t="str">
        <f>IF(INDEX(I.Gas.Y1C1E2,27)="","",INDEX(I.Gas.Y1C1E2,27))</f>
        <v/>
      </c>
      <c r="G2780" s="25"/>
      <c r="H2780" s="1" t="str">
        <f>IF(AND(I.Product.GasToPowerStatus="Yes",I.Gas.Y1Count&gt;=27,F2780=""),"Incomplete","Complete")</f>
        <v>Complete</v>
      </c>
      <c r="I2780" s="48" t="s">
        <v>2594</v>
      </c>
    </row>
    <row r="2781" spans="2:9" ht="15" customHeight="1" x14ac:dyDescent="0.25">
      <c r="B2781" s="26" t="s">
        <v>456</v>
      </c>
      <c r="C2781" s="1">
        <v>28</v>
      </c>
      <c r="D2781" s="27" t="s">
        <v>3363</v>
      </c>
      <c r="E2781" s="25"/>
      <c r="F2781" s="25" t="str">
        <f>IF(INDEX(I.Gas.Y1C1E2,28)="","",INDEX(I.Gas.Y1C1E2,28))</f>
        <v/>
      </c>
      <c r="G2781" s="25"/>
      <c r="H2781" s="1" t="str">
        <f>IF(AND(I.Product.GasToPowerStatus="Yes",I.Gas.Y1Count&gt;=28,F2781=""),"Incomplete","Complete")</f>
        <v>Complete</v>
      </c>
      <c r="I2781" s="48" t="s">
        <v>2595</v>
      </c>
    </row>
    <row r="2782" spans="2:9" ht="15" customHeight="1" x14ac:dyDescent="0.25">
      <c r="B2782" s="26" t="s">
        <v>456</v>
      </c>
      <c r="C2782" s="1">
        <v>29</v>
      </c>
      <c r="D2782" s="27" t="s">
        <v>3363</v>
      </c>
      <c r="E2782" s="25"/>
      <c r="F2782" s="25" t="str">
        <f>IF(INDEX(I.Gas.Y1C1E2,29)="","",INDEX(I.Gas.Y1C1E2,29))</f>
        <v/>
      </c>
      <c r="G2782" s="25"/>
      <c r="H2782" s="1" t="str">
        <f>IF(AND(I.Product.GasToPowerStatus="Yes",I.Gas.Y1Count&gt;=29,F2782=""),"Incomplete","Complete")</f>
        <v>Complete</v>
      </c>
      <c r="I2782" s="48" t="s">
        <v>2596</v>
      </c>
    </row>
    <row r="2783" spans="2:9" ht="15" customHeight="1" x14ac:dyDescent="0.25">
      <c r="B2783" s="26" t="s">
        <v>456</v>
      </c>
      <c r="C2783" s="1">
        <v>30</v>
      </c>
      <c r="D2783" s="27" t="s">
        <v>3363</v>
      </c>
      <c r="E2783" s="25"/>
      <c r="F2783" s="25" t="str">
        <f>IF(INDEX(I.Gas.Y1C1E2,30)="","",INDEX(I.Gas.Y1C1E2,30))</f>
        <v/>
      </c>
      <c r="G2783" s="25"/>
      <c r="H2783" s="1" t="str">
        <f>IF(AND(I.Product.GasToPowerStatus="Yes",I.Gas.Y1Count&gt;=30,F2783=""),"Incomplete","Complete")</f>
        <v>Complete</v>
      </c>
      <c r="I2783" s="48" t="s">
        <v>2597</v>
      </c>
    </row>
    <row r="2784" spans="2:9" ht="15" customHeight="1" x14ac:dyDescent="0.25">
      <c r="B2784" s="26" t="s">
        <v>456</v>
      </c>
      <c r="C2784" s="1">
        <v>31</v>
      </c>
      <c r="D2784" s="27" t="s">
        <v>3363</v>
      </c>
      <c r="E2784" s="25"/>
      <c r="F2784" s="25" t="str">
        <f>IF(INDEX(I.Gas.Y1C1E2,31)="","",INDEX(I.Gas.Y1C1E2,31))</f>
        <v/>
      </c>
      <c r="G2784" s="25"/>
      <c r="H2784" s="1" t="str">
        <f>IF(AND(I.Product.GasToPowerStatus="Yes",I.Gas.Y1Count&gt;=31,F2784=""),"Incomplete","Complete")</f>
        <v>Complete</v>
      </c>
      <c r="I2784" s="48" t="s">
        <v>2598</v>
      </c>
    </row>
    <row r="2785" spans="2:9" ht="15" customHeight="1" x14ac:dyDescent="0.25">
      <c r="B2785" s="26" t="s">
        <v>456</v>
      </c>
      <c r="C2785" s="1">
        <v>32</v>
      </c>
      <c r="D2785" s="27" t="s">
        <v>3363</v>
      </c>
      <c r="E2785" s="25"/>
      <c r="F2785" s="25" t="str">
        <f>IF(INDEX(I.Gas.Y1C1E2,32)="","",INDEX(I.Gas.Y1C1E2,32))</f>
        <v/>
      </c>
      <c r="G2785" s="25"/>
      <c r="H2785" s="1" t="str">
        <f>IF(AND(I.Product.GasToPowerStatus="Yes",I.Gas.Y1Count&gt;=32,F2785=""),"Incomplete","Complete")</f>
        <v>Complete</v>
      </c>
      <c r="I2785" s="48" t="s">
        <v>2599</v>
      </c>
    </row>
    <row r="2786" spans="2:9" ht="15" customHeight="1" x14ac:dyDescent="0.25">
      <c r="B2786" s="26" t="s">
        <v>456</v>
      </c>
      <c r="C2786" s="1">
        <v>33</v>
      </c>
      <c r="D2786" s="27" t="s">
        <v>3363</v>
      </c>
      <c r="E2786" s="25"/>
      <c r="F2786" s="25" t="str">
        <f>IF(INDEX(I.Gas.Y1C1E2,33)="","",INDEX(I.Gas.Y1C1E2,33))</f>
        <v/>
      </c>
      <c r="G2786" s="25"/>
      <c r="H2786" s="1" t="str">
        <f>IF(AND(I.Product.GasToPowerStatus="Yes",I.Gas.Y1Count&gt;=33,F2786=""),"Incomplete","Complete")</f>
        <v>Complete</v>
      </c>
      <c r="I2786" s="48" t="s">
        <v>2600</v>
      </c>
    </row>
    <row r="2787" spans="2:9" ht="15" customHeight="1" x14ac:dyDescent="0.25">
      <c r="B2787" s="26" t="s">
        <v>456</v>
      </c>
      <c r="C2787" s="1">
        <v>34</v>
      </c>
      <c r="D2787" s="27" t="s">
        <v>3363</v>
      </c>
      <c r="E2787" s="25"/>
      <c r="F2787" s="25" t="str">
        <f>IF(INDEX(I.Gas.Y1C1E2,34)="","",INDEX(I.Gas.Y1C1E2,34))</f>
        <v/>
      </c>
      <c r="G2787" s="25"/>
      <c r="H2787" s="1" t="str">
        <f>IF(AND(I.Product.GasToPowerStatus="Yes",I.Gas.Y1Count&gt;=34,F2787=""),"Incomplete","Complete")</f>
        <v>Complete</v>
      </c>
      <c r="I2787" s="48" t="s">
        <v>2601</v>
      </c>
    </row>
    <row r="2788" spans="2:9" ht="15" customHeight="1" x14ac:dyDescent="0.25">
      <c r="B2788" s="26" t="s">
        <v>456</v>
      </c>
      <c r="C2788" s="1">
        <v>35</v>
      </c>
      <c r="D2788" s="27" t="s">
        <v>3363</v>
      </c>
      <c r="E2788" s="25"/>
      <c r="F2788" s="25" t="str">
        <f>IF(INDEX(I.Gas.Y1C1E2,35)="","",INDEX(I.Gas.Y1C1E2,35))</f>
        <v/>
      </c>
      <c r="G2788" s="25"/>
      <c r="H2788" s="1" t="str">
        <f>IF(AND(I.Product.GasToPowerStatus="Yes",I.Gas.Y1Count&gt;=35,F2788=""),"Incomplete","Complete")</f>
        <v>Complete</v>
      </c>
      <c r="I2788" s="48" t="s">
        <v>2602</v>
      </c>
    </row>
    <row r="2789" spans="2:9" ht="15" customHeight="1" x14ac:dyDescent="0.25">
      <c r="B2789" s="26" t="s">
        <v>456</v>
      </c>
      <c r="C2789" s="1">
        <v>36</v>
      </c>
      <c r="D2789" s="27" t="s">
        <v>3363</v>
      </c>
      <c r="E2789" s="25"/>
      <c r="F2789" s="25" t="str">
        <f>IF(INDEX(I.Gas.Y1C1E2,36)="","",INDEX(I.Gas.Y1C1E2,36))</f>
        <v/>
      </c>
      <c r="G2789" s="25"/>
      <c r="H2789" s="1" t="str">
        <f>IF(AND(I.Product.GasToPowerStatus="Yes",I.Gas.Y1Count&gt;=36,F2789=""),"Incomplete","Complete")</f>
        <v>Complete</v>
      </c>
      <c r="I2789" s="48" t="s">
        <v>2603</v>
      </c>
    </row>
    <row r="2790" spans="2:9" ht="15" customHeight="1" x14ac:dyDescent="0.25">
      <c r="B2790" s="26" t="s">
        <v>456</v>
      </c>
      <c r="C2790" s="1">
        <v>37</v>
      </c>
      <c r="D2790" s="27" t="s">
        <v>3363</v>
      </c>
      <c r="E2790" s="25"/>
      <c r="F2790" s="25" t="str">
        <f>IF(INDEX(I.Gas.Y1C1E2,37)="","",INDEX(I.Gas.Y1C1E2,37))</f>
        <v/>
      </c>
      <c r="G2790" s="25"/>
      <c r="H2790" s="1" t="str">
        <f>IF(AND(I.Product.GasToPowerStatus="Yes",I.Gas.Y1Count&gt;=37,F2790=""),"Incomplete","Complete")</f>
        <v>Complete</v>
      </c>
      <c r="I2790" s="48" t="s">
        <v>2604</v>
      </c>
    </row>
    <row r="2791" spans="2:9" ht="15" customHeight="1" x14ac:dyDescent="0.25">
      <c r="B2791" s="26" t="s">
        <v>456</v>
      </c>
      <c r="C2791" s="1">
        <v>38</v>
      </c>
      <c r="D2791" s="27" t="s">
        <v>3363</v>
      </c>
      <c r="E2791" s="25"/>
      <c r="F2791" s="25" t="str">
        <f>IF(INDEX(I.Gas.Y1C1E2,38)="","",INDEX(I.Gas.Y1C1E2,38))</f>
        <v/>
      </c>
      <c r="G2791" s="25"/>
      <c r="H2791" s="1" t="str">
        <f>IF(AND(I.Product.GasToPowerStatus="Yes",I.Gas.Y1Count&gt;=38,F2791=""),"Incomplete","Complete")</f>
        <v>Complete</v>
      </c>
      <c r="I2791" s="48" t="s">
        <v>2605</v>
      </c>
    </row>
    <row r="2792" spans="2:9" ht="15" customHeight="1" x14ac:dyDescent="0.25">
      <c r="B2792" s="26" t="s">
        <v>456</v>
      </c>
      <c r="C2792" s="1">
        <v>39</v>
      </c>
      <c r="D2792" s="27" t="s">
        <v>3363</v>
      </c>
      <c r="E2792" s="25"/>
      <c r="F2792" s="25" t="str">
        <f>IF(INDEX(I.Gas.Y1C1E2,39)="","",INDEX(I.Gas.Y1C1E2,39))</f>
        <v/>
      </c>
      <c r="G2792" s="25"/>
      <c r="H2792" s="1" t="str">
        <f>IF(AND(I.Product.GasToPowerStatus="Yes",I.Gas.Y1Count&gt;=39,F2792=""),"Incomplete","Complete")</f>
        <v>Complete</v>
      </c>
      <c r="I2792" s="48" t="s">
        <v>2606</v>
      </c>
    </row>
    <row r="2793" spans="2:9" ht="15" customHeight="1" x14ac:dyDescent="0.25">
      <c r="B2793" s="26" t="s">
        <v>456</v>
      </c>
      <c r="C2793" s="1">
        <v>40</v>
      </c>
      <c r="D2793" s="27" t="s">
        <v>3363</v>
      </c>
      <c r="E2793" s="25"/>
      <c r="F2793" s="25" t="str">
        <f>IF(INDEX(I.Gas.Y1C1E2,40)="","",INDEX(I.Gas.Y1C1E2,40))</f>
        <v/>
      </c>
      <c r="G2793" s="25"/>
      <c r="H2793" s="1" t="str">
        <f>IF(AND(I.Product.GasToPowerStatus="Yes",I.Gas.Y1Count&gt;=40,F2793=""),"Incomplete","Complete")</f>
        <v>Complete</v>
      </c>
      <c r="I2793" s="48" t="s">
        <v>2607</v>
      </c>
    </row>
    <row r="2794" spans="2:9" ht="15" customHeight="1" x14ac:dyDescent="0.25">
      <c r="B2794" s="26" t="s">
        <v>456</v>
      </c>
      <c r="C2794" s="1">
        <v>41</v>
      </c>
      <c r="D2794" s="27" t="s">
        <v>3363</v>
      </c>
      <c r="E2794" s="25"/>
      <c r="F2794" s="25" t="str">
        <f>IF(INDEX(I.Gas.Y1C1E2,41)="","",INDEX(I.Gas.Y1C1E2,41))</f>
        <v/>
      </c>
      <c r="G2794" s="25"/>
      <c r="H2794" s="1" t="str">
        <f>IF(AND(I.Product.GasToPowerStatus="Yes",I.Gas.Y1Count&gt;=41,F2794=""),"Incomplete","Complete")</f>
        <v>Complete</v>
      </c>
      <c r="I2794" s="48" t="s">
        <v>2608</v>
      </c>
    </row>
    <row r="2795" spans="2:9" ht="15" customHeight="1" x14ac:dyDescent="0.25">
      <c r="B2795" s="26" t="s">
        <v>456</v>
      </c>
      <c r="C2795" s="1">
        <v>42</v>
      </c>
      <c r="D2795" s="27" t="s">
        <v>3363</v>
      </c>
      <c r="E2795" s="25"/>
      <c r="F2795" s="25" t="str">
        <f>IF(INDEX(I.Gas.Y1C1E2,42)="","",INDEX(I.Gas.Y1C1E2,42))</f>
        <v/>
      </c>
      <c r="G2795" s="25"/>
      <c r="H2795" s="1" t="str">
        <f>IF(AND(I.Product.GasToPowerStatus="Yes",I.Gas.Y1Count&gt;=42,F2795=""),"Incomplete","Complete")</f>
        <v>Complete</v>
      </c>
      <c r="I2795" s="48" t="s">
        <v>2609</v>
      </c>
    </row>
    <row r="2796" spans="2:9" ht="15" customHeight="1" x14ac:dyDescent="0.25">
      <c r="B2796" s="26" t="s">
        <v>456</v>
      </c>
      <c r="C2796" s="1">
        <v>43</v>
      </c>
      <c r="D2796" s="27" t="s">
        <v>3363</v>
      </c>
      <c r="E2796" s="25"/>
      <c r="F2796" s="25" t="str">
        <f>IF(INDEX(I.Gas.Y1C1E2,43)="","",INDEX(I.Gas.Y1C1E2,43))</f>
        <v/>
      </c>
      <c r="G2796" s="25"/>
      <c r="H2796" s="1" t="str">
        <f>IF(AND(I.Product.GasToPowerStatus="Yes",I.Gas.Y1Count&gt;=43,F2796=""),"Incomplete","Complete")</f>
        <v>Complete</v>
      </c>
      <c r="I2796" s="48" t="s">
        <v>2610</v>
      </c>
    </row>
    <row r="2797" spans="2:9" ht="15" customHeight="1" x14ac:dyDescent="0.25">
      <c r="B2797" s="26" t="s">
        <v>456</v>
      </c>
      <c r="C2797" s="1">
        <v>44</v>
      </c>
      <c r="D2797" s="27" t="s">
        <v>3363</v>
      </c>
      <c r="E2797" s="25"/>
      <c r="F2797" s="25" t="str">
        <f>IF(INDEX(I.Gas.Y1C1E2,44)="","",INDEX(I.Gas.Y1C1E2,44))</f>
        <v/>
      </c>
      <c r="G2797" s="25"/>
      <c r="H2797" s="1" t="str">
        <f>IF(AND(I.Product.GasToPowerStatus="Yes",I.Gas.Y1Count&gt;=44,F2797=""),"Incomplete","Complete")</f>
        <v>Complete</v>
      </c>
      <c r="I2797" s="48" t="s">
        <v>2611</v>
      </c>
    </row>
    <row r="2798" spans="2:9" ht="15" customHeight="1" x14ac:dyDescent="0.25">
      <c r="B2798" s="26" t="s">
        <v>456</v>
      </c>
      <c r="C2798" s="1">
        <v>45</v>
      </c>
      <c r="D2798" s="27" t="s">
        <v>3363</v>
      </c>
      <c r="E2798" s="25"/>
      <c r="F2798" s="25" t="str">
        <f>IF(INDEX(I.Gas.Y1C1E2,45)="","",INDEX(I.Gas.Y1C1E2,45))</f>
        <v/>
      </c>
      <c r="G2798" s="25"/>
      <c r="H2798" s="1" t="str">
        <f>IF(AND(I.Product.GasToPowerStatus="Yes",I.Gas.Y1Count&gt;=45,F2798=""),"Incomplete","Complete")</f>
        <v>Complete</v>
      </c>
      <c r="I2798" s="48" t="s">
        <v>2612</v>
      </c>
    </row>
    <row r="2799" spans="2:9" ht="15" customHeight="1" x14ac:dyDescent="0.25">
      <c r="B2799" s="26" t="s">
        <v>456</v>
      </c>
      <c r="C2799" s="1">
        <v>46</v>
      </c>
      <c r="D2799" s="27" t="s">
        <v>3363</v>
      </c>
      <c r="E2799" s="25"/>
      <c r="F2799" s="25" t="str">
        <f>IF(INDEX(I.Gas.Y1C1E2,46)="","",INDEX(I.Gas.Y1C1E2,46))</f>
        <v/>
      </c>
      <c r="G2799" s="25"/>
      <c r="H2799" s="1" t="str">
        <f>IF(AND(I.Product.GasToPowerStatus="Yes",I.Gas.Y1Count&gt;=46,F2799=""),"Incomplete","Complete")</f>
        <v>Complete</v>
      </c>
      <c r="I2799" s="48" t="s">
        <v>2613</v>
      </c>
    </row>
    <row r="2800" spans="2:9" ht="15" customHeight="1" x14ac:dyDescent="0.25">
      <c r="B2800" s="26" t="s">
        <v>456</v>
      </c>
      <c r="C2800" s="1">
        <v>47</v>
      </c>
      <c r="D2800" s="27" t="s">
        <v>3363</v>
      </c>
      <c r="E2800" s="25"/>
      <c r="F2800" s="25" t="str">
        <f>IF(INDEX(I.Gas.Y1C1E2,47)="","",INDEX(I.Gas.Y1C1E2,47))</f>
        <v/>
      </c>
      <c r="G2800" s="25"/>
      <c r="H2800" s="1" t="str">
        <f>IF(AND(I.Product.GasToPowerStatus="Yes",I.Gas.Y1Count&gt;=47,F2800=""),"Incomplete","Complete")</f>
        <v>Complete</v>
      </c>
      <c r="I2800" s="48" t="s">
        <v>2614</v>
      </c>
    </row>
    <row r="2801" spans="2:9" ht="15" customHeight="1" x14ac:dyDescent="0.25">
      <c r="B2801" s="26" t="s">
        <v>456</v>
      </c>
      <c r="C2801" s="1">
        <v>48</v>
      </c>
      <c r="D2801" s="27" t="s">
        <v>3363</v>
      </c>
      <c r="E2801" s="25"/>
      <c r="F2801" s="25" t="str">
        <f>IF(INDEX(I.Gas.Y1C1E2,48)="","",INDEX(I.Gas.Y1C1E2,48))</f>
        <v/>
      </c>
      <c r="G2801" s="25"/>
      <c r="H2801" s="1" t="str">
        <f>IF(AND(I.Product.GasToPowerStatus="Yes",I.Gas.Y1Count&gt;=48,F2801=""),"Incomplete","Complete")</f>
        <v>Complete</v>
      </c>
      <c r="I2801" s="48" t="s">
        <v>2615</v>
      </c>
    </row>
    <row r="2802" spans="2:9" ht="15" customHeight="1" x14ac:dyDescent="0.25">
      <c r="B2802" s="26" t="s">
        <v>456</v>
      </c>
      <c r="C2802" s="1">
        <v>49</v>
      </c>
      <c r="D2802" s="27" t="s">
        <v>3363</v>
      </c>
      <c r="E2802" s="25"/>
      <c r="F2802" s="25" t="str">
        <f>IF(INDEX(I.Gas.Y1C1E2,49)="","",INDEX(I.Gas.Y1C1E2,49))</f>
        <v/>
      </c>
      <c r="G2802" s="25"/>
      <c r="H2802" s="1" t="str">
        <f>IF(AND(I.Product.GasToPowerStatus="Yes",I.Gas.Y1Count&gt;=49,F2802=""),"Incomplete","Complete")</f>
        <v>Complete</v>
      </c>
      <c r="I2802" s="48" t="s">
        <v>2616</v>
      </c>
    </row>
    <row r="2803" spans="2:9" ht="15" customHeight="1" x14ac:dyDescent="0.25">
      <c r="B2803" s="34" t="s">
        <v>456</v>
      </c>
      <c r="C2803" s="35">
        <v>50</v>
      </c>
      <c r="D2803" s="46" t="s">
        <v>3363</v>
      </c>
      <c r="E2803" s="45"/>
      <c r="F2803" s="45" t="str">
        <f>IF(INDEX(I.Gas.Y1C1E2,50)="","",INDEX(I.Gas.Y1C1E2,50))</f>
        <v/>
      </c>
      <c r="G2803" s="45"/>
      <c r="H2803" s="35" t="str">
        <f>IF(AND(I.Product.GasToPowerStatus="Yes",I.Gas.Y1Count&gt;=50,F2803=""),"Incomplete","Complete")</f>
        <v>Complete</v>
      </c>
      <c r="I2803" s="49" t="s">
        <v>2617</v>
      </c>
    </row>
    <row r="2804" spans="2:9" ht="15" customHeight="1" x14ac:dyDescent="0.25">
      <c r="B2804" s="26" t="s">
        <v>457</v>
      </c>
      <c r="C2804" s="1">
        <v>1</v>
      </c>
      <c r="D2804" s="27" t="s">
        <v>3364</v>
      </c>
      <c r="E2804" s="25"/>
      <c r="F2804" s="25" t="str">
        <f>IF(INDEX(I.Gas.Y1C1E3,1)="","",INDEX(I.Gas.Y1C1E3,1))</f>
        <v/>
      </c>
      <c r="G2804" s="25"/>
      <c r="H2804" s="1" t="str">
        <f>IF(AND(I.Product.GasToPowerStatus="Yes",I.Gas.Y1Count&gt;=1,F2804=""),"Incomplete","Complete")</f>
        <v>Complete</v>
      </c>
      <c r="I2804" s="48" t="s">
        <v>2618</v>
      </c>
    </row>
    <row r="2805" spans="2:9" ht="15" customHeight="1" x14ac:dyDescent="0.25">
      <c r="B2805" s="26" t="s">
        <v>457</v>
      </c>
      <c r="C2805" s="1">
        <v>2</v>
      </c>
      <c r="D2805" s="27" t="s">
        <v>3364</v>
      </c>
      <c r="E2805" s="25"/>
      <c r="F2805" s="25" t="str">
        <f>IF(INDEX(I.Gas.Y1C1E3,2)="","",INDEX(I.Gas.Y1C1E3,2))</f>
        <v/>
      </c>
      <c r="G2805" s="25"/>
      <c r="H2805" s="1" t="str">
        <f>IF(AND(I.Product.GasToPowerStatus="Yes",I.Gas.Y1Count&gt;=2,F2805=""),"Incomplete","Complete")</f>
        <v>Complete</v>
      </c>
      <c r="I2805" s="48" t="s">
        <v>2619</v>
      </c>
    </row>
    <row r="2806" spans="2:9" ht="15" customHeight="1" x14ac:dyDescent="0.25">
      <c r="B2806" s="26" t="s">
        <v>457</v>
      </c>
      <c r="C2806" s="1">
        <v>3</v>
      </c>
      <c r="D2806" s="27" t="s">
        <v>3364</v>
      </c>
      <c r="E2806" s="25"/>
      <c r="F2806" s="25" t="str">
        <f>IF(INDEX(I.Gas.Y1C1E3,3)="","",INDEX(I.Gas.Y1C1E3,3))</f>
        <v/>
      </c>
      <c r="G2806" s="25"/>
      <c r="H2806" s="1" t="str">
        <f>IF(AND(I.Product.GasToPowerStatus="Yes",I.Gas.Y1Count&gt;=3,F2806=""),"Incomplete","Complete")</f>
        <v>Complete</v>
      </c>
      <c r="I2806" s="48" t="s">
        <v>2620</v>
      </c>
    </row>
    <row r="2807" spans="2:9" ht="15" customHeight="1" x14ac:dyDescent="0.25">
      <c r="B2807" s="26" t="s">
        <v>457</v>
      </c>
      <c r="C2807" s="1">
        <v>4</v>
      </c>
      <c r="D2807" s="27" t="s">
        <v>3364</v>
      </c>
      <c r="E2807" s="25"/>
      <c r="F2807" s="25" t="str">
        <f>IF(INDEX(I.Gas.Y1C1E3,4)="","",INDEX(I.Gas.Y1C1E3,4))</f>
        <v/>
      </c>
      <c r="G2807" s="25"/>
      <c r="H2807" s="1" t="str">
        <f>IF(AND(I.Product.GasToPowerStatus="Yes",I.Gas.Y1Count&gt;=4,F2807=""),"Incomplete","Complete")</f>
        <v>Complete</v>
      </c>
      <c r="I2807" s="48" t="s">
        <v>2621</v>
      </c>
    </row>
    <row r="2808" spans="2:9" ht="15" customHeight="1" x14ac:dyDescent="0.25">
      <c r="B2808" s="26" t="s">
        <v>457</v>
      </c>
      <c r="C2808" s="1">
        <v>5</v>
      </c>
      <c r="D2808" s="27" t="s">
        <v>3364</v>
      </c>
      <c r="E2808" s="25"/>
      <c r="F2808" s="25" t="str">
        <f>IF(INDEX(I.Gas.Y1C1E3,5)="","",INDEX(I.Gas.Y1C1E3,5))</f>
        <v/>
      </c>
      <c r="G2808" s="25"/>
      <c r="H2808" s="1" t="str">
        <f>IF(AND(I.Product.GasToPowerStatus="Yes",I.Gas.Y1Count&gt;=5,F2808=""),"Incomplete","Complete")</f>
        <v>Complete</v>
      </c>
      <c r="I2808" s="48" t="s">
        <v>2622</v>
      </c>
    </row>
    <row r="2809" spans="2:9" ht="15" customHeight="1" x14ac:dyDescent="0.25">
      <c r="B2809" s="26" t="s">
        <v>457</v>
      </c>
      <c r="C2809" s="1">
        <v>6</v>
      </c>
      <c r="D2809" s="27" t="s">
        <v>3364</v>
      </c>
      <c r="E2809" s="25"/>
      <c r="F2809" s="25" t="str">
        <f>IF(INDEX(I.Gas.Y1C1E3,6)="","",INDEX(I.Gas.Y1C1E3,6))</f>
        <v/>
      </c>
      <c r="G2809" s="25"/>
      <c r="H2809" s="1" t="str">
        <f>IF(AND(I.Product.GasToPowerStatus="Yes",I.Gas.Y1Count&gt;=6,F2809=""),"Incomplete","Complete")</f>
        <v>Complete</v>
      </c>
      <c r="I2809" s="48" t="s">
        <v>2623</v>
      </c>
    </row>
    <row r="2810" spans="2:9" ht="15" customHeight="1" x14ac:dyDescent="0.25">
      <c r="B2810" s="26" t="s">
        <v>457</v>
      </c>
      <c r="C2810" s="1">
        <v>7</v>
      </c>
      <c r="D2810" s="27" t="s">
        <v>3364</v>
      </c>
      <c r="E2810" s="25"/>
      <c r="F2810" s="25" t="str">
        <f>IF(INDEX(I.Gas.Y1C1E3,7)="","",INDEX(I.Gas.Y1C1E3,7))</f>
        <v/>
      </c>
      <c r="G2810" s="25"/>
      <c r="H2810" s="1" t="str">
        <f>IF(AND(I.Product.GasToPowerStatus="Yes",I.Gas.Y1Count&gt;=7,F2810=""),"Incomplete","Complete")</f>
        <v>Complete</v>
      </c>
      <c r="I2810" s="48" t="s">
        <v>2624</v>
      </c>
    </row>
    <row r="2811" spans="2:9" ht="15" customHeight="1" x14ac:dyDescent="0.25">
      <c r="B2811" s="26" t="s">
        <v>457</v>
      </c>
      <c r="C2811" s="1">
        <v>8</v>
      </c>
      <c r="D2811" s="27" t="s">
        <v>3364</v>
      </c>
      <c r="E2811" s="25"/>
      <c r="F2811" s="25" t="str">
        <f>IF(INDEX(I.Gas.Y1C1E3,8)="","",INDEX(I.Gas.Y1C1E3,8))</f>
        <v/>
      </c>
      <c r="G2811" s="25"/>
      <c r="H2811" s="1" t="str">
        <f>IF(AND(I.Product.GasToPowerStatus="Yes",I.Gas.Y1Count&gt;=8,F2811=""),"Incomplete","Complete")</f>
        <v>Complete</v>
      </c>
      <c r="I2811" s="48" t="s">
        <v>2625</v>
      </c>
    </row>
    <row r="2812" spans="2:9" ht="15" customHeight="1" x14ac:dyDescent="0.25">
      <c r="B2812" s="26" t="s">
        <v>457</v>
      </c>
      <c r="C2812" s="1">
        <v>9</v>
      </c>
      <c r="D2812" s="27" t="s">
        <v>3364</v>
      </c>
      <c r="E2812" s="25"/>
      <c r="F2812" s="25" t="str">
        <f>IF(INDEX(I.Gas.Y1C1E3,9)="","",INDEX(I.Gas.Y1C1E3,9))</f>
        <v/>
      </c>
      <c r="G2812" s="25"/>
      <c r="H2812" s="1" t="str">
        <f>IF(AND(I.Product.GasToPowerStatus="Yes",I.Gas.Y1Count&gt;=9,F2812=""),"Incomplete","Complete")</f>
        <v>Complete</v>
      </c>
      <c r="I2812" s="48" t="s">
        <v>2626</v>
      </c>
    </row>
    <row r="2813" spans="2:9" ht="15" customHeight="1" x14ac:dyDescent="0.25">
      <c r="B2813" s="26" t="s">
        <v>457</v>
      </c>
      <c r="C2813" s="1">
        <v>10</v>
      </c>
      <c r="D2813" s="27" t="s">
        <v>3364</v>
      </c>
      <c r="E2813" s="25"/>
      <c r="F2813" s="25" t="str">
        <f>IF(INDEX(I.Gas.Y1C1E3,10)="","",INDEX(I.Gas.Y1C1E3,10))</f>
        <v/>
      </c>
      <c r="G2813" s="25"/>
      <c r="H2813" s="1" t="str">
        <f>IF(AND(I.Product.GasToPowerStatus="Yes",I.Gas.Y1Count&gt;=10,F2813=""),"Incomplete","Complete")</f>
        <v>Complete</v>
      </c>
      <c r="I2813" s="48" t="s">
        <v>2627</v>
      </c>
    </row>
    <row r="2814" spans="2:9" ht="15" customHeight="1" x14ac:dyDescent="0.25">
      <c r="B2814" s="26" t="s">
        <v>457</v>
      </c>
      <c r="C2814" s="1">
        <v>11</v>
      </c>
      <c r="D2814" s="27" t="s">
        <v>3364</v>
      </c>
      <c r="E2814" s="25"/>
      <c r="F2814" s="25" t="str">
        <f>IF(INDEX(I.Gas.Y1C1E3,11)="","",INDEX(I.Gas.Y1C1E3,11))</f>
        <v/>
      </c>
      <c r="G2814" s="25"/>
      <c r="H2814" s="1" t="str">
        <f>IF(AND(I.Product.GasToPowerStatus="Yes",I.Gas.Y1Count&gt;=11,F2814=""),"Incomplete","Complete")</f>
        <v>Complete</v>
      </c>
      <c r="I2814" s="48" t="s">
        <v>2628</v>
      </c>
    </row>
    <row r="2815" spans="2:9" ht="15" customHeight="1" x14ac:dyDescent="0.25">
      <c r="B2815" s="26" t="s">
        <v>457</v>
      </c>
      <c r="C2815" s="1">
        <v>12</v>
      </c>
      <c r="D2815" s="27" t="s">
        <v>3364</v>
      </c>
      <c r="E2815" s="25"/>
      <c r="F2815" s="25" t="str">
        <f>IF(INDEX(I.Gas.Y1C1E3,12)="","",INDEX(I.Gas.Y1C1E3,12))</f>
        <v/>
      </c>
      <c r="G2815" s="25"/>
      <c r="H2815" s="1" t="str">
        <f>IF(AND(I.Product.GasToPowerStatus="Yes",I.Gas.Y1Count&gt;=12,F2815=""),"Incomplete","Complete")</f>
        <v>Complete</v>
      </c>
      <c r="I2815" s="48" t="s">
        <v>2629</v>
      </c>
    </row>
    <row r="2816" spans="2:9" ht="15" customHeight="1" x14ac:dyDescent="0.25">
      <c r="B2816" s="26" t="s">
        <v>457</v>
      </c>
      <c r="C2816" s="1">
        <v>13</v>
      </c>
      <c r="D2816" s="27" t="s">
        <v>3364</v>
      </c>
      <c r="E2816" s="25"/>
      <c r="F2816" s="25" t="str">
        <f>IF(INDEX(I.Gas.Y1C1E3,13)="","",INDEX(I.Gas.Y1C1E3,13))</f>
        <v/>
      </c>
      <c r="G2816" s="25"/>
      <c r="H2816" s="1" t="str">
        <f>IF(AND(I.Product.GasToPowerStatus="Yes",I.Gas.Y1Count&gt;=13,F2816=""),"Incomplete","Complete")</f>
        <v>Complete</v>
      </c>
      <c r="I2816" s="48" t="s">
        <v>2630</v>
      </c>
    </row>
    <row r="2817" spans="2:9" ht="15" customHeight="1" x14ac:dyDescent="0.25">
      <c r="B2817" s="26" t="s">
        <v>457</v>
      </c>
      <c r="C2817" s="1">
        <v>14</v>
      </c>
      <c r="D2817" s="27" t="s">
        <v>3364</v>
      </c>
      <c r="E2817" s="25"/>
      <c r="F2817" s="25" t="str">
        <f>IF(INDEX(I.Gas.Y1C1E3,14)="","",INDEX(I.Gas.Y1C1E3,14))</f>
        <v/>
      </c>
      <c r="G2817" s="25"/>
      <c r="H2817" s="1" t="str">
        <f>IF(AND(I.Product.GasToPowerStatus="Yes",I.Gas.Y1Count&gt;=14,F2817=""),"Incomplete","Complete")</f>
        <v>Complete</v>
      </c>
      <c r="I2817" s="48" t="s">
        <v>2631</v>
      </c>
    </row>
    <row r="2818" spans="2:9" ht="15" customHeight="1" x14ac:dyDescent="0.25">
      <c r="B2818" s="26" t="s">
        <v>457</v>
      </c>
      <c r="C2818" s="1">
        <v>15</v>
      </c>
      <c r="D2818" s="27" t="s">
        <v>3364</v>
      </c>
      <c r="E2818" s="25"/>
      <c r="F2818" s="25" t="str">
        <f>IF(INDEX(I.Gas.Y1C1E3,15)="","",INDEX(I.Gas.Y1C1E3,15))</f>
        <v/>
      </c>
      <c r="G2818" s="25"/>
      <c r="H2818" s="1" t="str">
        <f>IF(AND(I.Product.GasToPowerStatus="Yes",I.Gas.Y1Count&gt;=15,F2818=""),"Incomplete","Complete")</f>
        <v>Complete</v>
      </c>
      <c r="I2818" s="48" t="s">
        <v>2632</v>
      </c>
    </row>
    <row r="2819" spans="2:9" ht="15" customHeight="1" x14ac:dyDescent="0.25">
      <c r="B2819" s="26" t="s">
        <v>457</v>
      </c>
      <c r="C2819" s="1">
        <v>16</v>
      </c>
      <c r="D2819" s="27" t="s">
        <v>3364</v>
      </c>
      <c r="E2819" s="25"/>
      <c r="F2819" s="25" t="str">
        <f>IF(INDEX(I.Gas.Y1C1E3,16)="","",INDEX(I.Gas.Y1C1E3,16))</f>
        <v/>
      </c>
      <c r="G2819" s="25"/>
      <c r="H2819" s="1" t="str">
        <f>IF(AND(I.Product.GasToPowerStatus="Yes",I.Gas.Y1Count&gt;=16,F2819=""),"Incomplete","Complete")</f>
        <v>Complete</v>
      </c>
      <c r="I2819" s="48" t="s">
        <v>2633</v>
      </c>
    </row>
    <row r="2820" spans="2:9" ht="15" customHeight="1" x14ac:dyDescent="0.25">
      <c r="B2820" s="26" t="s">
        <v>457</v>
      </c>
      <c r="C2820" s="1">
        <v>17</v>
      </c>
      <c r="D2820" s="27" t="s">
        <v>3364</v>
      </c>
      <c r="E2820" s="25"/>
      <c r="F2820" s="25" t="str">
        <f>IF(INDEX(I.Gas.Y1C1E3,17)="","",INDEX(I.Gas.Y1C1E3,17))</f>
        <v/>
      </c>
      <c r="G2820" s="25"/>
      <c r="H2820" s="1" t="str">
        <f>IF(AND(I.Product.GasToPowerStatus="Yes",I.Gas.Y1Count&gt;=17,F2820=""),"Incomplete","Complete")</f>
        <v>Complete</v>
      </c>
      <c r="I2820" s="48" t="s">
        <v>2634</v>
      </c>
    </row>
    <row r="2821" spans="2:9" ht="15" customHeight="1" x14ac:dyDescent="0.25">
      <c r="B2821" s="26" t="s">
        <v>457</v>
      </c>
      <c r="C2821" s="1">
        <v>18</v>
      </c>
      <c r="D2821" s="27" t="s">
        <v>3364</v>
      </c>
      <c r="E2821" s="25"/>
      <c r="F2821" s="25" t="str">
        <f>IF(INDEX(I.Gas.Y1C1E3,18)="","",INDEX(I.Gas.Y1C1E3,18))</f>
        <v/>
      </c>
      <c r="G2821" s="25"/>
      <c r="H2821" s="1" t="str">
        <f>IF(AND(I.Product.GasToPowerStatus="Yes",I.Gas.Y1Count&gt;=18,F2821=""),"Incomplete","Complete")</f>
        <v>Complete</v>
      </c>
      <c r="I2821" s="48" t="s">
        <v>2635</v>
      </c>
    </row>
    <row r="2822" spans="2:9" ht="15" customHeight="1" x14ac:dyDescent="0.25">
      <c r="B2822" s="26" t="s">
        <v>457</v>
      </c>
      <c r="C2822" s="1">
        <v>19</v>
      </c>
      <c r="D2822" s="27" t="s">
        <v>3364</v>
      </c>
      <c r="E2822" s="25"/>
      <c r="F2822" s="25" t="str">
        <f>IF(INDEX(I.Gas.Y1C1E3,19)="","",INDEX(I.Gas.Y1C1E3,19))</f>
        <v/>
      </c>
      <c r="G2822" s="25"/>
      <c r="H2822" s="1" t="str">
        <f>IF(AND(I.Product.GasToPowerStatus="Yes",I.Gas.Y1Count&gt;=19,F2822=""),"Incomplete","Complete")</f>
        <v>Complete</v>
      </c>
      <c r="I2822" s="48" t="s">
        <v>2636</v>
      </c>
    </row>
    <row r="2823" spans="2:9" ht="15" customHeight="1" x14ac:dyDescent="0.25">
      <c r="B2823" s="26" t="s">
        <v>457</v>
      </c>
      <c r="C2823" s="1">
        <v>20</v>
      </c>
      <c r="D2823" s="27" t="s">
        <v>3364</v>
      </c>
      <c r="E2823" s="25"/>
      <c r="F2823" s="25" t="str">
        <f>IF(INDEX(I.Gas.Y1C1E3,20)="","",INDEX(I.Gas.Y1C1E3,20))</f>
        <v/>
      </c>
      <c r="G2823" s="25"/>
      <c r="H2823" s="1" t="str">
        <f>IF(AND(I.Product.GasToPowerStatus="Yes",I.Gas.Y1Count&gt;=20,F2823=""),"Incomplete","Complete")</f>
        <v>Complete</v>
      </c>
      <c r="I2823" s="48" t="s">
        <v>2637</v>
      </c>
    </row>
    <row r="2824" spans="2:9" ht="15" customHeight="1" x14ac:dyDescent="0.25">
      <c r="B2824" s="26" t="s">
        <v>457</v>
      </c>
      <c r="C2824" s="1">
        <v>21</v>
      </c>
      <c r="D2824" s="27" t="s">
        <v>3364</v>
      </c>
      <c r="E2824" s="25"/>
      <c r="F2824" s="25" t="str">
        <f>IF(INDEX(I.Gas.Y1C1E3,21)="","",INDEX(I.Gas.Y1C1E3,21))</f>
        <v/>
      </c>
      <c r="G2824" s="25"/>
      <c r="H2824" s="1" t="str">
        <f>IF(AND(I.Product.GasToPowerStatus="Yes",I.Gas.Y1Count&gt;=21,F2824=""),"Incomplete","Complete")</f>
        <v>Complete</v>
      </c>
      <c r="I2824" s="48" t="s">
        <v>2638</v>
      </c>
    </row>
    <row r="2825" spans="2:9" ht="15" customHeight="1" x14ac:dyDescent="0.25">
      <c r="B2825" s="26" t="s">
        <v>457</v>
      </c>
      <c r="C2825" s="1">
        <v>22</v>
      </c>
      <c r="D2825" s="27" t="s">
        <v>3364</v>
      </c>
      <c r="E2825" s="25"/>
      <c r="F2825" s="25" t="str">
        <f>IF(INDEX(I.Gas.Y1C1E3,22)="","",INDEX(I.Gas.Y1C1E3,22))</f>
        <v/>
      </c>
      <c r="G2825" s="25"/>
      <c r="H2825" s="1" t="str">
        <f>IF(AND(I.Product.GasToPowerStatus="Yes",I.Gas.Y1Count&gt;=22,F2825=""),"Incomplete","Complete")</f>
        <v>Complete</v>
      </c>
      <c r="I2825" s="48" t="s">
        <v>2639</v>
      </c>
    </row>
    <row r="2826" spans="2:9" ht="15" customHeight="1" x14ac:dyDescent="0.25">
      <c r="B2826" s="26" t="s">
        <v>457</v>
      </c>
      <c r="C2826" s="1">
        <v>23</v>
      </c>
      <c r="D2826" s="27" t="s">
        <v>3364</v>
      </c>
      <c r="E2826" s="25"/>
      <c r="F2826" s="25" t="str">
        <f>IF(INDEX(I.Gas.Y1C1E3,23)="","",INDEX(I.Gas.Y1C1E3,23))</f>
        <v/>
      </c>
      <c r="G2826" s="25"/>
      <c r="H2826" s="1" t="str">
        <f>IF(AND(I.Product.GasToPowerStatus="Yes",I.Gas.Y1Count&gt;=23,F2826=""),"Incomplete","Complete")</f>
        <v>Complete</v>
      </c>
      <c r="I2826" s="48" t="s">
        <v>2640</v>
      </c>
    </row>
    <row r="2827" spans="2:9" ht="15" customHeight="1" x14ac:dyDescent="0.25">
      <c r="B2827" s="26" t="s">
        <v>457</v>
      </c>
      <c r="C2827" s="1">
        <v>24</v>
      </c>
      <c r="D2827" s="27" t="s">
        <v>3364</v>
      </c>
      <c r="E2827" s="25"/>
      <c r="F2827" s="25" t="str">
        <f>IF(INDEX(I.Gas.Y1C1E3,24)="","",INDEX(I.Gas.Y1C1E3,24))</f>
        <v/>
      </c>
      <c r="G2827" s="25"/>
      <c r="H2827" s="1" t="str">
        <f>IF(AND(I.Product.GasToPowerStatus="Yes",I.Gas.Y1Count&gt;=24,F2827=""),"Incomplete","Complete")</f>
        <v>Complete</v>
      </c>
      <c r="I2827" s="48" t="s">
        <v>2641</v>
      </c>
    </row>
    <row r="2828" spans="2:9" ht="15" customHeight="1" x14ac:dyDescent="0.25">
      <c r="B2828" s="26" t="s">
        <v>457</v>
      </c>
      <c r="C2828" s="1">
        <v>25</v>
      </c>
      <c r="D2828" s="27" t="s">
        <v>3364</v>
      </c>
      <c r="E2828" s="25"/>
      <c r="F2828" s="25" t="str">
        <f>IF(INDEX(I.Gas.Y1C1E3,25)="","",INDEX(I.Gas.Y1C1E3,25))</f>
        <v/>
      </c>
      <c r="G2828" s="25"/>
      <c r="H2828" s="1" t="str">
        <f>IF(AND(I.Product.GasToPowerStatus="Yes",I.Gas.Y1Count&gt;=25,F2828=""),"Incomplete","Complete")</f>
        <v>Complete</v>
      </c>
      <c r="I2828" s="48" t="s">
        <v>2642</v>
      </c>
    </row>
    <row r="2829" spans="2:9" ht="15" customHeight="1" x14ac:dyDescent="0.25">
      <c r="B2829" s="26" t="s">
        <v>457</v>
      </c>
      <c r="C2829" s="1">
        <v>26</v>
      </c>
      <c r="D2829" s="27" t="s">
        <v>3364</v>
      </c>
      <c r="E2829" s="25"/>
      <c r="F2829" s="25" t="str">
        <f>IF(INDEX(I.Gas.Y1C1E3,26)="","",INDEX(I.Gas.Y1C1E3,26))</f>
        <v/>
      </c>
      <c r="G2829" s="25"/>
      <c r="H2829" s="1" t="str">
        <f>IF(AND(I.Product.GasToPowerStatus="Yes",I.Gas.Y1Count&gt;=26,F2829=""),"Incomplete","Complete")</f>
        <v>Complete</v>
      </c>
      <c r="I2829" s="48" t="s">
        <v>2643</v>
      </c>
    </row>
    <row r="2830" spans="2:9" ht="15" customHeight="1" x14ac:dyDescent="0.25">
      <c r="B2830" s="26" t="s">
        <v>457</v>
      </c>
      <c r="C2830" s="1">
        <v>27</v>
      </c>
      <c r="D2830" s="27" t="s">
        <v>3364</v>
      </c>
      <c r="E2830" s="25"/>
      <c r="F2830" s="25" t="str">
        <f>IF(INDEX(I.Gas.Y1C1E3,27)="","",INDEX(I.Gas.Y1C1E3,27))</f>
        <v/>
      </c>
      <c r="G2830" s="25"/>
      <c r="H2830" s="1" t="str">
        <f>IF(AND(I.Product.GasToPowerStatus="Yes",I.Gas.Y1Count&gt;=27,F2830=""),"Incomplete","Complete")</f>
        <v>Complete</v>
      </c>
      <c r="I2830" s="48" t="s">
        <v>2644</v>
      </c>
    </row>
    <row r="2831" spans="2:9" ht="15" customHeight="1" x14ac:dyDescent="0.25">
      <c r="B2831" s="26" t="s">
        <v>457</v>
      </c>
      <c r="C2831" s="1">
        <v>28</v>
      </c>
      <c r="D2831" s="27" t="s">
        <v>3364</v>
      </c>
      <c r="E2831" s="25"/>
      <c r="F2831" s="25" t="str">
        <f>IF(INDEX(I.Gas.Y1C1E3,28)="","",INDEX(I.Gas.Y1C1E3,28))</f>
        <v/>
      </c>
      <c r="G2831" s="25"/>
      <c r="H2831" s="1" t="str">
        <f>IF(AND(I.Product.GasToPowerStatus="Yes",I.Gas.Y1Count&gt;=28,F2831=""),"Incomplete","Complete")</f>
        <v>Complete</v>
      </c>
      <c r="I2831" s="48" t="s">
        <v>2645</v>
      </c>
    </row>
    <row r="2832" spans="2:9" ht="15" customHeight="1" x14ac:dyDescent="0.25">
      <c r="B2832" s="26" t="s">
        <v>457</v>
      </c>
      <c r="C2832" s="1">
        <v>29</v>
      </c>
      <c r="D2832" s="27" t="s">
        <v>3364</v>
      </c>
      <c r="E2832" s="25"/>
      <c r="F2832" s="25" t="str">
        <f>IF(INDEX(I.Gas.Y1C1E3,29)="","",INDEX(I.Gas.Y1C1E3,29))</f>
        <v/>
      </c>
      <c r="G2832" s="25"/>
      <c r="H2832" s="1" t="str">
        <f>IF(AND(I.Product.GasToPowerStatus="Yes",I.Gas.Y1Count&gt;=29,F2832=""),"Incomplete","Complete")</f>
        <v>Complete</v>
      </c>
      <c r="I2832" s="48" t="s">
        <v>2646</v>
      </c>
    </row>
    <row r="2833" spans="2:9" ht="15" customHeight="1" x14ac:dyDescent="0.25">
      <c r="B2833" s="26" t="s">
        <v>457</v>
      </c>
      <c r="C2833" s="1">
        <v>30</v>
      </c>
      <c r="D2833" s="27" t="s">
        <v>3364</v>
      </c>
      <c r="E2833" s="25"/>
      <c r="F2833" s="25" t="str">
        <f>IF(INDEX(I.Gas.Y1C1E3,30)="","",INDEX(I.Gas.Y1C1E3,30))</f>
        <v/>
      </c>
      <c r="G2833" s="25"/>
      <c r="H2833" s="1" t="str">
        <f>IF(AND(I.Product.GasToPowerStatus="Yes",I.Gas.Y1Count&gt;=30,F2833=""),"Incomplete","Complete")</f>
        <v>Complete</v>
      </c>
      <c r="I2833" s="48" t="s">
        <v>2647</v>
      </c>
    </row>
    <row r="2834" spans="2:9" ht="15" customHeight="1" x14ac:dyDescent="0.25">
      <c r="B2834" s="26" t="s">
        <v>457</v>
      </c>
      <c r="C2834" s="1">
        <v>31</v>
      </c>
      <c r="D2834" s="27" t="s">
        <v>3364</v>
      </c>
      <c r="E2834" s="25"/>
      <c r="F2834" s="25" t="str">
        <f>IF(INDEX(I.Gas.Y1C1E3,31)="","",INDEX(I.Gas.Y1C1E3,31))</f>
        <v/>
      </c>
      <c r="G2834" s="25"/>
      <c r="H2834" s="1" t="str">
        <f>IF(AND(I.Product.GasToPowerStatus="Yes",I.Gas.Y1Count&gt;=31,F2834=""),"Incomplete","Complete")</f>
        <v>Complete</v>
      </c>
      <c r="I2834" s="48" t="s">
        <v>2648</v>
      </c>
    </row>
    <row r="2835" spans="2:9" ht="15" customHeight="1" x14ac:dyDescent="0.25">
      <c r="B2835" s="26" t="s">
        <v>457</v>
      </c>
      <c r="C2835" s="1">
        <v>32</v>
      </c>
      <c r="D2835" s="27" t="s">
        <v>3364</v>
      </c>
      <c r="E2835" s="25"/>
      <c r="F2835" s="25" t="str">
        <f>IF(INDEX(I.Gas.Y1C1E3,32)="","",INDEX(I.Gas.Y1C1E3,32))</f>
        <v/>
      </c>
      <c r="G2835" s="25"/>
      <c r="H2835" s="1" t="str">
        <f>IF(AND(I.Product.GasToPowerStatus="Yes",I.Gas.Y1Count&gt;=32,F2835=""),"Incomplete","Complete")</f>
        <v>Complete</v>
      </c>
      <c r="I2835" s="48" t="s">
        <v>2649</v>
      </c>
    </row>
    <row r="2836" spans="2:9" ht="15" customHeight="1" x14ac:dyDescent="0.25">
      <c r="B2836" s="26" t="s">
        <v>457</v>
      </c>
      <c r="C2836" s="1">
        <v>33</v>
      </c>
      <c r="D2836" s="27" t="s">
        <v>3364</v>
      </c>
      <c r="E2836" s="25"/>
      <c r="F2836" s="25" t="str">
        <f>IF(INDEX(I.Gas.Y1C1E3,33)="","",INDEX(I.Gas.Y1C1E3,33))</f>
        <v/>
      </c>
      <c r="G2836" s="25"/>
      <c r="H2836" s="1" t="str">
        <f>IF(AND(I.Product.GasToPowerStatus="Yes",I.Gas.Y1Count&gt;=33,F2836=""),"Incomplete","Complete")</f>
        <v>Complete</v>
      </c>
      <c r="I2836" s="48" t="s">
        <v>2650</v>
      </c>
    </row>
    <row r="2837" spans="2:9" ht="15" customHeight="1" x14ac:dyDescent="0.25">
      <c r="B2837" s="26" t="s">
        <v>457</v>
      </c>
      <c r="C2837" s="1">
        <v>34</v>
      </c>
      <c r="D2837" s="27" t="s">
        <v>3364</v>
      </c>
      <c r="E2837" s="25"/>
      <c r="F2837" s="25" t="str">
        <f>IF(INDEX(I.Gas.Y1C1E3,34)="","",INDEX(I.Gas.Y1C1E3,34))</f>
        <v/>
      </c>
      <c r="G2837" s="25"/>
      <c r="H2837" s="1" t="str">
        <f>IF(AND(I.Product.GasToPowerStatus="Yes",I.Gas.Y1Count&gt;=34,F2837=""),"Incomplete","Complete")</f>
        <v>Complete</v>
      </c>
      <c r="I2837" s="48" t="s">
        <v>2651</v>
      </c>
    </row>
    <row r="2838" spans="2:9" ht="15" customHeight="1" x14ac:dyDescent="0.25">
      <c r="B2838" s="26" t="s">
        <v>457</v>
      </c>
      <c r="C2838" s="1">
        <v>35</v>
      </c>
      <c r="D2838" s="27" t="s">
        <v>3364</v>
      </c>
      <c r="E2838" s="25"/>
      <c r="F2838" s="25" t="str">
        <f>IF(INDEX(I.Gas.Y1C1E3,35)="","",INDEX(I.Gas.Y1C1E3,35))</f>
        <v/>
      </c>
      <c r="G2838" s="25"/>
      <c r="H2838" s="1" t="str">
        <f>IF(AND(I.Product.GasToPowerStatus="Yes",I.Gas.Y1Count&gt;=35,F2838=""),"Incomplete","Complete")</f>
        <v>Complete</v>
      </c>
      <c r="I2838" s="48" t="s">
        <v>2652</v>
      </c>
    </row>
    <row r="2839" spans="2:9" ht="15" customHeight="1" x14ac:dyDescent="0.25">
      <c r="B2839" s="26" t="s">
        <v>457</v>
      </c>
      <c r="C2839" s="1">
        <v>36</v>
      </c>
      <c r="D2839" s="27" t="s">
        <v>3364</v>
      </c>
      <c r="E2839" s="25"/>
      <c r="F2839" s="25" t="str">
        <f>IF(INDEX(I.Gas.Y1C1E3,36)="","",INDEX(I.Gas.Y1C1E3,36))</f>
        <v/>
      </c>
      <c r="G2839" s="25"/>
      <c r="H2839" s="1" t="str">
        <f>IF(AND(I.Product.GasToPowerStatus="Yes",I.Gas.Y1Count&gt;=36,F2839=""),"Incomplete","Complete")</f>
        <v>Complete</v>
      </c>
      <c r="I2839" s="48" t="s">
        <v>2653</v>
      </c>
    </row>
    <row r="2840" spans="2:9" ht="15" customHeight="1" x14ac:dyDescent="0.25">
      <c r="B2840" s="26" t="s">
        <v>457</v>
      </c>
      <c r="C2840" s="1">
        <v>37</v>
      </c>
      <c r="D2840" s="27" t="s">
        <v>3364</v>
      </c>
      <c r="E2840" s="25"/>
      <c r="F2840" s="25" t="str">
        <f>IF(INDEX(I.Gas.Y1C1E3,37)="","",INDEX(I.Gas.Y1C1E3,37))</f>
        <v/>
      </c>
      <c r="G2840" s="25"/>
      <c r="H2840" s="1" t="str">
        <f>IF(AND(I.Product.GasToPowerStatus="Yes",I.Gas.Y1Count&gt;=37,F2840=""),"Incomplete","Complete")</f>
        <v>Complete</v>
      </c>
      <c r="I2840" s="48" t="s">
        <v>2654</v>
      </c>
    </row>
    <row r="2841" spans="2:9" ht="15" customHeight="1" x14ac:dyDescent="0.25">
      <c r="B2841" s="26" t="s">
        <v>457</v>
      </c>
      <c r="C2841" s="1">
        <v>38</v>
      </c>
      <c r="D2841" s="27" t="s">
        <v>3364</v>
      </c>
      <c r="E2841" s="25"/>
      <c r="F2841" s="25" t="str">
        <f>IF(INDEX(I.Gas.Y1C1E3,38)="","",INDEX(I.Gas.Y1C1E3,38))</f>
        <v/>
      </c>
      <c r="G2841" s="25"/>
      <c r="H2841" s="1" t="str">
        <f>IF(AND(I.Product.GasToPowerStatus="Yes",I.Gas.Y1Count&gt;=38,F2841=""),"Incomplete","Complete")</f>
        <v>Complete</v>
      </c>
      <c r="I2841" s="48" t="s">
        <v>2655</v>
      </c>
    </row>
    <row r="2842" spans="2:9" ht="15" customHeight="1" x14ac:dyDescent="0.25">
      <c r="B2842" s="26" t="s">
        <v>457</v>
      </c>
      <c r="C2842" s="1">
        <v>39</v>
      </c>
      <c r="D2842" s="27" t="s">
        <v>3364</v>
      </c>
      <c r="E2842" s="25"/>
      <c r="F2842" s="25" t="str">
        <f>IF(INDEX(I.Gas.Y1C1E3,39)="","",INDEX(I.Gas.Y1C1E3,39))</f>
        <v/>
      </c>
      <c r="G2842" s="25"/>
      <c r="H2842" s="1" t="str">
        <f>IF(AND(I.Product.GasToPowerStatus="Yes",I.Gas.Y1Count&gt;=39,F2842=""),"Incomplete","Complete")</f>
        <v>Complete</v>
      </c>
      <c r="I2842" s="48" t="s">
        <v>2656</v>
      </c>
    </row>
    <row r="2843" spans="2:9" ht="15" customHeight="1" x14ac:dyDescent="0.25">
      <c r="B2843" s="26" t="s">
        <v>457</v>
      </c>
      <c r="C2843" s="1">
        <v>40</v>
      </c>
      <c r="D2843" s="27" t="s">
        <v>3364</v>
      </c>
      <c r="E2843" s="25"/>
      <c r="F2843" s="25" t="str">
        <f>IF(INDEX(I.Gas.Y1C1E3,40)="","",INDEX(I.Gas.Y1C1E3,40))</f>
        <v/>
      </c>
      <c r="G2843" s="25"/>
      <c r="H2843" s="1" t="str">
        <f>IF(AND(I.Product.GasToPowerStatus="Yes",I.Gas.Y1Count&gt;=40,F2843=""),"Incomplete","Complete")</f>
        <v>Complete</v>
      </c>
      <c r="I2843" s="48" t="s">
        <v>2657</v>
      </c>
    </row>
    <row r="2844" spans="2:9" ht="15" customHeight="1" x14ac:dyDescent="0.25">
      <c r="B2844" s="26" t="s">
        <v>457</v>
      </c>
      <c r="C2844" s="1">
        <v>41</v>
      </c>
      <c r="D2844" s="27" t="s">
        <v>3364</v>
      </c>
      <c r="E2844" s="25"/>
      <c r="F2844" s="25" t="str">
        <f>IF(INDEX(I.Gas.Y1C1E3,41)="","",INDEX(I.Gas.Y1C1E3,41))</f>
        <v/>
      </c>
      <c r="G2844" s="25"/>
      <c r="H2844" s="1" t="str">
        <f>IF(AND(I.Product.GasToPowerStatus="Yes",I.Gas.Y1Count&gt;=41,F2844=""),"Incomplete","Complete")</f>
        <v>Complete</v>
      </c>
      <c r="I2844" s="48" t="s">
        <v>2658</v>
      </c>
    </row>
    <row r="2845" spans="2:9" ht="15" customHeight="1" x14ac:dyDescent="0.25">
      <c r="B2845" s="26" t="s">
        <v>457</v>
      </c>
      <c r="C2845" s="1">
        <v>42</v>
      </c>
      <c r="D2845" s="27" t="s">
        <v>3364</v>
      </c>
      <c r="E2845" s="25"/>
      <c r="F2845" s="25" t="str">
        <f>IF(INDEX(I.Gas.Y1C1E3,42)="","",INDEX(I.Gas.Y1C1E3,42))</f>
        <v/>
      </c>
      <c r="G2845" s="25"/>
      <c r="H2845" s="1" t="str">
        <f>IF(AND(I.Product.GasToPowerStatus="Yes",I.Gas.Y1Count&gt;=42,F2845=""),"Incomplete","Complete")</f>
        <v>Complete</v>
      </c>
      <c r="I2845" s="48" t="s">
        <v>2659</v>
      </c>
    </row>
    <row r="2846" spans="2:9" ht="15" customHeight="1" x14ac:dyDescent="0.25">
      <c r="B2846" s="26" t="s">
        <v>457</v>
      </c>
      <c r="C2846" s="1">
        <v>43</v>
      </c>
      <c r="D2846" s="27" t="s">
        <v>3364</v>
      </c>
      <c r="E2846" s="25"/>
      <c r="F2846" s="25" t="str">
        <f>IF(INDEX(I.Gas.Y1C1E3,43)="","",INDEX(I.Gas.Y1C1E3,43))</f>
        <v/>
      </c>
      <c r="G2846" s="25"/>
      <c r="H2846" s="1" t="str">
        <f>IF(AND(I.Product.GasToPowerStatus="Yes",I.Gas.Y1Count&gt;=43,F2846=""),"Incomplete","Complete")</f>
        <v>Complete</v>
      </c>
      <c r="I2846" s="48" t="s">
        <v>2660</v>
      </c>
    </row>
    <row r="2847" spans="2:9" ht="15" customHeight="1" x14ac:dyDescent="0.25">
      <c r="B2847" s="26" t="s">
        <v>457</v>
      </c>
      <c r="C2847" s="1">
        <v>44</v>
      </c>
      <c r="D2847" s="27" t="s">
        <v>3364</v>
      </c>
      <c r="E2847" s="25"/>
      <c r="F2847" s="25" t="str">
        <f>IF(INDEX(I.Gas.Y1C1E3,44)="","",INDEX(I.Gas.Y1C1E3,44))</f>
        <v/>
      </c>
      <c r="G2847" s="25"/>
      <c r="H2847" s="1" t="str">
        <f>IF(AND(I.Product.GasToPowerStatus="Yes",I.Gas.Y1Count&gt;=44,F2847=""),"Incomplete","Complete")</f>
        <v>Complete</v>
      </c>
      <c r="I2847" s="48" t="s">
        <v>2661</v>
      </c>
    </row>
    <row r="2848" spans="2:9" ht="15" customHeight="1" x14ac:dyDescent="0.25">
      <c r="B2848" s="26" t="s">
        <v>457</v>
      </c>
      <c r="C2848" s="1">
        <v>45</v>
      </c>
      <c r="D2848" s="27" t="s">
        <v>3364</v>
      </c>
      <c r="E2848" s="25"/>
      <c r="F2848" s="25" t="str">
        <f>IF(INDEX(I.Gas.Y1C1E3,45)="","",INDEX(I.Gas.Y1C1E3,45))</f>
        <v/>
      </c>
      <c r="G2848" s="25"/>
      <c r="H2848" s="1" t="str">
        <f>IF(AND(I.Product.GasToPowerStatus="Yes",I.Gas.Y1Count&gt;=45,F2848=""),"Incomplete","Complete")</f>
        <v>Complete</v>
      </c>
      <c r="I2848" s="48" t="s">
        <v>2662</v>
      </c>
    </row>
    <row r="2849" spans="2:9" ht="15" customHeight="1" x14ac:dyDescent="0.25">
      <c r="B2849" s="26" t="s">
        <v>457</v>
      </c>
      <c r="C2849" s="1">
        <v>46</v>
      </c>
      <c r="D2849" s="27" t="s">
        <v>3364</v>
      </c>
      <c r="E2849" s="25"/>
      <c r="F2849" s="25" t="str">
        <f>IF(INDEX(I.Gas.Y1C1E3,46)="","",INDEX(I.Gas.Y1C1E3,46))</f>
        <v/>
      </c>
      <c r="G2849" s="25"/>
      <c r="H2849" s="1" t="str">
        <f>IF(AND(I.Product.GasToPowerStatus="Yes",I.Gas.Y1Count&gt;=46,F2849=""),"Incomplete","Complete")</f>
        <v>Complete</v>
      </c>
      <c r="I2849" s="48" t="s">
        <v>2663</v>
      </c>
    </row>
    <row r="2850" spans="2:9" ht="15" customHeight="1" x14ac:dyDescent="0.25">
      <c r="B2850" s="26" t="s">
        <v>457</v>
      </c>
      <c r="C2850" s="1">
        <v>47</v>
      </c>
      <c r="D2850" s="27" t="s">
        <v>3364</v>
      </c>
      <c r="E2850" s="25"/>
      <c r="F2850" s="25" t="str">
        <f>IF(INDEX(I.Gas.Y1C1E3,47)="","",INDEX(I.Gas.Y1C1E3,47))</f>
        <v/>
      </c>
      <c r="G2850" s="25"/>
      <c r="H2850" s="1" t="str">
        <f>IF(AND(I.Product.GasToPowerStatus="Yes",I.Gas.Y1Count&gt;=47,F2850=""),"Incomplete","Complete")</f>
        <v>Complete</v>
      </c>
      <c r="I2850" s="48" t="s">
        <v>2664</v>
      </c>
    </row>
    <row r="2851" spans="2:9" ht="15" customHeight="1" x14ac:dyDescent="0.25">
      <c r="B2851" s="26" t="s">
        <v>457</v>
      </c>
      <c r="C2851" s="1">
        <v>48</v>
      </c>
      <c r="D2851" s="27" t="s">
        <v>3364</v>
      </c>
      <c r="E2851" s="25"/>
      <c r="F2851" s="25" t="str">
        <f>IF(INDEX(I.Gas.Y1C1E3,48)="","",INDEX(I.Gas.Y1C1E3,48))</f>
        <v/>
      </c>
      <c r="G2851" s="25"/>
      <c r="H2851" s="1" t="str">
        <f>IF(AND(I.Product.GasToPowerStatus="Yes",I.Gas.Y1Count&gt;=48,F2851=""),"Incomplete","Complete")</f>
        <v>Complete</v>
      </c>
      <c r="I2851" s="48" t="s">
        <v>2665</v>
      </c>
    </row>
    <row r="2852" spans="2:9" ht="15" customHeight="1" x14ac:dyDescent="0.25">
      <c r="B2852" s="26" t="s">
        <v>457</v>
      </c>
      <c r="C2852" s="1">
        <v>49</v>
      </c>
      <c r="D2852" s="27" t="s">
        <v>3364</v>
      </c>
      <c r="E2852" s="25"/>
      <c r="F2852" s="25" t="str">
        <f>IF(INDEX(I.Gas.Y1C1E3,49)="","",INDEX(I.Gas.Y1C1E3,49))</f>
        <v/>
      </c>
      <c r="G2852" s="25"/>
      <c r="H2852" s="1" t="str">
        <f>IF(AND(I.Product.GasToPowerStatus="Yes",I.Gas.Y1Count&gt;=49,F2852=""),"Incomplete","Complete")</f>
        <v>Complete</v>
      </c>
      <c r="I2852" s="48" t="s">
        <v>2666</v>
      </c>
    </row>
    <row r="2853" spans="2:9" ht="15" customHeight="1" x14ac:dyDescent="0.25">
      <c r="B2853" s="34" t="s">
        <v>457</v>
      </c>
      <c r="C2853" s="35">
        <v>50</v>
      </c>
      <c r="D2853" s="46" t="s">
        <v>3364</v>
      </c>
      <c r="E2853" s="45"/>
      <c r="F2853" s="45" t="str">
        <f>IF(INDEX(I.Gas.Y1C1E3,50)="","",INDEX(I.Gas.Y1C1E3,50))</f>
        <v/>
      </c>
      <c r="G2853" s="45"/>
      <c r="H2853" s="35" t="str">
        <f>IF(AND(I.Product.GasToPowerStatus="Yes",I.Gas.Y1Count&gt;=50,F2853=""),"Incomplete","Complete")</f>
        <v>Complete</v>
      </c>
      <c r="I2853" s="49" t="s">
        <v>2667</v>
      </c>
    </row>
    <row r="2854" spans="2:9" ht="15" customHeight="1" x14ac:dyDescent="0.25">
      <c r="B2854" s="34" t="s">
        <v>458</v>
      </c>
      <c r="C2854" s="35">
        <v>1</v>
      </c>
      <c r="D2854" s="46" t="s">
        <v>3365</v>
      </c>
      <c r="E2854" s="44"/>
      <c r="F2854" s="44" t="str">
        <f>IF(INDEX(I.Gas.Y2Count,1)="","",INDEX(I.Gas.Y2Count,1))</f>
        <v/>
      </c>
      <c r="G2854" s="44"/>
      <c r="H2854" s="35" t="str">
        <f>IF(AND(I.Product.GasToPowerStatus="Yes",OR(I.Gas.Y2Count="",I.Gas.Y2Count=0)),"Incomplete","Complete")</f>
        <v>Complete</v>
      </c>
      <c r="I2854" s="49" t="s">
        <v>2668</v>
      </c>
    </row>
    <row r="2855" spans="2:9" ht="15" customHeight="1" x14ac:dyDescent="0.25">
      <c r="B2855" s="26" t="s">
        <v>459</v>
      </c>
      <c r="C2855" s="1">
        <v>1</v>
      </c>
      <c r="D2855" s="27" t="s">
        <v>3366</v>
      </c>
      <c r="E2855" s="25"/>
      <c r="F2855" s="25" t="str">
        <f>IF(INDEX(I.Gas.Y2AssociatedGasEnergy,1)="","",INDEX(I.Gas.Y2AssociatedGasEnergy,1))</f>
        <v/>
      </c>
      <c r="G2855" s="25"/>
      <c r="H2855" s="1" t="str">
        <f>IF(AND(I.Product.GasToPowerStatus="Yes",I.Gas.Y2Count&gt;=1,F2855=""),"Incomplete","Complete")</f>
        <v>Complete</v>
      </c>
      <c r="I2855" s="48" t="s">
        <v>2669</v>
      </c>
    </row>
    <row r="2856" spans="2:9" ht="15" customHeight="1" x14ac:dyDescent="0.25">
      <c r="B2856" s="26" t="s">
        <v>459</v>
      </c>
      <c r="C2856" s="1">
        <v>2</v>
      </c>
      <c r="D2856" s="27" t="s">
        <v>3366</v>
      </c>
      <c r="E2856" s="25"/>
      <c r="F2856" s="25" t="str">
        <f>IF(INDEX(I.Gas.Y2AssociatedGasEnergy,2)="","",INDEX(I.Gas.Y2AssociatedGasEnergy,2))</f>
        <v/>
      </c>
      <c r="G2856" s="25"/>
      <c r="H2856" s="1" t="str">
        <f>IF(AND(I.Product.GasToPowerStatus="Yes",I.Gas.Y2Count&gt;=2,F2856=""),"Incomplete","Complete")</f>
        <v>Complete</v>
      </c>
      <c r="I2856" s="48" t="s">
        <v>2670</v>
      </c>
    </row>
    <row r="2857" spans="2:9" ht="15" customHeight="1" x14ac:dyDescent="0.25">
      <c r="B2857" s="26" t="s">
        <v>459</v>
      </c>
      <c r="C2857" s="1">
        <v>3</v>
      </c>
      <c r="D2857" s="27" t="s">
        <v>3366</v>
      </c>
      <c r="E2857" s="25"/>
      <c r="F2857" s="25" t="str">
        <f>IF(INDEX(I.Gas.Y2AssociatedGasEnergy,3)="","",INDEX(I.Gas.Y2AssociatedGasEnergy,3))</f>
        <v/>
      </c>
      <c r="G2857" s="25"/>
      <c r="H2857" s="1" t="str">
        <f>IF(AND(I.Product.GasToPowerStatus="Yes",I.Gas.Y2Count&gt;=3,F2857=""),"Incomplete","Complete")</f>
        <v>Complete</v>
      </c>
      <c r="I2857" s="48" t="s">
        <v>2671</v>
      </c>
    </row>
    <row r="2858" spans="2:9" ht="15" customHeight="1" x14ac:dyDescent="0.25">
      <c r="B2858" s="26" t="s">
        <v>459</v>
      </c>
      <c r="C2858" s="1">
        <v>4</v>
      </c>
      <c r="D2858" s="27" t="s">
        <v>3366</v>
      </c>
      <c r="E2858" s="25"/>
      <c r="F2858" s="25" t="str">
        <f>IF(INDEX(I.Gas.Y2AssociatedGasEnergy,4)="","",INDEX(I.Gas.Y2AssociatedGasEnergy,4))</f>
        <v/>
      </c>
      <c r="G2858" s="25"/>
      <c r="H2858" s="1" t="str">
        <f>IF(AND(I.Product.GasToPowerStatus="Yes",I.Gas.Y2Count&gt;=4,F2858=""),"Incomplete","Complete")</f>
        <v>Complete</v>
      </c>
      <c r="I2858" s="48" t="s">
        <v>2672</v>
      </c>
    </row>
    <row r="2859" spans="2:9" ht="15" customHeight="1" x14ac:dyDescent="0.25">
      <c r="B2859" s="26" t="s">
        <v>459</v>
      </c>
      <c r="C2859" s="1">
        <v>5</v>
      </c>
      <c r="D2859" s="27" t="s">
        <v>3366</v>
      </c>
      <c r="E2859" s="25"/>
      <c r="F2859" s="25" t="str">
        <f>IF(INDEX(I.Gas.Y2AssociatedGasEnergy,5)="","",INDEX(I.Gas.Y2AssociatedGasEnergy,5))</f>
        <v/>
      </c>
      <c r="G2859" s="25"/>
      <c r="H2859" s="1" t="str">
        <f>IF(AND(I.Product.GasToPowerStatus="Yes",I.Gas.Y2Count&gt;=5,F2859=""),"Incomplete","Complete")</f>
        <v>Complete</v>
      </c>
      <c r="I2859" s="48" t="s">
        <v>2673</v>
      </c>
    </row>
    <row r="2860" spans="2:9" ht="15" customHeight="1" x14ac:dyDescent="0.25">
      <c r="B2860" s="26" t="s">
        <v>459</v>
      </c>
      <c r="C2860" s="1">
        <v>6</v>
      </c>
      <c r="D2860" s="27" t="s">
        <v>3366</v>
      </c>
      <c r="E2860" s="25"/>
      <c r="F2860" s="25" t="str">
        <f>IF(INDEX(I.Gas.Y2AssociatedGasEnergy,6)="","",INDEX(I.Gas.Y2AssociatedGasEnergy,6))</f>
        <v/>
      </c>
      <c r="G2860" s="25"/>
      <c r="H2860" s="1" t="str">
        <f>IF(AND(I.Product.GasToPowerStatus="Yes",I.Gas.Y2Count&gt;=6,F2860=""),"Incomplete","Complete")</f>
        <v>Complete</v>
      </c>
      <c r="I2860" s="48" t="s">
        <v>2674</v>
      </c>
    </row>
    <row r="2861" spans="2:9" ht="15" customHeight="1" x14ac:dyDescent="0.25">
      <c r="B2861" s="26" t="s">
        <v>459</v>
      </c>
      <c r="C2861" s="1">
        <v>7</v>
      </c>
      <c r="D2861" s="27" t="s">
        <v>3366</v>
      </c>
      <c r="E2861" s="25"/>
      <c r="F2861" s="25" t="str">
        <f>IF(INDEX(I.Gas.Y2AssociatedGasEnergy,7)="","",INDEX(I.Gas.Y2AssociatedGasEnergy,7))</f>
        <v/>
      </c>
      <c r="G2861" s="25"/>
      <c r="H2861" s="1" t="str">
        <f>IF(AND(I.Product.GasToPowerStatus="Yes",I.Gas.Y2Count&gt;=7,F2861=""),"Incomplete","Complete")</f>
        <v>Complete</v>
      </c>
      <c r="I2861" s="48" t="s">
        <v>2675</v>
      </c>
    </row>
    <row r="2862" spans="2:9" ht="15" customHeight="1" x14ac:dyDescent="0.25">
      <c r="B2862" s="26" t="s">
        <v>459</v>
      </c>
      <c r="C2862" s="1">
        <v>8</v>
      </c>
      <c r="D2862" s="27" t="s">
        <v>3366</v>
      </c>
      <c r="E2862" s="25"/>
      <c r="F2862" s="25" t="str">
        <f>IF(INDEX(I.Gas.Y2AssociatedGasEnergy,8)="","",INDEX(I.Gas.Y2AssociatedGasEnergy,8))</f>
        <v/>
      </c>
      <c r="G2862" s="25"/>
      <c r="H2862" s="1" t="str">
        <f>IF(AND(I.Product.GasToPowerStatus="Yes",I.Gas.Y2Count&gt;=8,F2862=""),"Incomplete","Complete")</f>
        <v>Complete</v>
      </c>
      <c r="I2862" s="48" t="s">
        <v>2676</v>
      </c>
    </row>
    <row r="2863" spans="2:9" ht="15" customHeight="1" x14ac:dyDescent="0.25">
      <c r="B2863" s="26" t="s">
        <v>459</v>
      </c>
      <c r="C2863" s="1">
        <v>9</v>
      </c>
      <c r="D2863" s="27" t="s">
        <v>3366</v>
      </c>
      <c r="E2863" s="25"/>
      <c r="F2863" s="25" t="str">
        <f>IF(INDEX(I.Gas.Y2AssociatedGasEnergy,9)="","",INDEX(I.Gas.Y2AssociatedGasEnergy,9))</f>
        <v/>
      </c>
      <c r="G2863" s="25"/>
      <c r="H2863" s="1" t="str">
        <f>IF(AND(I.Product.GasToPowerStatus="Yes",I.Gas.Y2Count&gt;=9,F2863=""),"Incomplete","Complete")</f>
        <v>Complete</v>
      </c>
      <c r="I2863" s="48" t="s">
        <v>2677</v>
      </c>
    </row>
    <row r="2864" spans="2:9" ht="15" customHeight="1" x14ac:dyDescent="0.25">
      <c r="B2864" s="26" t="s">
        <v>459</v>
      </c>
      <c r="C2864" s="1">
        <v>10</v>
      </c>
      <c r="D2864" s="27" t="s">
        <v>3366</v>
      </c>
      <c r="E2864" s="25"/>
      <c r="F2864" s="25" t="str">
        <f>IF(INDEX(I.Gas.Y2AssociatedGasEnergy,10)="","",INDEX(I.Gas.Y2AssociatedGasEnergy,10))</f>
        <v/>
      </c>
      <c r="G2864" s="25"/>
      <c r="H2864" s="1" t="str">
        <f>IF(AND(I.Product.GasToPowerStatus="Yes",I.Gas.Y2Count&gt;=10,F2864=""),"Incomplete","Complete")</f>
        <v>Complete</v>
      </c>
      <c r="I2864" s="48" t="s">
        <v>2678</v>
      </c>
    </row>
    <row r="2865" spans="2:9" ht="15" customHeight="1" x14ac:dyDescent="0.25">
      <c r="B2865" s="26" t="s">
        <v>459</v>
      </c>
      <c r="C2865" s="1">
        <v>11</v>
      </c>
      <c r="D2865" s="27" t="s">
        <v>3366</v>
      </c>
      <c r="E2865" s="25"/>
      <c r="F2865" s="25" t="str">
        <f>IF(INDEX(I.Gas.Y2AssociatedGasEnergy,11)="","",INDEX(I.Gas.Y2AssociatedGasEnergy,11))</f>
        <v/>
      </c>
      <c r="G2865" s="25"/>
      <c r="H2865" s="1" t="str">
        <f>IF(AND(I.Product.GasToPowerStatus="Yes",I.Gas.Y2Count&gt;=11,F2865=""),"Incomplete","Complete")</f>
        <v>Complete</v>
      </c>
      <c r="I2865" s="48" t="s">
        <v>2679</v>
      </c>
    </row>
    <row r="2866" spans="2:9" ht="15" customHeight="1" x14ac:dyDescent="0.25">
      <c r="B2866" s="26" t="s">
        <v>459</v>
      </c>
      <c r="C2866" s="1">
        <v>12</v>
      </c>
      <c r="D2866" s="27" t="s">
        <v>3366</v>
      </c>
      <c r="E2866" s="25"/>
      <c r="F2866" s="25" t="str">
        <f>IF(INDEX(I.Gas.Y2AssociatedGasEnergy,12)="","",INDEX(I.Gas.Y2AssociatedGasEnergy,12))</f>
        <v/>
      </c>
      <c r="G2866" s="25"/>
      <c r="H2866" s="1" t="str">
        <f>IF(AND(I.Product.GasToPowerStatus="Yes",I.Gas.Y2Count&gt;=12,F2866=""),"Incomplete","Complete")</f>
        <v>Complete</v>
      </c>
      <c r="I2866" s="48" t="s">
        <v>2680</v>
      </c>
    </row>
    <row r="2867" spans="2:9" ht="15" customHeight="1" x14ac:dyDescent="0.25">
      <c r="B2867" s="26" t="s">
        <v>459</v>
      </c>
      <c r="C2867" s="1">
        <v>13</v>
      </c>
      <c r="D2867" s="27" t="s">
        <v>3366</v>
      </c>
      <c r="E2867" s="25"/>
      <c r="F2867" s="25" t="str">
        <f>IF(INDEX(I.Gas.Y2AssociatedGasEnergy,13)="","",INDEX(I.Gas.Y2AssociatedGasEnergy,13))</f>
        <v/>
      </c>
      <c r="G2867" s="25"/>
      <c r="H2867" s="1" t="str">
        <f>IF(AND(I.Product.GasToPowerStatus="Yes",I.Gas.Y2Count&gt;=13,F2867=""),"Incomplete","Complete")</f>
        <v>Complete</v>
      </c>
      <c r="I2867" s="48" t="s">
        <v>2681</v>
      </c>
    </row>
    <row r="2868" spans="2:9" ht="15" customHeight="1" x14ac:dyDescent="0.25">
      <c r="B2868" s="26" t="s">
        <v>459</v>
      </c>
      <c r="C2868" s="1">
        <v>14</v>
      </c>
      <c r="D2868" s="27" t="s">
        <v>3366</v>
      </c>
      <c r="E2868" s="25"/>
      <c r="F2868" s="25" t="str">
        <f>IF(INDEX(I.Gas.Y2AssociatedGasEnergy,14)="","",INDEX(I.Gas.Y2AssociatedGasEnergy,14))</f>
        <v/>
      </c>
      <c r="G2868" s="25"/>
      <c r="H2868" s="1" t="str">
        <f>IF(AND(I.Product.GasToPowerStatus="Yes",I.Gas.Y2Count&gt;=14,F2868=""),"Incomplete","Complete")</f>
        <v>Complete</v>
      </c>
      <c r="I2868" s="48" t="s">
        <v>2682</v>
      </c>
    </row>
    <row r="2869" spans="2:9" ht="15" customHeight="1" x14ac:dyDescent="0.25">
      <c r="B2869" s="26" t="s">
        <v>459</v>
      </c>
      <c r="C2869" s="1">
        <v>15</v>
      </c>
      <c r="D2869" s="27" t="s">
        <v>3366</v>
      </c>
      <c r="E2869" s="25"/>
      <c r="F2869" s="25" t="str">
        <f>IF(INDEX(I.Gas.Y2AssociatedGasEnergy,15)="","",INDEX(I.Gas.Y2AssociatedGasEnergy,15))</f>
        <v/>
      </c>
      <c r="G2869" s="25"/>
      <c r="H2869" s="1" t="str">
        <f>IF(AND(I.Product.GasToPowerStatus="Yes",I.Gas.Y2Count&gt;=15,F2869=""),"Incomplete","Complete")</f>
        <v>Complete</v>
      </c>
      <c r="I2869" s="48" t="s">
        <v>2683</v>
      </c>
    </row>
    <row r="2870" spans="2:9" ht="15" customHeight="1" x14ac:dyDescent="0.25">
      <c r="B2870" s="26" t="s">
        <v>459</v>
      </c>
      <c r="C2870" s="1">
        <v>16</v>
      </c>
      <c r="D2870" s="27" t="s">
        <v>3366</v>
      </c>
      <c r="E2870" s="25"/>
      <c r="F2870" s="25" t="str">
        <f>IF(INDEX(I.Gas.Y2AssociatedGasEnergy,16)="","",INDEX(I.Gas.Y2AssociatedGasEnergy,16))</f>
        <v/>
      </c>
      <c r="G2870" s="25"/>
      <c r="H2870" s="1" t="str">
        <f>IF(AND(I.Product.GasToPowerStatus="Yes",I.Gas.Y2Count&gt;=16,F2870=""),"Incomplete","Complete")</f>
        <v>Complete</v>
      </c>
      <c r="I2870" s="48" t="s">
        <v>2684</v>
      </c>
    </row>
    <row r="2871" spans="2:9" ht="15" customHeight="1" x14ac:dyDescent="0.25">
      <c r="B2871" s="26" t="s">
        <v>459</v>
      </c>
      <c r="C2871" s="1">
        <v>17</v>
      </c>
      <c r="D2871" s="27" t="s">
        <v>3366</v>
      </c>
      <c r="E2871" s="25"/>
      <c r="F2871" s="25" t="str">
        <f>IF(INDEX(I.Gas.Y2AssociatedGasEnergy,17)="","",INDEX(I.Gas.Y2AssociatedGasEnergy,17))</f>
        <v/>
      </c>
      <c r="G2871" s="25"/>
      <c r="H2871" s="1" t="str">
        <f>IF(AND(I.Product.GasToPowerStatus="Yes",I.Gas.Y2Count&gt;=17,F2871=""),"Incomplete","Complete")</f>
        <v>Complete</v>
      </c>
      <c r="I2871" s="48" t="s">
        <v>2685</v>
      </c>
    </row>
    <row r="2872" spans="2:9" ht="15" customHeight="1" x14ac:dyDescent="0.25">
      <c r="B2872" s="26" t="s">
        <v>459</v>
      </c>
      <c r="C2872" s="1">
        <v>18</v>
      </c>
      <c r="D2872" s="27" t="s">
        <v>3366</v>
      </c>
      <c r="E2872" s="25"/>
      <c r="F2872" s="25" t="str">
        <f>IF(INDEX(I.Gas.Y2AssociatedGasEnergy,18)="","",INDEX(I.Gas.Y2AssociatedGasEnergy,18))</f>
        <v/>
      </c>
      <c r="G2872" s="25"/>
      <c r="H2872" s="1" t="str">
        <f>IF(AND(I.Product.GasToPowerStatus="Yes",I.Gas.Y2Count&gt;=18,F2872=""),"Incomplete","Complete")</f>
        <v>Complete</v>
      </c>
      <c r="I2872" s="48" t="s">
        <v>2686</v>
      </c>
    </row>
    <row r="2873" spans="2:9" ht="15" customHeight="1" x14ac:dyDescent="0.25">
      <c r="B2873" s="26" t="s">
        <v>459</v>
      </c>
      <c r="C2873" s="1">
        <v>19</v>
      </c>
      <c r="D2873" s="27" t="s">
        <v>3366</v>
      </c>
      <c r="E2873" s="25"/>
      <c r="F2873" s="25" t="str">
        <f>IF(INDEX(I.Gas.Y2AssociatedGasEnergy,19)="","",INDEX(I.Gas.Y2AssociatedGasEnergy,19))</f>
        <v/>
      </c>
      <c r="G2873" s="25"/>
      <c r="H2873" s="1" t="str">
        <f>IF(AND(I.Product.GasToPowerStatus="Yes",I.Gas.Y2Count&gt;=19,F2873=""),"Incomplete","Complete")</f>
        <v>Complete</v>
      </c>
      <c r="I2873" s="48" t="s">
        <v>2687</v>
      </c>
    </row>
    <row r="2874" spans="2:9" ht="15" customHeight="1" x14ac:dyDescent="0.25">
      <c r="B2874" s="26" t="s">
        <v>459</v>
      </c>
      <c r="C2874" s="1">
        <v>20</v>
      </c>
      <c r="D2874" s="27" t="s">
        <v>3366</v>
      </c>
      <c r="E2874" s="25"/>
      <c r="F2874" s="25" t="str">
        <f>IF(INDEX(I.Gas.Y2AssociatedGasEnergy,20)="","",INDEX(I.Gas.Y2AssociatedGasEnergy,20))</f>
        <v/>
      </c>
      <c r="G2874" s="25"/>
      <c r="H2874" s="1" t="str">
        <f>IF(AND(I.Product.GasToPowerStatus="Yes",I.Gas.Y2Count&gt;=20,F2874=""),"Incomplete","Complete")</f>
        <v>Complete</v>
      </c>
      <c r="I2874" s="48" t="s">
        <v>2688</v>
      </c>
    </row>
    <row r="2875" spans="2:9" ht="15" customHeight="1" x14ac:dyDescent="0.25">
      <c r="B2875" s="26" t="s">
        <v>459</v>
      </c>
      <c r="C2875" s="1">
        <v>21</v>
      </c>
      <c r="D2875" s="27" t="s">
        <v>3366</v>
      </c>
      <c r="E2875" s="25"/>
      <c r="F2875" s="25" t="str">
        <f>IF(INDEX(I.Gas.Y2AssociatedGasEnergy,21)="","",INDEX(I.Gas.Y2AssociatedGasEnergy,21))</f>
        <v/>
      </c>
      <c r="G2875" s="25"/>
      <c r="H2875" s="1" t="str">
        <f>IF(AND(I.Product.GasToPowerStatus="Yes",I.Gas.Y2Count&gt;=21,F2875=""),"Incomplete","Complete")</f>
        <v>Complete</v>
      </c>
      <c r="I2875" s="48" t="s">
        <v>2689</v>
      </c>
    </row>
    <row r="2876" spans="2:9" ht="15" customHeight="1" x14ac:dyDescent="0.25">
      <c r="B2876" s="26" t="s">
        <v>459</v>
      </c>
      <c r="C2876" s="1">
        <v>22</v>
      </c>
      <c r="D2876" s="27" t="s">
        <v>3366</v>
      </c>
      <c r="E2876" s="25"/>
      <c r="F2876" s="25" t="str">
        <f>IF(INDEX(I.Gas.Y2AssociatedGasEnergy,22)="","",INDEX(I.Gas.Y2AssociatedGasEnergy,22))</f>
        <v/>
      </c>
      <c r="G2876" s="25"/>
      <c r="H2876" s="1" t="str">
        <f>IF(AND(I.Product.GasToPowerStatus="Yes",I.Gas.Y2Count&gt;=22,F2876=""),"Incomplete","Complete")</f>
        <v>Complete</v>
      </c>
      <c r="I2876" s="48" t="s">
        <v>2690</v>
      </c>
    </row>
    <row r="2877" spans="2:9" ht="15" customHeight="1" x14ac:dyDescent="0.25">
      <c r="B2877" s="26" t="s">
        <v>459</v>
      </c>
      <c r="C2877" s="1">
        <v>23</v>
      </c>
      <c r="D2877" s="27" t="s">
        <v>3366</v>
      </c>
      <c r="E2877" s="25"/>
      <c r="F2877" s="25" t="str">
        <f>IF(INDEX(I.Gas.Y2AssociatedGasEnergy,23)="","",INDEX(I.Gas.Y2AssociatedGasEnergy,23))</f>
        <v/>
      </c>
      <c r="G2877" s="25"/>
      <c r="H2877" s="1" t="str">
        <f>IF(AND(I.Product.GasToPowerStatus="Yes",I.Gas.Y2Count&gt;=23,F2877=""),"Incomplete","Complete")</f>
        <v>Complete</v>
      </c>
      <c r="I2877" s="48" t="s">
        <v>2691</v>
      </c>
    </row>
    <row r="2878" spans="2:9" ht="15" customHeight="1" x14ac:dyDescent="0.25">
      <c r="B2878" s="26" t="s">
        <v>459</v>
      </c>
      <c r="C2878" s="1">
        <v>24</v>
      </c>
      <c r="D2878" s="27" t="s">
        <v>3366</v>
      </c>
      <c r="E2878" s="25"/>
      <c r="F2878" s="25" t="str">
        <f>IF(INDEX(I.Gas.Y2AssociatedGasEnergy,24)="","",INDEX(I.Gas.Y2AssociatedGasEnergy,24))</f>
        <v/>
      </c>
      <c r="G2878" s="25"/>
      <c r="H2878" s="1" t="str">
        <f>IF(AND(I.Product.GasToPowerStatus="Yes",I.Gas.Y2Count&gt;=24,F2878=""),"Incomplete","Complete")</f>
        <v>Complete</v>
      </c>
      <c r="I2878" s="48" t="s">
        <v>2692</v>
      </c>
    </row>
    <row r="2879" spans="2:9" ht="15" customHeight="1" x14ac:dyDescent="0.25">
      <c r="B2879" s="26" t="s">
        <v>459</v>
      </c>
      <c r="C2879" s="1">
        <v>25</v>
      </c>
      <c r="D2879" s="27" t="s">
        <v>3366</v>
      </c>
      <c r="E2879" s="25"/>
      <c r="F2879" s="25" t="str">
        <f>IF(INDEX(I.Gas.Y2AssociatedGasEnergy,25)="","",INDEX(I.Gas.Y2AssociatedGasEnergy,25))</f>
        <v/>
      </c>
      <c r="G2879" s="25"/>
      <c r="H2879" s="1" t="str">
        <f>IF(AND(I.Product.GasToPowerStatus="Yes",I.Gas.Y2Count&gt;=25,F2879=""),"Incomplete","Complete")</f>
        <v>Complete</v>
      </c>
      <c r="I2879" s="48" t="s">
        <v>2693</v>
      </c>
    </row>
    <row r="2880" spans="2:9" ht="15" customHeight="1" x14ac:dyDescent="0.25">
      <c r="B2880" s="26" t="s">
        <v>459</v>
      </c>
      <c r="C2880" s="1">
        <v>26</v>
      </c>
      <c r="D2880" s="27" t="s">
        <v>3366</v>
      </c>
      <c r="E2880" s="25"/>
      <c r="F2880" s="25" t="str">
        <f>IF(INDEX(I.Gas.Y2AssociatedGasEnergy,26)="","",INDEX(I.Gas.Y2AssociatedGasEnergy,26))</f>
        <v/>
      </c>
      <c r="G2880" s="25"/>
      <c r="H2880" s="1" t="str">
        <f>IF(AND(I.Product.GasToPowerStatus="Yes",I.Gas.Y2Count&gt;=26,F2880=""),"Incomplete","Complete")</f>
        <v>Complete</v>
      </c>
      <c r="I2880" s="48" t="s">
        <v>2694</v>
      </c>
    </row>
    <row r="2881" spans="2:9" ht="15" customHeight="1" x14ac:dyDescent="0.25">
      <c r="B2881" s="26" t="s">
        <v>459</v>
      </c>
      <c r="C2881" s="1">
        <v>27</v>
      </c>
      <c r="D2881" s="27" t="s">
        <v>3366</v>
      </c>
      <c r="E2881" s="25"/>
      <c r="F2881" s="25" t="str">
        <f>IF(INDEX(I.Gas.Y2AssociatedGasEnergy,27)="","",INDEX(I.Gas.Y2AssociatedGasEnergy,27))</f>
        <v/>
      </c>
      <c r="G2881" s="25"/>
      <c r="H2881" s="1" t="str">
        <f>IF(AND(I.Product.GasToPowerStatus="Yes",I.Gas.Y2Count&gt;=27,F2881=""),"Incomplete","Complete")</f>
        <v>Complete</v>
      </c>
      <c r="I2881" s="48" t="s">
        <v>2695</v>
      </c>
    </row>
    <row r="2882" spans="2:9" ht="15" customHeight="1" x14ac:dyDescent="0.25">
      <c r="B2882" s="26" t="s">
        <v>459</v>
      </c>
      <c r="C2882" s="1">
        <v>28</v>
      </c>
      <c r="D2882" s="27" t="s">
        <v>3366</v>
      </c>
      <c r="E2882" s="25"/>
      <c r="F2882" s="25" t="str">
        <f>IF(INDEX(I.Gas.Y2AssociatedGasEnergy,28)="","",INDEX(I.Gas.Y2AssociatedGasEnergy,28))</f>
        <v/>
      </c>
      <c r="G2882" s="25"/>
      <c r="H2882" s="1" t="str">
        <f>IF(AND(I.Product.GasToPowerStatus="Yes",I.Gas.Y2Count&gt;=28,F2882=""),"Incomplete","Complete")</f>
        <v>Complete</v>
      </c>
      <c r="I2882" s="48" t="s">
        <v>2696</v>
      </c>
    </row>
    <row r="2883" spans="2:9" ht="15" customHeight="1" x14ac:dyDescent="0.25">
      <c r="B2883" s="26" t="s">
        <v>459</v>
      </c>
      <c r="C2883" s="1">
        <v>29</v>
      </c>
      <c r="D2883" s="27" t="s">
        <v>3366</v>
      </c>
      <c r="E2883" s="25"/>
      <c r="F2883" s="25" t="str">
        <f>IF(INDEX(I.Gas.Y2AssociatedGasEnergy,29)="","",INDEX(I.Gas.Y2AssociatedGasEnergy,29))</f>
        <v/>
      </c>
      <c r="G2883" s="25"/>
      <c r="H2883" s="1" t="str">
        <f>IF(AND(I.Product.GasToPowerStatus="Yes",I.Gas.Y2Count&gt;=29,F2883=""),"Incomplete","Complete")</f>
        <v>Complete</v>
      </c>
      <c r="I2883" s="48" t="s">
        <v>2697</v>
      </c>
    </row>
    <row r="2884" spans="2:9" ht="15" customHeight="1" x14ac:dyDescent="0.25">
      <c r="B2884" s="26" t="s">
        <v>459</v>
      </c>
      <c r="C2884" s="1">
        <v>30</v>
      </c>
      <c r="D2884" s="27" t="s">
        <v>3366</v>
      </c>
      <c r="E2884" s="25"/>
      <c r="F2884" s="25" t="str">
        <f>IF(INDEX(I.Gas.Y2AssociatedGasEnergy,30)="","",INDEX(I.Gas.Y2AssociatedGasEnergy,30))</f>
        <v/>
      </c>
      <c r="G2884" s="25"/>
      <c r="H2884" s="1" t="str">
        <f>IF(AND(I.Product.GasToPowerStatus="Yes",I.Gas.Y2Count&gt;=30,F2884=""),"Incomplete","Complete")</f>
        <v>Complete</v>
      </c>
      <c r="I2884" s="48" t="s">
        <v>2698</v>
      </c>
    </row>
    <row r="2885" spans="2:9" ht="15" customHeight="1" x14ac:dyDescent="0.25">
      <c r="B2885" s="26" t="s">
        <v>459</v>
      </c>
      <c r="C2885" s="1">
        <v>31</v>
      </c>
      <c r="D2885" s="27" t="s">
        <v>3366</v>
      </c>
      <c r="E2885" s="25"/>
      <c r="F2885" s="25" t="str">
        <f>IF(INDEX(I.Gas.Y2AssociatedGasEnergy,31)="","",INDEX(I.Gas.Y2AssociatedGasEnergy,31))</f>
        <v/>
      </c>
      <c r="G2885" s="25"/>
      <c r="H2885" s="1" t="str">
        <f>IF(AND(I.Product.GasToPowerStatus="Yes",I.Gas.Y2Count&gt;=31,F2885=""),"Incomplete","Complete")</f>
        <v>Complete</v>
      </c>
      <c r="I2885" s="48" t="s">
        <v>2699</v>
      </c>
    </row>
    <row r="2886" spans="2:9" ht="15" customHeight="1" x14ac:dyDescent="0.25">
      <c r="B2886" s="26" t="s">
        <v>459</v>
      </c>
      <c r="C2886" s="1">
        <v>32</v>
      </c>
      <c r="D2886" s="27" t="s">
        <v>3366</v>
      </c>
      <c r="E2886" s="25"/>
      <c r="F2886" s="25" t="str">
        <f>IF(INDEX(I.Gas.Y2AssociatedGasEnergy,32)="","",INDEX(I.Gas.Y2AssociatedGasEnergy,32))</f>
        <v/>
      </c>
      <c r="G2886" s="25"/>
      <c r="H2886" s="1" t="str">
        <f>IF(AND(I.Product.GasToPowerStatus="Yes",I.Gas.Y2Count&gt;=32,F2886=""),"Incomplete","Complete")</f>
        <v>Complete</v>
      </c>
      <c r="I2886" s="48" t="s">
        <v>2700</v>
      </c>
    </row>
    <row r="2887" spans="2:9" ht="15" customHeight="1" x14ac:dyDescent="0.25">
      <c r="B2887" s="26" t="s">
        <v>459</v>
      </c>
      <c r="C2887" s="1">
        <v>33</v>
      </c>
      <c r="D2887" s="27" t="s">
        <v>3366</v>
      </c>
      <c r="E2887" s="25"/>
      <c r="F2887" s="25" t="str">
        <f>IF(INDEX(I.Gas.Y2AssociatedGasEnergy,33)="","",INDEX(I.Gas.Y2AssociatedGasEnergy,33))</f>
        <v/>
      </c>
      <c r="G2887" s="25"/>
      <c r="H2887" s="1" t="str">
        <f>IF(AND(I.Product.GasToPowerStatus="Yes",I.Gas.Y2Count&gt;=33,F2887=""),"Incomplete","Complete")</f>
        <v>Complete</v>
      </c>
      <c r="I2887" s="48" t="s">
        <v>2701</v>
      </c>
    </row>
    <row r="2888" spans="2:9" ht="15" customHeight="1" x14ac:dyDescent="0.25">
      <c r="B2888" s="26" t="s">
        <v>459</v>
      </c>
      <c r="C2888" s="1">
        <v>34</v>
      </c>
      <c r="D2888" s="27" t="s">
        <v>3366</v>
      </c>
      <c r="E2888" s="25"/>
      <c r="F2888" s="25" t="str">
        <f>IF(INDEX(I.Gas.Y2AssociatedGasEnergy,34)="","",INDEX(I.Gas.Y2AssociatedGasEnergy,34))</f>
        <v/>
      </c>
      <c r="G2888" s="25"/>
      <c r="H2888" s="1" t="str">
        <f>IF(AND(I.Product.GasToPowerStatus="Yes",I.Gas.Y2Count&gt;=34,F2888=""),"Incomplete","Complete")</f>
        <v>Complete</v>
      </c>
      <c r="I2888" s="48" t="s">
        <v>2702</v>
      </c>
    </row>
    <row r="2889" spans="2:9" ht="15" customHeight="1" x14ac:dyDescent="0.25">
      <c r="B2889" s="26" t="s">
        <v>459</v>
      </c>
      <c r="C2889" s="1">
        <v>35</v>
      </c>
      <c r="D2889" s="27" t="s">
        <v>3366</v>
      </c>
      <c r="E2889" s="25"/>
      <c r="F2889" s="25" t="str">
        <f>IF(INDEX(I.Gas.Y2AssociatedGasEnergy,35)="","",INDEX(I.Gas.Y2AssociatedGasEnergy,35))</f>
        <v/>
      </c>
      <c r="G2889" s="25"/>
      <c r="H2889" s="1" t="str">
        <f>IF(AND(I.Product.GasToPowerStatus="Yes",I.Gas.Y2Count&gt;=35,F2889=""),"Incomplete","Complete")</f>
        <v>Complete</v>
      </c>
      <c r="I2889" s="48" t="s">
        <v>2703</v>
      </c>
    </row>
    <row r="2890" spans="2:9" ht="15" customHeight="1" x14ac:dyDescent="0.25">
      <c r="B2890" s="26" t="s">
        <v>459</v>
      </c>
      <c r="C2890" s="1">
        <v>36</v>
      </c>
      <c r="D2890" s="27" t="s">
        <v>3366</v>
      </c>
      <c r="E2890" s="25"/>
      <c r="F2890" s="25" t="str">
        <f>IF(INDEX(I.Gas.Y2AssociatedGasEnergy,36)="","",INDEX(I.Gas.Y2AssociatedGasEnergy,36))</f>
        <v/>
      </c>
      <c r="G2890" s="25"/>
      <c r="H2890" s="1" t="str">
        <f>IF(AND(I.Product.GasToPowerStatus="Yes",I.Gas.Y2Count&gt;=36,F2890=""),"Incomplete","Complete")</f>
        <v>Complete</v>
      </c>
      <c r="I2890" s="48" t="s">
        <v>2704</v>
      </c>
    </row>
    <row r="2891" spans="2:9" ht="15" customHeight="1" x14ac:dyDescent="0.25">
      <c r="B2891" s="26" t="s">
        <v>459</v>
      </c>
      <c r="C2891" s="1">
        <v>37</v>
      </c>
      <c r="D2891" s="27" t="s">
        <v>3366</v>
      </c>
      <c r="E2891" s="25"/>
      <c r="F2891" s="25" t="str">
        <f>IF(INDEX(I.Gas.Y2AssociatedGasEnergy,37)="","",INDEX(I.Gas.Y2AssociatedGasEnergy,37))</f>
        <v/>
      </c>
      <c r="G2891" s="25"/>
      <c r="H2891" s="1" t="str">
        <f>IF(AND(I.Product.GasToPowerStatus="Yes",I.Gas.Y2Count&gt;=37,F2891=""),"Incomplete","Complete")</f>
        <v>Complete</v>
      </c>
      <c r="I2891" s="48" t="s">
        <v>2705</v>
      </c>
    </row>
    <row r="2892" spans="2:9" ht="15" customHeight="1" x14ac:dyDescent="0.25">
      <c r="B2892" s="26" t="s">
        <v>459</v>
      </c>
      <c r="C2892" s="1">
        <v>38</v>
      </c>
      <c r="D2892" s="27" t="s">
        <v>3366</v>
      </c>
      <c r="E2892" s="25"/>
      <c r="F2892" s="25" t="str">
        <f>IF(INDEX(I.Gas.Y2AssociatedGasEnergy,38)="","",INDEX(I.Gas.Y2AssociatedGasEnergy,38))</f>
        <v/>
      </c>
      <c r="G2892" s="25"/>
      <c r="H2892" s="1" t="str">
        <f>IF(AND(I.Product.GasToPowerStatus="Yes",I.Gas.Y2Count&gt;=38,F2892=""),"Incomplete","Complete")</f>
        <v>Complete</v>
      </c>
      <c r="I2892" s="48" t="s">
        <v>2706</v>
      </c>
    </row>
    <row r="2893" spans="2:9" ht="15" customHeight="1" x14ac:dyDescent="0.25">
      <c r="B2893" s="26" t="s">
        <v>459</v>
      </c>
      <c r="C2893" s="1">
        <v>39</v>
      </c>
      <c r="D2893" s="27" t="s">
        <v>3366</v>
      </c>
      <c r="E2893" s="25"/>
      <c r="F2893" s="25" t="str">
        <f>IF(INDEX(I.Gas.Y2AssociatedGasEnergy,39)="","",INDEX(I.Gas.Y2AssociatedGasEnergy,39))</f>
        <v/>
      </c>
      <c r="G2893" s="25"/>
      <c r="H2893" s="1" t="str">
        <f>IF(AND(I.Product.GasToPowerStatus="Yes",I.Gas.Y2Count&gt;=39,F2893=""),"Incomplete","Complete")</f>
        <v>Complete</v>
      </c>
      <c r="I2893" s="48" t="s">
        <v>2707</v>
      </c>
    </row>
    <row r="2894" spans="2:9" ht="15" customHeight="1" x14ac:dyDescent="0.25">
      <c r="B2894" s="26" t="s">
        <v>459</v>
      </c>
      <c r="C2894" s="1">
        <v>40</v>
      </c>
      <c r="D2894" s="27" t="s">
        <v>3366</v>
      </c>
      <c r="E2894" s="25"/>
      <c r="F2894" s="25" t="str">
        <f>IF(INDEX(I.Gas.Y2AssociatedGasEnergy,40)="","",INDEX(I.Gas.Y2AssociatedGasEnergy,40))</f>
        <v/>
      </c>
      <c r="G2894" s="25"/>
      <c r="H2894" s="1" t="str">
        <f>IF(AND(I.Product.GasToPowerStatus="Yes",I.Gas.Y2Count&gt;=40,F2894=""),"Incomplete","Complete")</f>
        <v>Complete</v>
      </c>
      <c r="I2894" s="48" t="s">
        <v>2708</v>
      </c>
    </row>
    <row r="2895" spans="2:9" ht="15" customHeight="1" x14ac:dyDescent="0.25">
      <c r="B2895" s="26" t="s">
        <v>459</v>
      </c>
      <c r="C2895" s="1">
        <v>41</v>
      </c>
      <c r="D2895" s="27" t="s">
        <v>3366</v>
      </c>
      <c r="E2895" s="25"/>
      <c r="F2895" s="25" t="str">
        <f>IF(INDEX(I.Gas.Y2AssociatedGasEnergy,41)="","",INDEX(I.Gas.Y2AssociatedGasEnergy,41))</f>
        <v/>
      </c>
      <c r="G2895" s="25"/>
      <c r="H2895" s="1" t="str">
        <f>IF(AND(I.Product.GasToPowerStatus="Yes",I.Gas.Y2Count&gt;=41,F2895=""),"Incomplete","Complete")</f>
        <v>Complete</v>
      </c>
      <c r="I2895" s="48" t="s">
        <v>2709</v>
      </c>
    </row>
    <row r="2896" spans="2:9" ht="15" customHeight="1" x14ac:dyDescent="0.25">
      <c r="B2896" s="26" t="s">
        <v>459</v>
      </c>
      <c r="C2896" s="1">
        <v>42</v>
      </c>
      <c r="D2896" s="27" t="s">
        <v>3366</v>
      </c>
      <c r="E2896" s="25"/>
      <c r="F2896" s="25" t="str">
        <f>IF(INDEX(I.Gas.Y2AssociatedGasEnergy,42)="","",INDEX(I.Gas.Y2AssociatedGasEnergy,42))</f>
        <v/>
      </c>
      <c r="G2896" s="25"/>
      <c r="H2896" s="1" t="str">
        <f>IF(AND(I.Product.GasToPowerStatus="Yes",I.Gas.Y2Count&gt;=42,F2896=""),"Incomplete","Complete")</f>
        <v>Complete</v>
      </c>
      <c r="I2896" s="48" t="s">
        <v>2710</v>
      </c>
    </row>
    <row r="2897" spans="2:9" ht="15" customHeight="1" x14ac:dyDescent="0.25">
      <c r="B2897" s="26" t="s">
        <v>459</v>
      </c>
      <c r="C2897" s="1">
        <v>43</v>
      </c>
      <c r="D2897" s="27" t="s">
        <v>3366</v>
      </c>
      <c r="E2897" s="25"/>
      <c r="F2897" s="25" t="str">
        <f>IF(INDEX(I.Gas.Y2AssociatedGasEnergy,43)="","",INDEX(I.Gas.Y2AssociatedGasEnergy,43))</f>
        <v/>
      </c>
      <c r="G2897" s="25"/>
      <c r="H2897" s="1" t="str">
        <f>IF(AND(I.Product.GasToPowerStatus="Yes",I.Gas.Y2Count&gt;=43,F2897=""),"Incomplete","Complete")</f>
        <v>Complete</v>
      </c>
      <c r="I2897" s="48" t="s">
        <v>2711</v>
      </c>
    </row>
    <row r="2898" spans="2:9" ht="15" customHeight="1" x14ac:dyDescent="0.25">
      <c r="B2898" s="26" t="s">
        <v>459</v>
      </c>
      <c r="C2898" s="1">
        <v>44</v>
      </c>
      <c r="D2898" s="27" t="s">
        <v>3366</v>
      </c>
      <c r="E2898" s="25"/>
      <c r="F2898" s="25" t="str">
        <f>IF(INDEX(I.Gas.Y2AssociatedGasEnergy,44)="","",INDEX(I.Gas.Y2AssociatedGasEnergy,44))</f>
        <v/>
      </c>
      <c r="G2898" s="25"/>
      <c r="H2898" s="1" t="str">
        <f>IF(AND(I.Product.GasToPowerStatus="Yes",I.Gas.Y2Count&gt;=44,F2898=""),"Incomplete","Complete")</f>
        <v>Complete</v>
      </c>
      <c r="I2898" s="48" t="s">
        <v>2712</v>
      </c>
    </row>
    <row r="2899" spans="2:9" ht="15" customHeight="1" x14ac:dyDescent="0.25">
      <c r="B2899" s="26" t="s">
        <v>459</v>
      </c>
      <c r="C2899" s="1">
        <v>45</v>
      </c>
      <c r="D2899" s="27" t="s">
        <v>3366</v>
      </c>
      <c r="E2899" s="25"/>
      <c r="F2899" s="25" t="str">
        <f>IF(INDEX(I.Gas.Y2AssociatedGasEnergy,45)="","",INDEX(I.Gas.Y2AssociatedGasEnergy,45))</f>
        <v/>
      </c>
      <c r="G2899" s="25"/>
      <c r="H2899" s="1" t="str">
        <f>IF(AND(I.Product.GasToPowerStatus="Yes",I.Gas.Y2Count&gt;=45,F2899=""),"Incomplete","Complete")</f>
        <v>Complete</v>
      </c>
      <c r="I2899" s="48" t="s">
        <v>2713</v>
      </c>
    </row>
    <row r="2900" spans="2:9" ht="15" customHeight="1" x14ac:dyDescent="0.25">
      <c r="B2900" s="26" t="s">
        <v>459</v>
      </c>
      <c r="C2900" s="1">
        <v>46</v>
      </c>
      <c r="D2900" s="27" t="s">
        <v>3366</v>
      </c>
      <c r="E2900" s="25"/>
      <c r="F2900" s="25" t="str">
        <f>IF(INDEX(I.Gas.Y2AssociatedGasEnergy,46)="","",INDEX(I.Gas.Y2AssociatedGasEnergy,46))</f>
        <v/>
      </c>
      <c r="G2900" s="25"/>
      <c r="H2900" s="1" t="str">
        <f>IF(AND(I.Product.GasToPowerStatus="Yes",I.Gas.Y2Count&gt;=46,F2900=""),"Incomplete","Complete")</f>
        <v>Complete</v>
      </c>
      <c r="I2900" s="48" t="s">
        <v>2714</v>
      </c>
    </row>
    <row r="2901" spans="2:9" ht="15" customHeight="1" x14ac:dyDescent="0.25">
      <c r="B2901" s="26" t="s">
        <v>459</v>
      </c>
      <c r="C2901" s="1">
        <v>47</v>
      </c>
      <c r="D2901" s="27" t="s">
        <v>3366</v>
      </c>
      <c r="E2901" s="25"/>
      <c r="F2901" s="25" t="str">
        <f>IF(INDEX(I.Gas.Y2AssociatedGasEnergy,47)="","",INDEX(I.Gas.Y2AssociatedGasEnergy,47))</f>
        <v/>
      </c>
      <c r="G2901" s="25"/>
      <c r="H2901" s="1" t="str">
        <f>IF(AND(I.Product.GasToPowerStatus="Yes",I.Gas.Y2Count&gt;=47,F2901=""),"Incomplete","Complete")</f>
        <v>Complete</v>
      </c>
      <c r="I2901" s="48" t="s">
        <v>2715</v>
      </c>
    </row>
    <row r="2902" spans="2:9" ht="15" customHeight="1" x14ac:dyDescent="0.25">
      <c r="B2902" s="26" t="s">
        <v>459</v>
      </c>
      <c r="C2902" s="1">
        <v>48</v>
      </c>
      <c r="D2902" s="27" t="s">
        <v>3366</v>
      </c>
      <c r="E2902" s="25"/>
      <c r="F2902" s="25" t="str">
        <f>IF(INDEX(I.Gas.Y2AssociatedGasEnergy,48)="","",INDEX(I.Gas.Y2AssociatedGasEnergy,48))</f>
        <v/>
      </c>
      <c r="G2902" s="25"/>
      <c r="H2902" s="1" t="str">
        <f>IF(AND(I.Product.GasToPowerStatus="Yes",I.Gas.Y2Count&gt;=48,F2902=""),"Incomplete","Complete")</f>
        <v>Complete</v>
      </c>
      <c r="I2902" s="48" t="s">
        <v>2716</v>
      </c>
    </row>
    <row r="2903" spans="2:9" ht="15" customHeight="1" x14ac:dyDescent="0.25">
      <c r="B2903" s="26" t="s">
        <v>459</v>
      </c>
      <c r="C2903" s="1">
        <v>49</v>
      </c>
      <c r="D2903" s="27" t="s">
        <v>3366</v>
      </c>
      <c r="E2903" s="25"/>
      <c r="F2903" s="25" t="str">
        <f>IF(INDEX(I.Gas.Y2AssociatedGasEnergy,49)="","",INDEX(I.Gas.Y2AssociatedGasEnergy,49))</f>
        <v/>
      </c>
      <c r="G2903" s="25"/>
      <c r="H2903" s="1" t="str">
        <f>IF(AND(I.Product.GasToPowerStatus="Yes",I.Gas.Y2Count&gt;=49,F2903=""),"Incomplete","Complete")</f>
        <v>Complete</v>
      </c>
      <c r="I2903" s="48" t="s">
        <v>2717</v>
      </c>
    </row>
    <row r="2904" spans="2:9" ht="15" customHeight="1" x14ac:dyDescent="0.25">
      <c r="B2904" s="34" t="s">
        <v>459</v>
      </c>
      <c r="C2904" s="35">
        <v>50</v>
      </c>
      <c r="D2904" s="46" t="s">
        <v>3366</v>
      </c>
      <c r="E2904" s="45"/>
      <c r="F2904" s="45" t="str">
        <f>IF(INDEX(I.Gas.Y2AssociatedGasEnergy,50)="","",INDEX(I.Gas.Y2AssociatedGasEnergy,50))</f>
        <v/>
      </c>
      <c r="G2904" s="45"/>
      <c r="H2904" s="35" t="str">
        <f>IF(AND(I.Product.GasToPowerStatus="Yes",I.Gas.Y2Count&gt;=50,F2904=""),"Incomplete","Complete")</f>
        <v>Complete</v>
      </c>
      <c r="I2904" s="49" t="s">
        <v>2718</v>
      </c>
    </row>
    <row r="2905" spans="2:9" ht="15" customHeight="1" x14ac:dyDescent="0.25">
      <c r="B2905" s="26" t="s">
        <v>460</v>
      </c>
      <c r="C2905" s="1">
        <v>1</v>
      </c>
      <c r="D2905" s="27" t="s">
        <v>3367</v>
      </c>
      <c r="E2905" s="25"/>
      <c r="F2905" s="25" t="str">
        <f>IF(INDEX(I.Gas.Y2TotalGasEnergy,1)="","",INDEX(I.Gas.Y2TotalGasEnergy,1))</f>
        <v/>
      </c>
      <c r="G2905" s="25"/>
      <c r="H2905" s="1" t="str">
        <f>IF(AND(I.Product.GasToPowerStatus="Yes",I.Gas.Y2Count&gt;=1,F2905=""),"Incomplete","Complete")</f>
        <v>Complete</v>
      </c>
      <c r="I2905" s="48" t="s">
        <v>2719</v>
      </c>
    </row>
    <row r="2906" spans="2:9" ht="15" customHeight="1" x14ac:dyDescent="0.25">
      <c r="B2906" s="26" t="s">
        <v>460</v>
      </c>
      <c r="C2906" s="1">
        <v>2</v>
      </c>
      <c r="D2906" s="27" t="s">
        <v>3367</v>
      </c>
      <c r="E2906" s="25"/>
      <c r="F2906" s="25" t="str">
        <f>IF(INDEX(I.Gas.Y2TotalGasEnergy,2)="","",INDEX(I.Gas.Y2TotalGasEnergy,2))</f>
        <v/>
      </c>
      <c r="G2906" s="25"/>
      <c r="H2906" s="1" t="str">
        <f>IF(AND(I.Product.GasToPowerStatus="Yes",I.Gas.Y2Count&gt;=2,F2906=""),"Incomplete","Complete")</f>
        <v>Complete</v>
      </c>
      <c r="I2906" s="48" t="s">
        <v>2720</v>
      </c>
    </row>
    <row r="2907" spans="2:9" ht="15" customHeight="1" x14ac:dyDescent="0.25">
      <c r="B2907" s="26" t="s">
        <v>460</v>
      </c>
      <c r="C2907" s="1">
        <v>3</v>
      </c>
      <c r="D2907" s="27" t="s">
        <v>3367</v>
      </c>
      <c r="E2907" s="25"/>
      <c r="F2907" s="25" t="str">
        <f>IF(INDEX(I.Gas.Y2TotalGasEnergy,3)="","",INDEX(I.Gas.Y2TotalGasEnergy,3))</f>
        <v/>
      </c>
      <c r="G2907" s="25"/>
      <c r="H2907" s="1" t="str">
        <f>IF(AND(I.Product.GasToPowerStatus="Yes",I.Gas.Y2Count&gt;=3,F2907=""),"Incomplete","Complete")</f>
        <v>Complete</v>
      </c>
      <c r="I2907" s="48" t="s">
        <v>2721</v>
      </c>
    </row>
    <row r="2908" spans="2:9" ht="15" customHeight="1" x14ac:dyDescent="0.25">
      <c r="B2908" s="26" t="s">
        <v>460</v>
      </c>
      <c r="C2908" s="1">
        <v>4</v>
      </c>
      <c r="D2908" s="27" t="s">
        <v>3367</v>
      </c>
      <c r="E2908" s="25"/>
      <c r="F2908" s="25" t="str">
        <f>IF(INDEX(I.Gas.Y2TotalGasEnergy,4)="","",INDEX(I.Gas.Y2TotalGasEnergy,4))</f>
        <v/>
      </c>
      <c r="G2908" s="25"/>
      <c r="H2908" s="1" t="str">
        <f>IF(AND(I.Product.GasToPowerStatus="Yes",I.Gas.Y2Count&gt;=4,F2908=""),"Incomplete","Complete")</f>
        <v>Complete</v>
      </c>
      <c r="I2908" s="48" t="s">
        <v>2722</v>
      </c>
    </row>
    <row r="2909" spans="2:9" ht="15" customHeight="1" x14ac:dyDescent="0.25">
      <c r="B2909" s="26" t="s">
        <v>460</v>
      </c>
      <c r="C2909" s="1">
        <v>5</v>
      </c>
      <c r="D2909" s="27" t="s">
        <v>3367</v>
      </c>
      <c r="E2909" s="25"/>
      <c r="F2909" s="25" t="str">
        <f>IF(INDEX(I.Gas.Y2TotalGasEnergy,5)="","",INDEX(I.Gas.Y2TotalGasEnergy,5))</f>
        <v/>
      </c>
      <c r="G2909" s="25"/>
      <c r="H2909" s="1" t="str">
        <f>IF(AND(I.Product.GasToPowerStatus="Yes",I.Gas.Y2Count&gt;=5,F2909=""),"Incomplete","Complete")</f>
        <v>Complete</v>
      </c>
      <c r="I2909" s="48" t="s">
        <v>2723</v>
      </c>
    </row>
    <row r="2910" spans="2:9" ht="15" customHeight="1" x14ac:dyDescent="0.25">
      <c r="B2910" s="26" t="s">
        <v>460</v>
      </c>
      <c r="C2910" s="1">
        <v>6</v>
      </c>
      <c r="D2910" s="27" t="s">
        <v>3367</v>
      </c>
      <c r="E2910" s="25"/>
      <c r="F2910" s="25" t="str">
        <f>IF(INDEX(I.Gas.Y2TotalGasEnergy,6)="","",INDEX(I.Gas.Y2TotalGasEnergy,6))</f>
        <v/>
      </c>
      <c r="G2910" s="25"/>
      <c r="H2910" s="1" t="str">
        <f>IF(AND(I.Product.GasToPowerStatus="Yes",I.Gas.Y2Count&gt;=6,F2910=""),"Incomplete","Complete")</f>
        <v>Complete</v>
      </c>
      <c r="I2910" s="48" t="s">
        <v>2724</v>
      </c>
    </row>
    <row r="2911" spans="2:9" ht="15" customHeight="1" x14ac:dyDescent="0.25">
      <c r="B2911" s="26" t="s">
        <v>460</v>
      </c>
      <c r="C2911" s="1">
        <v>7</v>
      </c>
      <c r="D2911" s="27" t="s">
        <v>3367</v>
      </c>
      <c r="E2911" s="25"/>
      <c r="F2911" s="25" t="str">
        <f>IF(INDEX(I.Gas.Y2TotalGasEnergy,7)="","",INDEX(I.Gas.Y2TotalGasEnergy,7))</f>
        <v/>
      </c>
      <c r="G2911" s="25"/>
      <c r="H2911" s="1" t="str">
        <f>IF(AND(I.Product.GasToPowerStatus="Yes",I.Gas.Y2Count&gt;=7,F2911=""),"Incomplete","Complete")</f>
        <v>Complete</v>
      </c>
      <c r="I2911" s="48" t="s">
        <v>2725</v>
      </c>
    </row>
    <row r="2912" spans="2:9" ht="15" customHeight="1" x14ac:dyDescent="0.25">
      <c r="B2912" s="26" t="s">
        <v>460</v>
      </c>
      <c r="C2912" s="1">
        <v>8</v>
      </c>
      <c r="D2912" s="27" t="s">
        <v>3367</v>
      </c>
      <c r="E2912" s="25"/>
      <c r="F2912" s="25" t="str">
        <f>IF(INDEX(I.Gas.Y2TotalGasEnergy,8)="","",INDEX(I.Gas.Y2TotalGasEnergy,8))</f>
        <v/>
      </c>
      <c r="G2912" s="25"/>
      <c r="H2912" s="1" t="str">
        <f>IF(AND(I.Product.GasToPowerStatus="Yes",I.Gas.Y2Count&gt;=8,F2912=""),"Incomplete","Complete")</f>
        <v>Complete</v>
      </c>
      <c r="I2912" s="48" t="s">
        <v>2726</v>
      </c>
    </row>
    <row r="2913" spans="2:9" ht="15" customHeight="1" x14ac:dyDescent="0.25">
      <c r="B2913" s="26" t="s">
        <v>460</v>
      </c>
      <c r="C2913" s="1">
        <v>9</v>
      </c>
      <c r="D2913" s="27" t="s">
        <v>3367</v>
      </c>
      <c r="E2913" s="25"/>
      <c r="F2913" s="25" t="str">
        <f>IF(INDEX(I.Gas.Y2TotalGasEnergy,9)="","",INDEX(I.Gas.Y2TotalGasEnergy,9))</f>
        <v/>
      </c>
      <c r="G2913" s="25"/>
      <c r="H2913" s="1" t="str">
        <f>IF(AND(I.Product.GasToPowerStatus="Yes",I.Gas.Y2Count&gt;=9,F2913=""),"Incomplete","Complete")</f>
        <v>Complete</v>
      </c>
      <c r="I2913" s="48" t="s">
        <v>2727</v>
      </c>
    </row>
    <row r="2914" spans="2:9" ht="15" customHeight="1" x14ac:dyDescent="0.25">
      <c r="B2914" s="26" t="s">
        <v>460</v>
      </c>
      <c r="C2914" s="1">
        <v>10</v>
      </c>
      <c r="D2914" s="27" t="s">
        <v>3367</v>
      </c>
      <c r="E2914" s="25"/>
      <c r="F2914" s="25" t="str">
        <f>IF(INDEX(I.Gas.Y2TotalGasEnergy,10)="","",INDEX(I.Gas.Y2TotalGasEnergy,10))</f>
        <v/>
      </c>
      <c r="G2914" s="25"/>
      <c r="H2914" s="1" t="str">
        <f>IF(AND(I.Product.GasToPowerStatus="Yes",I.Gas.Y2Count&gt;=10,F2914=""),"Incomplete","Complete")</f>
        <v>Complete</v>
      </c>
      <c r="I2914" s="48" t="s">
        <v>2728</v>
      </c>
    </row>
    <row r="2915" spans="2:9" ht="15" customHeight="1" x14ac:dyDescent="0.25">
      <c r="B2915" s="26" t="s">
        <v>460</v>
      </c>
      <c r="C2915" s="1">
        <v>11</v>
      </c>
      <c r="D2915" s="27" t="s">
        <v>3367</v>
      </c>
      <c r="E2915" s="25"/>
      <c r="F2915" s="25" t="str">
        <f>IF(INDEX(I.Gas.Y2TotalGasEnergy,11)="","",INDEX(I.Gas.Y2TotalGasEnergy,11))</f>
        <v/>
      </c>
      <c r="G2915" s="25"/>
      <c r="H2915" s="1" t="str">
        <f>IF(AND(I.Product.GasToPowerStatus="Yes",I.Gas.Y2Count&gt;=11,F2915=""),"Incomplete","Complete")</f>
        <v>Complete</v>
      </c>
      <c r="I2915" s="48" t="s">
        <v>2729</v>
      </c>
    </row>
    <row r="2916" spans="2:9" ht="15" customHeight="1" x14ac:dyDescent="0.25">
      <c r="B2916" s="26" t="s">
        <v>460</v>
      </c>
      <c r="C2916" s="1">
        <v>12</v>
      </c>
      <c r="D2916" s="27" t="s">
        <v>3367</v>
      </c>
      <c r="E2916" s="25"/>
      <c r="F2916" s="25" t="str">
        <f>IF(INDEX(I.Gas.Y2TotalGasEnergy,12)="","",INDEX(I.Gas.Y2TotalGasEnergy,12))</f>
        <v/>
      </c>
      <c r="G2916" s="25"/>
      <c r="H2916" s="1" t="str">
        <f>IF(AND(I.Product.GasToPowerStatus="Yes",I.Gas.Y2Count&gt;=12,F2916=""),"Incomplete","Complete")</f>
        <v>Complete</v>
      </c>
      <c r="I2916" s="48" t="s">
        <v>2730</v>
      </c>
    </row>
    <row r="2917" spans="2:9" ht="15" customHeight="1" x14ac:dyDescent="0.25">
      <c r="B2917" s="26" t="s">
        <v>460</v>
      </c>
      <c r="C2917" s="1">
        <v>13</v>
      </c>
      <c r="D2917" s="27" t="s">
        <v>3367</v>
      </c>
      <c r="E2917" s="25"/>
      <c r="F2917" s="25" t="str">
        <f>IF(INDEX(I.Gas.Y2TotalGasEnergy,13)="","",INDEX(I.Gas.Y2TotalGasEnergy,13))</f>
        <v/>
      </c>
      <c r="G2917" s="25"/>
      <c r="H2917" s="1" t="str">
        <f>IF(AND(I.Product.GasToPowerStatus="Yes",I.Gas.Y2Count&gt;=13,F2917=""),"Incomplete","Complete")</f>
        <v>Complete</v>
      </c>
      <c r="I2917" s="48" t="s">
        <v>2731</v>
      </c>
    </row>
    <row r="2918" spans="2:9" ht="15" customHeight="1" x14ac:dyDescent="0.25">
      <c r="B2918" s="26" t="s">
        <v>460</v>
      </c>
      <c r="C2918" s="1">
        <v>14</v>
      </c>
      <c r="D2918" s="27" t="s">
        <v>3367</v>
      </c>
      <c r="E2918" s="25"/>
      <c r="F2918" s="25" t="str">
        <f>IF(INDEX(I.Gas.Y2TotalGasEnergy,14)="","",INDEX(I.Gas.Y2TotalGasEnergy,14))</f>
        <v/>
      </c>
      <c r="G2918" s="25"/>
      <c r="H2918" s="1" t="str">
        <f>IF(AND(I.Product.GasToPowerStatus="Yes",I.Gas.Y2Count&gt;=14,F2918=""),"Incomplete","Complete")</f>
        <v>Complete</v>
      </c>
      <c r="I2918" s="48" t="s">
        <v>2732</v>
      </c>
    </row>
    <row r="2919" spans="2:9" ht="15" customHeight="1" x14ac:dyDescent="0.25">
      <c r="B2919" s="26" t="s">
        <v>460</v>
      </c>
      <c r="C2919" s="1">
        <v>15</v>
      </c>
      <c r="D2919" s="27" t="s">
        <v>3367</v>
      </c>
      <c r="E2919" s="25"/>
      <c r="F2919" s="25" t="str">
        <f>IF(INDEX(I.Gas.Y2TotalGasEnergy,15)="","",INDEX(I.Gas.Y2TotalGasEnergy,15))</f>
        <v/>
      </c>
      <c r="G2919" s="25"/>
      <c r="H2919" s="1" t="str">
        <f>IF(AND(I.Product.GasToPowerStatus="Yes",I.Gas.Y2Count&gt;=15,F2919=""),"Incomplete","Complete")</f>
        <v>Complete</v>
      </c>
      <c r="I2919" s="48" t="s">
        <v>2733</v>
      </c>
    </row>
    <row r="2920" spans="2:9" ht="15" customHeight="1" x14ac:dyDescent="0.25">
      <c r="B2920" s="26" t="s">
        <v>460</v>
      </c>
      <c r="C2920" s="1">
        <v>16</v>
      </c>
      <c r="D2920" s="27" t="s">
        <v>3367</v>
      </c>
      <c r="E2920" s="25"/>
      <c r="F2920" s="25" t="str">
        <f>IF(INDEX(I.Gas.Y2TotalGasEnergy,16)="","",INDEX(I.Gas.Y2TotalGasEnergy,16))</f>
        <v/>
      </c>
      <c r="G2920" s="25"/>
      <c r="H2920" s="1" t="str">
        <f>IF(AND(I.Product.GasToPowerStatus="Yes",I.Gas.Y2Count&gt;=16,F2920=""),"Incomplete","Complete")</f>
        <v>Complete</v>
      </c>
      <c r="I2920" s="48" t="s">
        <v>2734</v>
      </c>
    </row>
    <row r="2921" spans="2:9" ht="15" customHeight="1" x14ac:dyDescent="0.25">
      <c r="B2921" s="26" t="s">
        <v>460</v>
      </c>
      <c r="C2921" s="1">
        <v>17</v>
      </c>
      <c r="D2921" s="27" t="s">
        <v>3367</v>
      </c>
      <c r="E2921" s="25"/>
      <c r="F2921" s="25" t="str">
        <f>IF(INDEX(I.Gas.Y2TotalGasEnergy,17)="","",INDEX(I.Gas.Y2TotalGasEnergy,17))</f>
        <v/>
      </c>
      <c r="G2921" s="25"/>
      <c r="H2921" s="1" t="str">
        <f>IF(AND(I.Product.GasToPowerStatus="Yes",I.Gas.Y2Count&gt;=17,F2921=""),"Incomplete","Complete")</f>
        <v>Complete</v>
      </c>
      <c r="I2921" s="48" t="s">
        <v>2735</v>
      </c>
    </row>
    <row r="2922" spans="2:9" ht="15" customHeight="1" x14ac:dyDescent="0.25">
      <c r="B2922" s="26" t="s">
        <v>460</v>
      </c>
      <c r="C2922" s="1">
        <v>18</v>
      </c>
      <c r="D2922" s="27" t="s">
        <v>3367</v>
      </c>
      <c r="E2922" s="25"/>
      <c r="F2922" s="25" t="str">
        <f>IF(INDEX(I.Gas.Y2TotalGasEnergy,18)="","",INDEX(I.Gas.Y2TotalGasEnergy,18))</f>
        <v/>
      </c>
      <c r="G2922" s="25"/>
      <c r="H2922" s="1" t="str">
        <f>IF(AND(I.Product.GasToPowerStatus="Yes",I.Gas.Y2Count&gt;=18,F2922=""),"Incomplete","Complete")</f>
        <v>Complete</v>
      </c>
      <c r="I2922" s="48" t="s">
        <v>2736</v>
      </c>
    </row>
    <row r="2923" spans="2:9" ht="15" customHeight="1" x14ac:dyDescent="0.25">
      <c r="B2923" s="26" t="s">
        <v>460</v>
      </c>
      <c r="C2923" s="1">
        <v>19</v>
      </c>
      <c r="D2923" s="27" t="s">
        <v>3367</v>
      </c>
      <c r="E2923" s="25"/>
      <c r="F2923" s="25" t="str">
        <f>IF(INDEX(I.Gas.Y2TotalGasEnergy,19)="","",INDEX(I.Gas.Y2TotalGasEnergy,19))</f>
        <v/>
      </c>
      <c r="G2923" s="25"/>
      <c r="H2923" s="1" t="str">
        <f>IF(AND(I.Product.GasToPowerStatus="Yes",I.Gas.Y2Count&gt;=19,F2923=""),"Incomplete","Complete")</f>
        <v>Complete</v>
      </c>
      <c r="I2923" s="48" t="s">
        <v>2737</v>
      </c>
    </row>
    <row r="2924" spans="2:9" ht="15" customHeight="1" x14ac:dyDescent="0.25">
      <c r="B2924" s="26" t="s">
        <v>460</v>
      </c>
      <c r="C2924" s="1">
        <v>20</v>
      </c>
      <c r="D2924" s="27" t="s">
        <v>3367</v>
      </c>
      <c r="E2924" s="25"/>
      <c r="F2924" s="25" t="str">
        <f>IF(INDEX(I.Gas.Y2TotalGasEnergy,20)="","",INDEX(I.Gas.Y2TotalGasEnergy,20))</f>
        <v/>
      </c>
      <c r="G2924" s="25"/>
      <c r="H2924" s="1" t="str">
        <f>IF(AND(I.Product.GasToPowerStatus="Yes",I.Gas.Y2Count&gt;=20,F2924=""),"Incomplete","Complete")</f>
        <v>Complete</v>
      </c>
      <c r="I2924" s="48" t="s">
        <v>2738</v>
      </c>
    </row>
    <row r="2925" spans="2:9" ht="15" customHeight="1" x14ac:dyDescent="0.25">
      <c r="B2925" s="26" t="s">
        <v>460</v>
      </c>
      <c r="C2925" s="1">
        <v>21</v>
      </c>
      <c r="D2925" s="27" t="s">
        <v>3367</v>
      </c>
      <c r="E2925" s="25"/>
      <c r="F2925" s="25" t="str">
        <f>IF(INDEX(I.Gas.Y2TotalGasEnergy,21)="","",INDEX(I.Gas.Y2TotalGasEnergy,21))</f>
        <v/>
      </c>
      <c r="G2925" s="25"/>
      <c r="H2925" s="1" t="str">
        <f>IF(AND(I.Product.GasToPowerStatus="Yes",I.Gas.Y2Count&gt;=21,F2925=""),"Incomplete","Complete")</f>
        <v>Complete</v>
      </c>
      <c r="I2925" s="48" t="s">
        <v>2739</v>
      </c>
    </row>
    <row r="2926" spans="2:9" ht="15" customHeight="1" x14ac:dyDescent="0.25">
      <c r="B2926" s="26" t="s">
        <v>460</v>
      </c>
      <c r="C2926" s="1">
        <v>22</v>
      </c>
      <c r="D2926" s="27" t="s">
        <v>3367</v>
      </c>
      <c r="E2926" s="25"/>
      <c r="F2926" s="25" t="str">
        <f>IF(INDEX(I.Gas.Y2TotalGasEnergy,22)="","",INDEX(I.Gas.Y2TotalGasEnergy,22))</f>
        <v/>
      </c>
      <c r="G2926" s="25"/>
      <c r="H2926" s="1" t="str">
        <f>IF(AND(I.Product.GasToPowerStatus="Yes",I.Gas.Y2Count&gt;=22,F2926=""),"Incomplete","Complete")</f>
        <v>Complete</v>
      </c>
      <c r="I2926" s="48" t="s">
        <v>2740</v>
      </c>
    </row>
    <row r="2927" spans="2:9" ht="15" customHeight="1" x14ac:dyDescent="0.25">
      <c r="B2927" s="26" t="s">
        <v>460</v>
      </c>
      <c r="C2927" s="1">
        <v>23</v>
      </c>
      <c r="D2927" s="27" t="s">
        <v>3367</v>
      </c>
      <c r="E2927" s="25"/>
      <c r="F2927" s="25" t="str">
        <f>IF(INDEX(I.Gas.Y2TotalGasEnergy,23)="","",INDEX(I.Gas.Y2TotalGasEnergy,23))</f>
        <v/>
      </c>
      <c r="G2927" s="25"/>
      <c r="H2927" s="1" t="str">
        <f>IF(AND(I.Product.GasToPowerStatus="Yes",I.Gas.Y2Count&gt;=23,F2927=""),"Incomplete","Complete")</f>
        <v>Complete</v>
      </c>
      <c r="I2927" s="48" t="s">
        <v>2741</v>
      </c>
    </row>
    <row r="2928" spans="2:9" ht="15" customHeight="1" x14ac:dyDescent="0.25">
      <c r="B2928" s="26" t="s">
        <v>460</v>
      </c>
      <c r="C2928" s="1">
        <v>24</v>
      </c>
      <c r="D2928" s="27" t="s">
        <v>3367</v>
      </c>
      <c r="E2928" s="25"/>
      <c r="F2928" s="25" t="str">
        <f>IF(INDEX(I.Gas.Y2TotalGasEnergy,24)="","",INDEX(I.Gas.Y2TotalGasEnergy,24))</f>
        <v/>
      </c>
      <c r="G2928" s="25"/>
      <c r="H2928" s="1" t="str">
        <f>IF(AND(I.Product.GasToPowerStatus="Yes",I.Gas.Y2Count&gt;=24,F2928=""),"Incomplete","Complete")</f>
        <v>Complete</v>
      </c>
      <c r="I2928" s="48" t="s">
        <v>2742</v>
      </c>
    </row>
    <row r="2929" spans="2:9" ht="15" customHeight="1" x14ac:dyDescent="0.25">
      <c r="B2929" s="26" t="s">
        <v>460</v>
      </c>
      <c r="C2929" s="1">
        <v>25</v>
      </c>
      <c r="D2929" s="27" t="s">
        <v>3367</v>
      </c>
      <c r="E2929" s="25"/>
      <c r="F2929" s="25" t="str">
        <f>IF(INDEX(I.Gas.Y2TotalGasEnergy,25)="","",INDEX(I.Gas.Y2TotalGasEnergy,25))</f>
        <v/>
      </c>
      <c r="G2929" s="25"/>
      <c r="H2929" s="1" t="str">
        <f>IF(AND(I.Product.GasToPowerStatus="Yes",I.Gas.Y2Count&gt;=25,F2929=""),"Incomplete","Complete")</f>
        <v>Complete</v>
      </c>
      <c r="I2929" s="48" t="s">
        <v>2743</v>
      </c>
    </row>
    <row r="2930" spans="2:9" ht="15" customHeight="1" x14ac:dyDescent="0.25">
      <c r="B2930" s="26" t="s">
        <v>460</v>
      </c>
      <c r="C2930" s="1">
        <v>26</v>
      </c>
      <c r="D2930" s="27" t="s">
        <v>3367</v>
      </c>
      <c r="E2930" s="25"/>
      <c r="F2930" s="25" t="str">
        <f>IF(INDEX(I.Gas.Y2TotalGasEnergy,26)="","",INDEX(I.Gas.Y2TotalGasEnergy,26))</f>
        <v/>
      </c>
      <c r="G2930" s="25"/>
      <c r="H2930" s="1" t="str">
        <f>IF(AND(I.Product.GasToPowerStatus="Yes",I.Gas.Y2Count&gt;=26,F2930=""),"Incomplete","Complete")</f>
        <v>Complete</v>
      </c>
      <c r="I2930" s="48" t="s">
        <v>2744</v>
      </c>
    </row>
    <row r="2931" spans="2:9" ht="15" customHeight="1" x14ac:dyDescent="0.25">
      <c r="B2931" s="26" t="s">
        <v>460</v>
      </c>
      <c r="C2931" s="1">
        <v>27</v>
      </c>
      <c r="D2931" s="27" t="s">
        <v>3367</v>
      </c>
      <c r="E2931" s="25"/>
      <c r="F2931" s="25" t="str">
        <f>IF(INDEX(I.Gas.Y2TotalGasEnergy,27)="","",INDEX(I.Gas.Y2TotalGasEnergy,27))</f>
        <v/>
      </c>
      <c r="G2931" s="25"/>
      <c r="H2931" s="1" t="str">
        <f>IF(AND(I.Product.GasToPowerStatus="Yes",I.Gas.Y2Count&gt;=27,F2931=""),"Incomplete","Complete")</f>
        <v>Complete</v>
      </c>
      <c r="I2931" s="48" t="s">
        <v>2745</v>
      </c>
    </row>
    <row r="2932" spans="2:9" ht="15" customHeight="1" x14ac:dyDescent="0.25">
      <c r="B2932" s="26" t="s">
        <v>460</v>
      </c>
      <c r="C2932" s="1">
        <v>28</v>
      </c>
      <c r="D2932" s="27" t="s">
        <v>3367</v>
      </c>
      <c r="E2932" s="25"/>
      <c r="F2932" s="25" t="str">
        <f>IF(INDEX(I.Gas.Y2TotalGasEnergy,28)="","",INDEX(I.Gas.Y2TotalGasEnergy,28))</f>
        <v/>
      </c>
      <c r="G2932" s="25"/>
      <c r="H2932" s="1" t="str">
        <f>IF(AND(I.Product.GasToPowerStatus="Yes",I.Gas.Y2Count&gt;=28,F2932=""),"Incomplete","Complete")</f>
        <v>Complete</v>
      </c>
      <c r="I2932" s="48" t="s">
        <v>2746</v>
      </c>
    </row>
    <row r="2933" spans="2:9" ht="15" customHeight="1" x14ac:dyDescent="0.25">
      <c r="B2933" s="26" t="s">
        <v>460</v>
      </c>
      <c r="C2933" s="1">
        <v>29</v>
      </c>
      <c r="D2933" s="27" t="s">
        <v>3367</v>
      </c>
      <c r="E2933" s="25"/>
      <c r="F2933" s="25" t="str">
        <f>IF(INDEX(I.Gas.Y2TotalGasEnergy,29)="","",INDEX(I.Gas.Y2TotalGasEnergy,29))</f>
        <v/>
      </c>
      <c r="G2933" s="25"/>
      <c r="H2933" s="1" t="str">
        <f>IF(AND(I.Product.GasToPowerStatus="Yes",I.Gas.Y2Count&gt;=29,F2933=""),"Incomplete","Complete")</f>
        <v>Complete</v>
      </c>
      <c r="I2933" s="48" t="s">
        <v>2747</v>
      </c>
    </row>
    <row r="2934" spans="2:9" ht="15" customHeight="1" x14ac:dyDescent="0.25">
      <c r="B2934" s="26" t="s">
        <v>460</v>
      </c>
      <c r="C2934" s="1">
        <v>30</v>
      </c>
      <c r="D2934" s="27" t="s">
        <v>3367</v>
      </c>
      <c r="E2934" s="25"/>
      <c r="F2934" s="25" t="str">
        <f>IF(INDEX(I.Gas.Y2TotalGasEnergy,30)="","",INDEX(I.Gas.Y2TotalGasEnergy,30))</f>
        <v/>
      </c>
      <c r="G2934" s="25"/>
      <c r="H2934" s="1" t="str">
        <f>IF(AND(I.Product.GasToPowerStatus="Yes",I.Gas.Y2Count&gt;=30,F2934=""),"Incomplete","Complete")</f>
        <v>Complete</v>
      </c>
      <c r="I2934" s="48" t="s">
        <v>2748</v>
      </c>
    </row>
    <row r="2935" spans="2:9" ht="15" customHeight="1" x14ac:dyDescent="0.25">
      <c r="B2935" s="26" t="s">
        <v>460</v>
      </c>
      <c r="C2935" s="1">
        <v>31</v>
      </c>
      <c r="D2935" s="27" t="s">
        <v>3367</v>
      </c>
      <c r="E2935" s="25"/>
      <c r="F2935" s="25" t="str">
        <f>IF(INDEX(I.Gas.Y2TotalGasEnergy,31)="","",INDEX(I.Gas.Y2TotalGasEnergy,31))</f>
        <v/>
      </c>
      <c r="G2935" s="25"/>
      <c r="H2935" s="1" t="str">
        <f>IF(AND(I.Product.GasToPowerStatus="Yes",I.Gas.Y2Count&gt;=31,F2935=""),"Incomplete","Complete")</f>
        <v>Complete</v>
      </c>
      <c r="I2935" s="48" t="s">
        <v>2749</v>
      </c>
    </row>
    <row r="2936" spans="2:9" ht="15" customHeight="1" x14ac:dyDescent="0.25">
      <c r="B2936" s="26" t="s">
        <v>460</v>
      </c>
      <c r="C2936" s="1">
        <v>32</v>
      </c>
      <c r="D2936" s="27" t="s">
        <v>3367</v>
      </c>
      <c r="E2936" s="25"/>
      <c r="F2936" s="25" t="str">
        <f>IF(INDEX(I.Gas.Y2TotalGasEnergy,32)="","",INDEX(I.Gas.Y2TotalGasEnergy,32))</f>
        <v/>
      </c>
      <c r="G2936" s="25"/>
      <c r="H2936" s="1" t="str">
        <f>IF(AND(I.Product.GasToPowerStatus="Yes",I.Gas.Y2Count&gt;=32,F2936=""),"Incomplete","Complete")</f>
        <v>Complete</v>
      </c>
      <c r="I2936" s="48" t="s">
        <v>2750</v>
      </c>
    </row>
    <row r="2937" spans="2:9" ht="15" customHeight="1" x14ac:dyDescent="0.25">
      <c r="B2937" s="26" t="s">
        <v>460</v>
      </c>
      <c r="C2937" s="1">
        <v>33</v>
      </c>
      <c r="D2937" s="27" t="s">
        <v>3367</v>
      </c>
      <c r="E2937" s="25"/>
      <c r="F2937" s="25" t="str">
        <f>IF(INDEX(I.Gas.Y2TotalGasEnergy,33)="","",INDEX(I.Gas.Y2TotalGasEnergy,33))</f>
        <v/>
      </c>
      <c r="G2937" s="25"/>
      <c r="H2937" s="1" t="str">
        <f>IF(AND(I.Product.GasToPowerStatus="Yes",I.Gas.Y2Count&gt;=33,F2937=""),"Incomplete","Complete")</f>
        <v>Complete</v>
      </c>
      <c r="I2937" s="48" t="s">
        <v>2751</v>
      </c>
    </row>
    <row r="2938" spans="2:9" ht="15" customHeight="1" x14ac:dyDescent="0.25">
      <c r="B2938" s="26" t="s">
        <v>460</v>
      </c>
      <c r="C2938" s="1">
        <v>34</v>
      </c>
      <c r="D2938" s="27" t="s">
        <v>3367</v>
      </c>
      <c r="E2938" s="25"/>
      <c r="F2938" s="25" t="str">
        <f>IF(INDEX(I.Gas.Y2TotalGasEnergy,34)="","",INDEX(I.Gas.Y2TotalGasEnergy,34))</f>
        <v/>
      </c>
      <c r="G2938" s="25"/>
      <c r="H2938" s="1" t="str">
        <f>IF(AND(I.Product.GasToPowerStatus="Yes",I.Gas.Y2Count&gt;=34,F2938=""),"Incomplete","Complete")</f>
        <v>Complete</v>
      </c>
      <c r="I2938" s="48" t="s">
        <v>2752</v>
      </c>
    </row>
    <row r="2939" spans="2:9" ht="15" customHeight="1" x14ac:dyDescent="0.25">
      <c r="B2939" s="26" t="s">
        <v>460</v>
      </c>
      <c r="C2939" s="1">
        <v>35</v>
      </c>
      <c r="D2939" s="27" t="s">
        <v>3367</v>
      </c>
      <c r="E2939" s="25"/>
      <c r="F2939" s="25" t="str">
        <f>IF(INDEX(I.Gas.Y2TotalGasEnergy,35)="","",INDEX(I.Gas.Y2TotalGasEnergy,35))</f>
        <v/>
      </c>
      <c r="G2939" s="25"/>
      <c r="H2939" s="1" t="str">
        <f>IF(AND(I.Product.GasToPowerStatus="Yes",I.Gas.Y2Count&gt;=35,F2939=""),"Incomplete","Complete")</f>
        <v>Complete</v>
      </c>
      <c r="I2939" s="48" t="s">
        <v>2753</v>
      </c>
    </row>
    <row r="2940" spans="2:9" ht="15" customHeight="1" x14ac:dyDescent="0.25">
      <c r="B2940" s="26" t="s">
        <v>460</v>
      </c>
      <c r="C2940" s="1">
        <v>36</v>
      </c>
      <c r="D2940" s="27" t="s">
        <v>3367</v>
      </c>
      <c r="E2940" s="25"/>
      <c r="F2940" s="25" t="str">
        <f>IF(INDEX(I.Gas.Y2TotalGasEnergy,36)="","",INDEX(I.Gas.Y2TotalGasEnergy,36))</f>
        <v/>
      </c>
      <c r="G2940" s="25"/>
      <c r="H2940" s="1" t="str">
        <f>IF(AND(I.Product.GasToPowerStatus="Yes",I.Gas.Y2Count&gt;=36,F2940=""),"Incomplete","Complete")</f>
        <v>Complete</v>
      </c>
      <c r="I2940" s="48" t="s">
        <v>2754</v>
      </c>
    </row>
    <row r="2941" spans="2:9" ht="15" customHeight="1" x14ac:dyDescent="0.25">
      <c r="B2941" s="26" t="s">
        <v>460</v>
      </c>
      <c r="C2941" s="1">
        <v>37</v>
      </c>
      <c r="D2941" s="27" t="s">
        <v>3367</v>
      </c>
      <c r="E2941" s="25"/>
      <c r="F2941" s="25" t="str">
        <f>IF(INDEX(I.Gas.Y2TotalGasEnergy,37)="","",INDEX(I.Gas.Y2TotalGasEnergy,37))</f>
        <v/>
      </c>
      <c r="G2941" s="25"/>
      <c r="H2941" s="1" t="str">
        <f>IF(AND(I.Product.GasToPowerStatus="Yes",I.Gas.Y2Count&gt;=37,F2941=""),"Incomplete","Complete")</f>
        <v>Complete</v>
      </c>
      <c r="I2941" s="48" t="s">
        <v>2755</v>
      </c>
    </row>
    <row r="2942" spans="2:9" ht="15" customHeight="1" x14ac:dyDescent="0.25">
      <c r="B2942" s="26" t="s">
        <v>460</v>
      </c>
      <c r="C2942" s="1">
        <v>38</v>
      </c>
      <c r="D2942" s="27" t="s">
        <v>3367</v>
      </c>
      <c r="E2942" s="25"/>
      <c r="F2942" s="25" t="str">
        <f>IF(INDEX(I.Gas.Y2TotalGasEnergy,38)="","",INDEX(I.Gas.Y2TotalGasEnergy,38))</f>
        <v/>
      </c>
      <c r="G2942" s="25"/>
      <c r="H2942" s="1" t="str">
        <f>IF(AND(I.Product.GasToPowerStatus="Yes",I.Gas.Y2Count&gt;=38,F2942=""),"Incomplete","Complete")</f>
        <v>Complete</v>
      </c>
      <c r="I2942" s="48" t="s">
        <v>2756</v>
      </c>
    </row>
    <row r="2943" spans="2:9" ht="15" customHeight="1" x14ac:dyDescent="0.25">
      <c r="B2943" s="26" t="s">
        <v>460</v>
      </c>
      <c r="C2943" s="1">
        <v>39</v>
      </c>
      <c r="D2943" s="27" t="s">
        <v>3367</v>
      </c>
      <c r="E2943" s="25"/>
      <c r="F2943" s="25" t="str">
        <f>IF(INDEX(I.Gas.Y2TotalGasEnergy,39)="","",INDEX(I.Gas.Y2TotalGasEnergy,39))</f>
        <v/>
      </c>
      <c r="G2943" s="25"/>
      <c r="H2943" s="1" t="str">
        <f>IF(AND(I.Product.GasToPowerStatus="Yes",I.Gas.Y2Count&gt;=39,F2943=""),"Incomplete","Complete")</f>
        <v>Complete</v>
      </c>
      <c r="I2943" s="48" t="s">
        <v>2757</v>
      </c>
    </row>
    <row r="2944" spans="2:9" ht="15" customHeight="1" x14ac:dyDescent="0.25">
      <c r="B2944" s="26" t="s">
        <v>460</v>
      </c>
      <c r="C2944" s="1">
        <v>40</v>
      </c>
      <c r="D2944" s="27" t="s">
        <v>3367</v>
      </c>
      <c r="E2944" s="25"/>
      <c r="F2944" s="25" t="str">
        <f>IF(INDEX(I.Gas.Y2TotalGasEnergy,40)="","",INDEX(I.Gas.Y2TotalGasEnergy,40))</f>
        <v/>
      </c>
      <c r="G2944" s="25"/>
      <c r="H2944" s="1" t="str">
        <f>IF(AND(I.Product.GasToPowerStatus="Yes",I.Gas.Y2Count&gt;=40,F2944=""),"Incomplete","Complete")</f>
        <v>Complete</v>
      </c>
      <c r="I2944" s="48" t="s">
        <v>2758</v>
      </c>
    </row>
    <row r="2945" spans="2:9" ht="15" customHeight="1" x14ac:dyDescent="0.25">
      <c r="B2945" s="26" t="s">
        <v>460</v>
      </c>
      <c r="C2945" s="1">
        <v>41</v>
      </c>
      <c r="D2945" s="27" t="s">
        <v>3367</v>
      </c>
      <c r="E2945" s="25"/>
      <c r="F2945" s="25" t="str">
        <f>IF(INDEX(I.Gas.Y2TotalGasEnergy,41)="","",INDEX(I.Gas.Y2TotalGasEnergy,41))</f>
        <v/>
      </c>
      <c r="G2945" s="25"/>
      <c r="H2945" s="1" t="str">
        <f>IF(AND(I.Product.GasToPowerStatus="Yes",I.Gas.Y2Count&gt;=41,F2945=""),"Incomplete","Complete")</f>
        <v>Complete</v>
      </c>
      <c r="I2945" s="48" t="s">
        <v>2759</v>
      </c>
    </row>
    <row r="2946" spans="2:9" ht="15" customHeight="1" x14ac:dyDescent="0.25">
      <c r="B2946" s="26" t="s">
        <v>460</v>
      </c>
      <c r="C2946" s="1">
        <v>42</v>
      </c>
      <c r="D2946" s="27" t="s">
        <v>3367</v>
      </c>
      <c r="E2946" s="25"/>
      <c r="F2946" s="25" t="str">
        <f>IF(INDEX(I.Gas.Y2TotalGasEnergy,42)="","",INDEX(I.Gas.Y2TotalGasEnergy,42))</f>
        <v/>
      </c>
      <c r="G2946" s="25"/>
      <c r="H2946" s="1" t="str">
        <f>IF(AND(I.Product.GasToPowerStatus="Yes",I.Gas.Y2Count&gt;=42,F2946=""),"Incomplete","Complete")</f>
        <v>Complete</v>
      </c>
      <c r="I2946" s="48" t="s">
        <v>2760</v>
      </c>
    </row>
    <row r="2947" spans="2:9" ht="15" customHeight="1" x14ac:dyDescent="0.25">
      <c r="B2947" s="26" t="s">
        <v>460</v>
      </c>
      <c r="C2947" s="1">
        <v>43</v>
      </c>
      <c r="D2947" s="27" t="s">
        <v>3367</v>
      </c>
      <c r="E2947" s="25"/>
      <c r="F2947" s="25" t="str">
        <f>IF(INDEX(I.Gas.Y2TotalGasEnergy,43)="","",INDEX(I.Gas.Y2TotalGasEnergy,43))</f>
        <v/>
      </c>
      <c r="G2947" s="25"/>
      <c r="H2947" s="1" t="str">
        <f>IF(AND(I.Product.GasToPowerStatus="Yes",I.Gas.Y2Count&gt;=43,F2947=""),"Incomplete","Complete")</f>
        <v>Complete</v>
      </c>
      <c r="I2947" s="48" t="s">
        <v>2761</v>
      </c>
    </row>
    <row r="2948" spans="2:9" ht="15" customHeight="1" x14ac:dyDescent="0.25">
      <c r="B2948" s="26" t="s">
        <v>460</v>
      </c>
      <c r="C2948" s="1">
        <v>44</v>
      </c>
      <c r="D2948" s="27" t="s">
        <v>3367</v>
      </c>
      <c r="E2948" s="25"/>
      <c r="F2948" s="25" t="str">
        <f>IF(INDEX(I.Gas.Y2TotalGasEnergy,44)="","",INDEX(I.Gas.Y2TotalGasEnergy,44))</f>
        <v/>
      </c>
      <c r="G2948" s="25"/>
      <c r="H2948" s="1" t="str">
        <f>IF(AND(I.Product.GasToPowerStatus="Yes",I.Gas.Y2Count&gt;=44,F2948=""),"Incomplete","Complete")</f>
        <v>Complete</v>
      </c>
      <c r="I2948" s="48" t="s">
        <v>2762</v>
      </c>
    </row>
    <row r="2949" spans="2:9" ht="15" customHeight="1" x14ac:dyDescent="0.25">
      <c r="B2949" s="26" t="s">
        <v>460</v>
      </c>
      <c r="C2949" s="1">
        <v>45</v>
      </c>
      <c r="D2949" s="27" t="s">
        <v>3367</v>
      </c>
      <c r="E2949" s="25"/>
      <c r="F2949" s="25" t="str">
        <f>IF(INDEX(I.Gas.Y2TotalGasEnergy,45)="","",INDEX(I.Gas.Y2TotalGasEnergy,45))</f>
        <v/>
      </c>
      <c r="G2949" s="25"/>
      <c r="H2949" s="1" t="str">
        <f>IF(AND(I.Product.GasToPowerStatus="Yes",I.Gas.Y2Count&gt;=45,F2949=""),"Incomplete","Complete")</f>
        <v>Complete</v>
      </c>
      <c r="I2949" s="48" t="s">
        <v>2763</v>
      </c>
    </row>
    <row r="2950" spans="2:9" ht="15" customHeight="1" x14ac:dyDescent="0.25">
      <c r="B2950" s="26" t="s">
        <v>460</v>
      </c>
      <c r="C2950" s="1">
        <v>46</v>
      </c>
      <c r="D2950" s="27" t="s">
        <v>3367</v>
      </c>
      <c r="E2950" s="25"/>
      <c r="F2950" s="25" t="str">
        <f>IF(INDEX(I.Gas.Y2TotalGasEnergy,46)="","",INDEX(I.Gas.Y2TotalGasEnergy,46))</f>
        <v/>
      </c>
      <c r="G2950" s="25"/>
      <c r="H2950" s="1" t="str">
        <f>IF(AND(I.Product.GasToPowerStatus="Yes",I.Gas.Y2Count&gt;=46,F2950=""),"Incomplete","Complete")</f>
        <v>Complete</v>
      </c>
      <c r="I2950" s="48" t="s">
        <v>2764</v>
      </c>
    </row>
    <row r="2951" spans="2:9" ht="15" customHeight="1" x14ac:dyDescent="0.25">
      <c r="B2951" s="26" t="s">
        <v>460</v>
      </c>
      <c r="C2951" s="1">
        <v>47</v>
      </c>
      <c r="D2951" s="27" t="s">
        <v>3367</v>
      </c>
      <c r="E2951" s="25"/>
      <c r="F2951" s="25" t="str">
        <f>IF(INDEX(I.Gas.Y2TotalGasEnergy,47)="","",INDEX(I.Gas.Y2TotalGasEnergy,47))</f>
        <v/>
      </c>
      <c r="G2951" s="25"/>
      <c r="H2951" s="1" t="str">
        <f>IF(AND(I.Product.GasToPowerStatus="Yes",I.Gas.Y2Count&gt;=47,F2951=""),"Incomplete","Complete")</f>
        <v>Complete</v>
      </c>
      <c r="I2951" s="48" t="s">
        <v>2765</v>
      </c>
    </row>
    <row r="2952" spans="2:9" ht="15" customHeight="1" x14ac:dyDescent="0.25">
      <c r="B2952" s="26" t="s">
        <v>460</v>
      </c>
      <c r="C2952" s="1">
        <v>48</v>
      </c>
      <c r="D2952" s="27" t="s">
        <v>3367</v>
      </c>
      <c r="E2952" s="25"/>
      <c r="F2952" s="25" t="str">
        <f>IF(INDEX(I.Gas.Y2TotalGasEnergy,48)="","",INDEX(I.Gas.Y2TotalGasEnergy,48))</f>
        <v/>
      </c>
      <c r="G2952" s="25"/>
      <c r="H2952" s="1" t="str">
        <f>IF(AND(I.Product.GasToPowerStatus="Yes",I.Gas.Y2Count&gt;=48,F2952=""),"Incomplete","Complete")</f>
        <v>Complete</v>
      </c>
      <c r="I2952" s="48" t="s">
        <v>2766</v>
      </c>
    </row>
    <row r="2953" spans="2:9" ht="15" customHeight="1" x14ac:dyDescent="0.25">
      <c r="B2953" s="26" t="s">
        <v>460</v>
      </c>
      <c r="C2953" s="1">
        <v>49</v>
      </c>
      <c r="D2953" s="27" t="s">
        <v>3367</v>
      </c>
      <c r="E2953" s="25"/>
      <c r="F2953" s="25" t="str">
        <f>IF(INDEX(I.Gas.Y2TotalGasEnergy,49)="","",INDEX(I.Gas.Y2TotalGasEnergy,49))</f>
        <v/>
      </c>
      <c r="G2953" s="25"/>
      <c r="H2953" s="1" t="str">
        <f>IF(AND(I.Product.GasToPowerStatus="Yes",I.Gas.Y2Count&gt;=49,F2953=""),"Incomplete","Complete")</f>
        <v>Complete</v>
      </c>
      <c r="I2953" s="48" t="s">
        <v>2767</v>
      </c>
    </row>
    <row r="2954" spans="2:9" ht="15" customHeight="1" x14ac:dyDescent="0.25">
      <c r="B2954" s="34" t="s">
        <v>460</v>
      </c>
      <c r="C2954" s="35">
        <v>50</v>
      </c>
      <c r="D2954" s="46" t="s">
        <v>3367</v>
      </c>
      <c r="E2954" s="45"/>
      <c r="F2954" s="45" t="str">
        <f>IF(INDEX(I.Gas.Y2TotalGasEnergy,50)="","",INDEX(I.Gas.Y2TotalGasEnergy,50))</f>
        <v/>
      </c>
      <c r="G2954" s="45"/>
      <c r="H2954" s="35" t="str">
        <f>IF(AND(I.Product.GasToPowerStatus="Yes",I.Gas.Y2Count&gt;=50,F2954=""),"Incomplete","Complete")</f>
        <v>Complete</v>
      </c>
      <c r="I2954" s="49" t="s">
        <v>2768</v>
      </c>
    </row>
    <row r="2955" spans="2:9" ht="15" customHeight="1" x14ac:dyDescent="0.25">
      <c r="B2955" s="26" t="s">
        <v>461</v>
      </c>
      <c r="C2955" s="1">
        <v>1</v>
      </c>
      <c r="D2955" s="27" t="s">
        <v>3368</v>
      </c>
      <c r="E2955" s="25"/>
      <c r="F2955" s="25" t="str">
        <f>IF(INDEX(I.Gas.Y2ElectricityGeneration,1)="","",INDEX(I.Gas.Y2ElectricityGeneration,1))</f>
        <v/>
      </c>
      <c r="G2955" s="25"/>
      <c r="H2955" s="1" t="str">
        <f>IF(AND(I.Product.GasToPowerStatus="Yes",I.Gas.Y2Count&gt;=1,F2955=""),"Incomplete","Complete")</f>
        <v>Complete</v>
      </c>
      <c r="I2955" s="48" t="s">
        <v>2769</v>
      </c>
    </row>
    <row r="2956" spans="2:9" ht="15" customHeight="1" x14ac:dyDescent="0.25">
      <c r="B2956" s="26" t="s">
        <v>461</v>
      </c>
      <c r="C2956" s="1">
        <v>2</v>
      </c>
      <c r="D2956" s="27" t="s">
        <v>3368</v>
      </c>
      <c r="E2956" s="25"/>
      <c r="F2956" s="25" t="str">
        <f>IF(INDEX(I.Gas.Y2ElectricityGeneration,2)="","",INDEX(I.Gas.Y2ElectricityGeneration,2))</f>
        <v/>
      </c>
      <c r="G2956" s="25"/>
      <c r="H2956" s="1" t="str">
        <f>IF(AND(I.Product.GasToPowerStatus="Yes",I.Gas.Y2Count&gt;=2,F2956=""),"Incomplete","Complete")</f>
        <v>Complete</v>
      </c>
      <c r="I2956" s="48" t="s">
        <v>2770</v>
      </c>
    </row>
    <row r="2957" spans="2:9" ht="15" customHeight="1" x14ac:dyDescent="0.25">
      <c r="B2957" s="26" t="s">
        <v>461</v>
      </c>
      <c r="C2957" s="1">
        <v>3</v>
      </c>
      <c r="D2957" s="27" t="s">
        <v>3368</v>
      </c>
      <c r="E2957" s="25"/>
      <c r="F2957" s="25" t="str">
        <f>IF(INDEX(I.Gas.Y2ElectricityGeneration,3)="","",INDEX(I.Gas.Y2ElectricityGeneration,3))</f>
        <v/>
      </c>
      <c r="G2957" s="25"/>
      <c r="H2957" s="1" t="str">
        <f>IF(AND(I.Product.GasToPowerStatus="Yes",I.Gas.Y2Count&gt;=3,F2957=""),"Incomplete","Complete")</f>
        <v>Complete</v>
      </c>
      <c r="I2957" s="48" t="s">
        <v>2771</v>
      </c>
    </row>
    <row r="2958" spans="2:9" ht="15" customHeight="1" x14ac:dyDescent="0.25">
      <c r="B2958" s="26" t="s">
        <v>461</v>
      </c>
      <c r="C2958" s="1">
        <v>4</v>
      </c>
      <c r="D2958" s="27" t="s">
        <v>3368</v>
      </c>
      <c r="E2958" s="25"/>
      <c r="F2958" s="25" t="str">
        <f>IF(INDEX(I.Gas.Y2ElectricityGeneration,4)="","",INDEX(I.Gas.Y2ElectricityGeneration,4))</f>
        <v/>
      </c>
      <c r="G2958" s="25"/>
      <c r="H2958" s="1" t="str">
        <f>IF(AND(I.Product.GasToPowerStatus="Yes",I.Gas.Y2Count&gt;=4,F2958=""),"Incomplete","Complete")</f>
        <v>Complete</v>
      </c>
      <c r="I2958" s="48" t="s">
        <v>2772</v>
      </c>
    </row>
    <row r="2959" spans="2:9" ht="15" customHeight="1" x14ac:dyDescent="0.25">
      <c r="B2959" s="26" t="s">
        <v>461</v>
      </c>
      <c r="C2959" s="1">
        <v>5</v>
      </c>
      <c r="D2959" s="27" t="s">
        <v>3368</v>
      </c>
      <c r="E2959" s="25"/>
      <c r="F2959" s="25" t="str">
        <f>IF(INDEX(I.Gas.Y2ElectricityGeneration,5)="","",INDEX(I.Gas.Y2ElectricityGeneration,5))</f>
        <v/>
      </c>
      <c r="G2959" s="25"/>
      <c r="H2959" s="1" t="str">
        <f>IF(AND(I.Product.GasToPowerStatus="Yes",I.Gas.Y2Count&gt;=5,F2959=""),"Incomplete","Complete")</f>
        <v>Complete</v>
      </c>
      <c r="I2959" s="48" t="s">
        <v>2773</v>
      </c>
    </row>
    <row r="2960" spans="2:9" ht="15" customHeight="1" x14ac:dyDescent="0.25">
      <c r="B2960" s="26" t="s">
        <v>461</v>
      </c>
      <c r="C2960" s="1">
        <v>6</v>
      </c>
      <c r="D2960" s="27" t="s">
        <v>3368</v>
      </c>
      <c r="E2960" s="25"/>
      <c r="F2960" s="25" t="str">
        <f>IF(INDEX(I.Gas.Y2ElectricityGeneration,6)="","",INDEX(I.Gas.Y2ElectricityGeneration,6))</f>
        <v/>
      </c>
      <c r="G2960" s="25"/>
      <c r="H2960" s="1" t="str">
        <f>IF(AND(I.Product.GasToPowerStatus="Yes",I.Gas.Y2Count&gt;=6,F2960=""),"Incomplete","Complete")</f>
        <v>Complete</v>
      </c>
      <c r="I2960" s="48" t="s">
        <v>2774</v>
      </c>
    </row>
    <row r="2961" spans="2:9" ht="15" customHeight="1" x14ac:dyDescent="0.25">
      <c r="B2961" s="26" t="s">
        <v>461</v>
      </c>
      <c r="C2961" s="1">
        <v>7</v>
      </c>
      <c r="D2961" s="27" t="s">
        <v>3368</v>
      </c>
      <c r="E2961" s="25"/>
      <c r="F2961" s="25" t="str">
        <f>IF(INDEX(I.Gas.Y2ElectricityGeneration,7)="","",INDEX(I.Gas.Y2ElectricityGeneration,7))</f>
        <v/>
      </c>
      <c r="G2961" s="25"/>
      <c r="H2961" s="1" t="str">
        <f>IF(AND(I.Product.GasToPowerStatus="Yes",I.Gas.Y2Count&gt;=7,F2961=""),"Incomplete","Complete")</f>
        <v>Complete</v>
      </c>
      <c r="I2961" s="48" t="s">
        <v>2775</v>
      </c>
    </row>
    <row r="2962" spans="2:9" ht="15" customHeight="1" x14ac:dyDescent="0.25">
      <c r="B2962" s="26" t="s">
        <v>461</v>
      </c>
      <c r="C2962" s="1">
        <v>8</v>
      </c>
      <c r="D2962" s="27" t="s">
        <v>3368</v>
      </c>
      <c r="E2962" s="25"/>
      <c r="F2962" s="25" t="str">
        <f>IF(INDEX(I.Gas.Y2ElectricityGeneration,8)="","",INDEX(I.Gas.Y2ElectricityGeneration,8))</f>
        <v/>
      </c>
      <c r="G2962" s="25"/>
      <c r="H2962" s="1" t="str">
        <f>IF(AND(I.Product.GasToPowerStatus="Yes",I.Gas.Y2Count&gt;=8,F2962=""),"Incomplete","Complete")</f>
        <v>Complete</v>
      </c>
      <c r="I2962" s="48" t="s">
        <v>2776</v>
      </c>
    </row>
    <row r="2963" spans="2:9" ht="15" customHeight="1" x14ac:dyDescent="0.25">
      <c r="B2963" s="26" t="s">
        <v>461</v>
      </c>
      <c r="C2963" s="1">
        <v>9</v>
      </c>
      <c r="D2963" s="27" t="s">
        <v>3368</v>
      </c>
      <c r="E2963" s="25"/>
      <c r="F2963" s="25" t="str">
        <f>IF(INDEX(I.Gas.Y2ElectricityGeneration,9)="","",INDEX(I.Gas.Y2ElectricityGeneration,9))</f>
        <v/>
      </c>
      <c r="G2963" s="25"/>
      <c r="H2963" s="1" t="str">
        <f>IF(AND(I.Product.GasToPowerStatus="Yes",I.Gas.Y2Count&gt;=9,F2963=""),"Incomplete","Complete")</f>
        <v>Complete</v>
      </c>
      <c r="I2963" s="48" t="s">
        <v>2777</v>
      </c>
    </row>
    <row r="2964" spans="2:9" ht="15" customHeight="1" x14ac:dyDescent="0.25">
      <c r="B2964" s="26" t="s">
        <v>461</v>
      </c>
      <c r="C2964" s="1">
        <v>10</v>
      </c>
      <c r="D2964" s="27" t="s">
        <v>3368</v>
      </c>
      <c r="E2964" s="25"/>
      <c r="F2964" s="25" t="str">
        <f>IF(INDEX(I.Gas.Y2ElectricityGeneration,10)="","",INDEX(I.Gas.Y2ElectricityGeneration,10))</f>
        <v/>
      </c>
      <c r="G2964" s="25"/>
      <c r="H2964" s="1" t="str">
        <f>IF(AND(I.Product.GasToPowerStatus="Yes",I.Gas.Y2Count&gt;=10,F2964=""),"Incomplete","Complete")</f>
        <v>Complete</v>
      </c>
      <c r="I2964" s="48" t="s">
        <v>2778</v>
      </c>
    </row>
    <row r="2965" spans="2:9" ht="15" customHeight="1" x14ac:dyDescent="0.25">
      <c r="B2965" s="26" t="s">
        <v>461</v>
      </c>
      <c r="C2965" s="1">
        <v>11</v>
      </c>
      <c r="D2965" s="27" t="s">
        <v>3368</v>
      </c>
      <c r="E2965" s="25"/>
      <c r="F2965" s="25" t="str">
        <f>IF(INDEX(I.Gas.Y2ElectricityGeneration,11)="","",INDEX(I.Gas.Y2ElectricityGeneration,11))</f>
        <v/>
      </c>
      <c r="G2965" s="25"/>
      <c r="H2965" s="1" t="str">
        <f>IF(AND(I.Product.GasToPowerStatus="Yes",I.Gas.Y2Count&gt;=11,F2965=""),"Incomplete","Complete")</f>
        <v>Complete</v>
      </c>
      <c r="I2965" s="48" t="s">
        <v>2779</v>
      </c>
    </row>
    <row r="2966" spans="2:9" ht="15" customHeight="1" x14ac:dyDescent="0.25">
      <c r="B2966" s="26" t="s">
        <v>461</v>
      </c>
      <c r="C2966" s="1">
        <v>12</v>
      </c>
      <c r="D2966" s="27" t="s">
        <v>3368</v>
      </c>
      <c r="E2966" s="25"/>
      <c r="F2966" s="25" t="str">
        <f>IF(INDEX(I.Gas.Y2ElectricityGeneration,12)="","",INDEX(I.Gas.Y2ElectricityGeneration,12))</f>
        <v/>
      </c>
      <c r="G2966" s="25"/>
      <c r="H2966" s="1" t="str">
        <f>IF(AND(I.Product.GasToPowerStatus="Yes",I.Gas.Y2Count&gt;=12,F2966=""),"Incomplete","Complete")</f>
        <v>Complete</v>
      </c>
      <c r="I2966" s="48" t="s">
        <v>2780</v>
      </c>
    </row>
    <row r="2967" spans="2:9" ht="15" customHeight="1" x14ac:dyDescent="0.25">
      <c r="B2967" s="26" t="s">
        <v>461</v>
      </c>
      <c r="C2967" s="1">
        <v>13</v>
      </c>
      <c r="D2967" s="27" t="s">
        <v>3368</v>
      </c>
      <c r="E2967" s="25"/>
      <c r="F2967" s="25" t="str">
        <f>IF(INDEX(I.Gas.Y2ElectricityGeneration,13)="","",INDEX(I.Gas.Y2ElectricityGeneration,13))</f>
        <v/>
      </c>
      <c r="G2967" s="25"/>
      <c r="H2967" s="1" t="str">
        <f>IF(AND(I.Product.GasToPowerStatus="Yes",I.Gas.Y2Count&gt;=13,F2967=""),"Incomplete","Complete")</f>
        <v>Complete</v>
      </c>
      <c r="I2967" s="48" t="s">
        <v>2781</v>
      </c>
    </row>
    <row r="2968" spans="2:9" ht="15" customHeight="1" x14ac:dyDescent="0.25">
      <c r="B2968" s="26" t="s">
        <v>461</v>
      </c>
      <c r="C2968" s="1">
        <v>14</v>
      </c>
      <c r="D2968" s="27" t="s">
        <v>3368</v>
      </c>
      <c r="E2968" s="25"/>
      <c r="F2968" s="25" t="str">
        <f>IF(INDEX(I.Gas.Y2ElectricityGeneration,14)="","",INDEX(I.Gas.Y2ElectricityGeneration,14))</f>
        <v/>
      </c>
      <c r="G2968" s="25"/>
      <c r="H2968" s="1" t="str">
        <f>IF(AND(I.Product.GasToPowerStatus="Yes",I.Gas.Y2Count&gt;=14,F2968=""),"Incomplete","Complete")</f>
        <v>Complete</v>
      </c>
      <c r="I2968" s="48" t="s">
        <v>2782</v>
      </c>
    </row>
    <row r="2969" spans="2:9" ht="15" customHeight="1" x14ac:dyDescent="0.25">
      <c r="B2969" s="26" t="s">
        <v>461</v>
      </c>
      <c r="C2969" s="1">
        <v>15</v>
      </c>
      <c r="D2969" s="27" t="s">
        <v>3368</v>
      </c>
      <c r="E2969" s="25"/>
      <c r="F2969" s="25" t="str">
        <f>IF(INDEX(I.Gas.Y2ElectricityGeneration,15)="","",INDEX(I.Gas.Y2ElectricityGeneration,15))</f>
        <v/>
      </c>
      <c r="G2969" s="25"/>
      <c r="H2969" s="1" t="str">
        <f>IF(AND(I.Product.GasToPowerStatus="Yes",I.Gas.Y2Count&gt;=15,F2969=""),"Incomplete","Complete")</f>
        <v>Complete</v>
      </c>
      <c r="I2969" s="48" t="s">
        <v>2783</v>
      </c>
    </row>
    <row r="2970" spans="2:9" ht="15" customHeight="1" x14ac:dyDescent="0.25">
      <c r="B2970" s="26" t="s">
        <v>461</v>
      </c>
      <c r="C2970" s="1">
        <v>16</v>
      </c>
      <c r="D2970" s="27" t="s">
        <v>3368</v>
      </c>
      <c r="E2970" s="25"/>
      <c r="F2970" s="25" t="str">
        <f>IF(INDEX(I.Gas.Y2ElectricityGeneration,16)="","",INDEX(I.Gas.Y2ElectricityGeneration,16))</f>
        <v/>
      </c>
      <c r="G2970" s="25"/>
      <c r="H2970" s="1" t="str">
        <f>IF(AND(I.Product.GasToPowerStatus="Yes",I.Gas.Y2Count&gt;=16,F2970=""),"Incomplete","Complete")</f>
        <v>Complete</v>
      </c>
      <c r="I2970" s="48" t="s">
        <v>2784</v>
      </c>
    </row>
    <row r="2971" spans="2:9" ht="15" customHeight="1" x14ac:dyDescent="0.25">
      <c r="B2971" s="26" t="s">
        <v>461</v>
      </c>
      <c r="C2971" s="1">
        <v>17</v>
      </c>
      <c r="D2971" s="27" t="s">
        <v>3368</v>
      </c>
      <c r="E2971" s="25"/>
      <c r="F2971" s="25" t="str">
        <f>IF(INDEX(I.Gas.Y2ElectricityGeneration,17)="","",INDEX(I.Gas.Y2ElectricityGeneration,17))</f>
        <v/>
      </c>
      <c r="G2971" s="25"/>
      <c r="H2971" s="1" t="str">
        <f>IF(AND(I.Product.GasToPowerStatus="Yes",I.Gas.Y2Count&gt;=17,F2971=""),"Incomplete","Complete")</f>
        <v>Complete</v>
      </c>
      <c r="I2971" s="48" t="s">
        <v>2785</v>
      </c>
    </row>
    <row r="2972" spans="2:9" ht="15" customHeight="1" x14ac:dyDescent="0.25">
      <c r="B2972" s="26" t="s">
        <v>461</v>
      </c>
      <c r="C2972" s="1">
        <v>18</v>
      </c>
      <c r="D2972" s="27" t="s">
        <v>3368</v>
      </c>
      <c r="E2972" s="25"/>
      <c r="F2972" s="25" t="str">
        <f>IF(INDEX(I.Gas.Y2ElectricityGeneration,18)="","",INDEX(I.Gas.Y2ElectricityGeneration,18))</f>
        <v/>
      </c>
      <c r="G2972" s="25"/>
      <c r="H2972" s="1" t="str">
        <f>IF(AND(I.Product.GasToPowerStatus="Yes",I.Gas.Y2Count&gt;=18,F2972=""),"Incomplete","Complete")</f>
        <v>Complete</v>
      </c>
      <c r="I2972" s="48" t="s">
        <v>2786</v>
      </c>
    </row>
    <row r="2973" spans="2:9" ht="15" customHeight="1" x14ac:dyDescent="0.25">
      <c r="B2973" s="26" t="s">
        <v>461</v>
      </c>
      <c r="C2973" s="1">
        <v>19</v>
      </c>
      <c r="D2973" s="27" t="s">
        <v>3368</v>
      </c>
      <c r="E2973" s="25"/>
      <c r="F2973" s="25" t="str">
        <f>IF(INDEX(I.Gas.Y2ElectricityGeneration,19)="","",INDEX(I.Gas.Y2ElectricityGeneration,19))</f>
        <v/>
      </c>
      <c r="G2973" s="25"/>
      <c r="H2973" s="1" t="str">
        <f>IF(AND(I.Product.GasToPowerStatus="Yes",I.Gas.Y2Count&gt;=19,F2973=""),"Incomplete","Complete")</f>
        <v>Complete</v>
      </c>
      <c r="I2973" s="48" t="s">
        <v>2787</v>
      </c>
    </row>
    <row r="2974" spans="2:9" ht="15" customHeight="1" x14ac:dyDescent="0.25">
      <c r="B2974" s="26" t="s">
        <v>461</v>
      </c>
      <c r="C2974" s="1">
        <v>20</v>
      </c>
      <c r="D2974" s="27" t="s">
        <v>3368</v>
      </c>
      <c r="E2974" s="25"/>
      <c r="F2974" s="25" t="str">
        <f>IF(INDEX(I.Gas.Y2ElectricityGeneration,20)="","",INDEX(I.Gas.Y2ElectricityGeneration,20))</f>
        <v/>
      </c>
      <c r="G2974" s="25"/>
      <c r="H2974" s="1" t="str">
        <f>IF(AND(I.Product.GasToPowerStatus="Yes",I.Gas.Y2Count&gt;=20,F2974=""),"Incomplete","Complete")</f>
        <v>Complete</v>
      </c>
      <c r="I2974" s="48" t="s">
        <v>2788</v>
      </c>
    </row>
    <row r="2975" spans="2:9" ht="15" customHeight="1" x14ac:dyDescent="0.25">
      <c r="B2975" s="26" t="s">
        <v>461</v>
      </c>
      <c r="C2975" s="1">
        <v>21</v>
      </c>
      <c r="D2975" s="27" t="s">
        <v>3368</v>
      </c>
      <c r="E2975" s="25"/>
      <c r="F2975" s="25" t="str">
        <f>IF(INDEX(I.Gas.Y2ElectricityGeneration,21)="","",INDEX(I.Gas.Y2ElectricityGeneration,21))</f>
        <v/>
      </c>
      <c r="G2975" s="25"/>
      <c r="H2975" s="1" t="str">
        <f>IF(AND(I.Product.GasToPowerStatus="Yes",I.Gas.Y2Count&gt;=21,F2975=""),"Incomplete","Complete")</f>
        <v>Complete</v>
      </c>
      <c r="I2975" s="48" t="s">
        <v>2789</v>
      </c>
    </row>
    <row r="2976" spans="2:9" ht="15" customHeight="1" x14ac:dyDescent="0.25">
      <c r="B2976" s="26" t="s">
        <v>461</v>
      </c>
      <c r="C2976" s="1">
        <v>22</v>
      </c>
      <c r="D2976" s="27" t="s">
        <v>3368</v>
      </c>
      <c r="E2976" s="25"/>
      <c r="F2976" s="25" t="str">
        <f>IF(INDEX(I.Gas.Y2ElectricityGeneration,22)="","",INDEX(I.Gas.Y2ElectricityGeneration,22))</f>
        <v/>
      </c>
      <c r="G2976" s="25"/>
      <c r="H2976" s="1" t="str">
        <f>IF(AND(I.Product.GasToPowerStatus="Yes",I.Gas.Y2Count&gt;=22,F2976=""),"Incomplete","Complete")</f>
        <v>Complete</v>
      </c>
      <c r="I2976" s="48" t="s">
        <v>2790</v>
      </c>
    </row>
    <row r="2977" spans="2:9" ht="15" customHeight="1" x14ac:dyDescent="0.25">
      <c r="B2977" s="26" t="s">
        <v>461</v>
      </c>
      <c r="C2977" s="1">
        <v>23</v>
      </c>
      <c r="D2977" s="27" t="s">
        <v>3368</v>
      </c>
      <c r="E2977" s="25"/>
      <c r="F2977" s="25" t="str">
        <f>IF(INDEX(I.Gas.Y2ElectricityGeneration,23)="","",INDEX(I.Gas.Y2ElectricityGeneration,23))</f>
        <v/>
      </c>
      <c r="G2977" s="25"/>
      <c r="H2977" s="1" t="str">
        <f>IF(AND(I.Product.GasToPowerStatus="Yes",I.Gas.Y2Count&gt;=23,F2977=""),"Incomplete","Complete")</f>
        <v>Complete</v>
      </c>
      <c r="I2977" s="48" t="s">
        <v>2791</v>
      </c>
    </row>
    <row r="2978" spans="2:9" ht="15" customHeight="1" x14ac:dyDescent="0.25">
      <c r="B2978" s="26" t="s">
        <v>461</v>
      </c>
      <c r="C2978" s="1">
        <v>24</v>
      </c>
      <c r="D2978" s="27" t="s">
        <v>3368</v>
      </c>
      <c r="E2978" s="25"/>
      <c r="F2978" s="25" t="str">
        <f>IF(INDEX(I.Gas.Y2ElectricityGeneration,24)="","",INDEX(I.Gas.Y2ElectricityGeneration,24))</f>
        <v/>
      </c>
      <c r="G2978" s="25"/>
      <c r="H2978" s="1" t="str">
        <f>IF(AND(I.Product.GasToPowerStatus="Yes",I.Gas.Y2Count&gt;=24,F2978=""),"Incomplete","Complete")</f>
        <v>Complete</v>
      </c>
      <c r="I2978" s="48" t="s">
        <v>2792</v>
      </c>
    </row>
    <row r="2979" spans="2:9" ht="15" customHeight="1" x14ac:dyDescent="0.25">
      <c r="B2979" s="26" t="s">
        <v>461</v>
      </c>
      <c r="C2979" s="1">
        <v>25</v>
      </c>
      <c r="D2979" s="27" t="s">
        <v>3368</v>
      </c>
      <c r="E2979" s="25"/>
      <c r="F2979" s="25" t="str">
        <f>IF(INDEX(I.Gas.Y2ElectricityGeneration,25)="","",INDEX(I.Gas.Y2ElectricityGeneration,25))</f>
        <v/>
      </c>
      <c r="G2979" s="25"/>
      <c r="H2979" s="1" t="str">
        <f>IF(AND(I.Product.GasToPowerStatus="Yes",I.Gas.Y2Count&gt;=25,F2979=""),"Incomplete","Complete")</f>
        <v>Complete</v>
      </c>
      <c r="I2979" s="48" t="s">
        <v>2793</v>
      </c>
    </row>
    <row r="2980" spans="2:9" ht="15" customHeight="1" x14ac:dyDescent="0.25">
      <c r="B2980" s="26" t="s">
        <v>461</v>
      </c>
      <c r="C2980" s="1">
        <v>26</v>
      </c>
      <c r="D2980" s="27" t="s">
        <v>3368</v>
      </c>
      <c r="E2980" s="25"/>
      <c r="F2980" s="25" t="str">
        <f>IF(INDEX(I.Gas.Y2ElectricityGeneration,26)="","",INDEX(I.Gas.Y2ElectricityGeneration,26))</f>
        <v/>
      </c>
      <c r="G2980" s="25"/>
      <c r="H2980" s="1" t="str">
        <f>IF(AND(I.Product.GasToPowerStatus="Yes",I.Gas.Y2Count&gt;=26,F2980=""),"Incomplete","Complete")</f>
        <v>Complete</v>
      </c>
      <c r="I2980" s="48" t="s">
        <v>2794</v>
      </c>
    </row>
    <row r="2981" spans="2:9" ht="15" customHeight="1" x14ac:dyDescent="0.25">
      <c r="B2981" s="26" t="s">
        <v>461</v>
      </c>
      <c r="C2981" s="1">
        <v>27</v>
      </c>
      <c r="D2981" s="27" t="s">
        <v>3368</v>
      </c>
      <c r="E2981" s="25"/>
      <c r="F2981" s="25" t="str">
        <f>IF(INDEX(I.Gas.Y2ElectricityGeneration,27)="","",INDEX(I.Gas.Y2ElectricityGeneration,27))</f>
        <v/>
      </c>
      <c r="G2981" s="25"/>
      <c r="H2981" s="1" t="str">
        <f>IF(AND(I.Product.GasToPowerStatus="Yes",I.Gas.Y2Count&gt;=27,F2981=""),"Incomplete","Complete")</f>
        <v>Complete</v>
      </c>
      <c r="I2981" s="48" t="s">
        <v>2795</v>
      </c>
    </row>
    <row r="2982" spans="2:9" ht="15" customHeight="1" x14ac:dyDescent="0.25">
      <c r="B2982" s="26" t="s">
        <v>461</v>
      </c>
      <c r="C2982" s="1">
        <v>28</v>
      </c>
      <c r="D2982" s="27" t="s">
        <v>3368</v>
      </c>
      <c r="E2982" s="25"/>
      <c r="F2982" s="25" t="str">
        <f>IF(INDEX(I.Gas.Y2ElectricityGeneration,28)="","",INDEX(I.Gas.Y2ElectricityGeneration,28))</f>
        <v/>
      </c>
      <c r="G2982" s="25"/>
      <c r="H2982" s="1" t="str">
        <f>IF(AND(I.Product.GasToPowerStatus="Yes",I.Gas.Y2Count&gt;=28,F2982=""),"Incomplete","Complete")</f>
        <v>Complete</v>
      </c>
      <c r="I2982" s="48" t="s">
        <v>2796</v>
      </c>
    </row>
    <row r="2983" spans="2:9" ht="15" customHeight="1" x14ac:dyDescent="0.25">
      <c r="B2983" s="26" t="s">
        <v>461</v>
      </c>
      <c r="C2983" s="1">
        <v>29</v>
      </c>
      <c r="D2983" s="27" t="s">
        <v>3368</v>
      </c>
      <c r="E2983" s="25"/>
      <c r="F2983" s="25" t="str">
        <f>IF(INDEX(I.Gas.Y2ElectricityGeneration,29)="","",INDEX(I.Gas.Y2ElectricityGeneration,29))</f>
        <v/>
      </c>
      <c r="G2983" s="25"/>
      <c r="H2983" s="1" t="str">
        <f>IF(AND(I.Product.GasToPowerStatus="Yes",I.Gas.Y2Count&gt;=29,F2983=""),"Incomplete","Complete")</f>
        <v>Complete</v>
      </c>
      <c r="I2983" s="48" t="s">
        <v>2797</v>
      </c>
    </row>
    <row r="2984" spans="2:9" ht="15" customHeight="1" x14ac:dyDescent="0.25">
      <c r="B2984" s="26" t="s">
        <v>461</v>
      </c>
      <c r="C2984" s="1">
        <v>30</v>
      </c>
      <c r="D2984" s="27" t="s">
        <v>3368</v>
      </c>
      <c r="E2984" s="25"/>
      <c r="F2984" s="25" t="str">
        <f>IF(INDEX(I.Gas.Y2ElectricityGeneration,30)="","",INDEX(I.Gas.Y2ElectricityGeneration,30))</f>
        <v/>
      </c>
      <c r="G2984" s="25"/>
      <c r="H2984" s="1" t="str">
        <f>IF(AND(I.Product.GasToPowerStatus="Yes",I.Gas.Y2Count&gt;=30,F2984=""),"Incomplete","Complete")</f>
        <v>Complete</v>
      </c>
      <c r="I2984" s="48" t="s">
        <v>2798</v>
      </c>
    </row>
    <row r="2985" spans="2:9" ht="15" customHeight="1" x14ac:dyDescent="0.25">
      <c r="B2985" s="26" t="s">
        <v>461</v>
      </c>
      <c r="C2985" s="1">
        <v>31</v>
      </c>
      <c r="D2985" s="27" t="s">
        <v>3368</v>
      </c>
      <c r="E2985" s="25"/>
      <c r="F2985" s="25" t="str">
        <f>IF(INDEX(I.Gas.Y2ElectricityGeneration,31)="","",INDEX(I.Gas.Y2ElectricityGeneration,31))</f>
        <v/>
      </c>
      <c r="G2985" s="25"/>
      <c r="H2985" s="1" t="str">
        <f>IF(AND(I.Product.GasToPowerStatus="Yes",I.Gas.Y2Count&gt;=31,F2985=""),"Incomplete","Complete")</f>
        <v>Complete</v>
      </c>
      <c r="I2985" s="48" t="s">
        <v>2799</v>
      </c>
    </row>
    <row r="2986" spans="2:9" ht="15" customHeight="1" x14ac:dyDescent="0.25">
      <c r="B2986" s="26" t="s">
        <v>461</v>
      </c>
      <c r="C2986" s="1">
        <v>32</v>
      </c>
      <c r="D2986" s="27" t="s">
        <v>3368</v>
      </c>
      <c r="E2986" s="25"/>
      <c r="F2986" s="25" t="str">
        <f>IF(INDEX(I.Gas.Y2ElectricityGeneration,32)="","",INDEX(I.Gas.Y2ElectricityGeneration,32))</f>
        <v/>
      </c>
      <c r="G2986" s="25"/>
      <c r="H2986" s="1" t="str">
        <f>IF(AND(I.Product.GasToPowerStatus="Yes",I.Gas.Y2Count&gt;=32,F2986=""),"Incomplete","Complete")</f>
        <v>Complete</v>
      </c>
      <c r="I2986" s="48" t="s">
        <v>2800</v>
      </c>
    </row>
    <row r="2987" spans="2:9" ht="15" customHeight="1" x14ac:dyDescent="0.25">
      <c r="B2987" s="26" t="s">
        <v>461</v>
      </c>
      <c r="C2987" s="1">
        <v>33</v>
      </c>
      <c r="D2987" s="27" t="s">
        <v>3368</v>
      </c>
      <c r="E2987" s="25"/>
      <c r="F2987" s="25" t="str">
        <f>IF(INDEX(I.Gas.Y2ElectricityGeneration,33)="","",INDEX(I.Gas.Y2ElectricityGeneration,33))</f>
        <v/>
      </c>
      <c r="G2987" s="25"/>
      <c r="H2987" s="1" t="str">
        <f>IF(AND(I.Product.GasToPowerStatus="Yes",I.Gas.Y2Count&gt;=33,F2987=""),"Incomplete","Complete")</f>
        <v>Complete</v>
      </c>
      <c r="I2987" s="48" t="s">
        <v>2801</v>
      </c>
    </row>
    <row r="2988" spans="2:9" ht="15" customHeight="1" x14ac:dyDescent="0.25">
      <c r="B2988" s="26" t="s">
        <v>461</v>
      </c>
      <c r="C2988" s="1">
        <v>34</v>
      </c>
      <c r="D2988" s="27" t="s">
        <v>3368</v>
      </c>
      <c r="E2988" s="25"/>
      <c r="F2988" s="25" t="str">
        <f>IF(INDEX(I.Gas.Y2ElectricityGeneration,34)="","",INDEX(I.Gas.Y2ElectricityGeneration,34))</f>
        <v/>
      </c>
      <c r="G2988" s="25"/>
      <c r="H2988" s="1" t="str">
        <f>IF(AND(I.Product.GasToPowerStatus="Yes",I.Gas.Y2Count&gt;=34,F2988=""),"Incomplete","Complete")</f>
        <v>Complete</v>
      </c>
      <c r="I2988" s="48" t="s">
        <v>2802</v>
      </c>
    </row>
    <row r="2989" spans="2:9" ht="15" customHeight="1" x14ac:dyDescent="0.25">
      <c r="B2989" s="26" t="s">
        <v>461</v>
      </c>
      <c r="C2989" s="1">
        <v>35</v>
      </c>
      <c r="D2989" s="27" t="s">
        <v>3368</v>
      </c>
      <c r="E2989" s="25"/>
      <c r="F2989" s="25" t="str">
        <f>IF(INDEX(I.Gas.Y2ElectricityGeneration,35)="","",INDEX(I.Gas.Y2ElectricityGeneration,35))</f>
        <v/>
      </c>
      <c r="G2989" s="25"/>
      <c r="H2989" s="1" t="str">
        <f>IF(AND(I.Product.GasToPowerStatus="Yes",I.Gas.Y2Count&gt;=35,F2989=""),"Incomplete","Complete")</f>
        <v>Complete</v>
      </c>
      <c r="I2989" s="48" t="s">
        <v>2803</v>
      </c>
    </row>
    <row r="2990" spans="2:9" ht="15" customHeight="1" x14ac:dyDescent="0.25">
      <c r="B2990" s="26" t="s">
        <v>461</v>
      </c>
      <c r="C2990" s="1">
        <v>36</v>
      </c>
      <c r="D2990" s="27" t="s">
        <v>3368</v>
      </c>
      <c r="E2990" s="25"/>
      <c r="F2990" s="25" t="str">
        <f>IF(INDEX(I.Gas.Y2ElectricityGeneration,36)="","",INDEX(I.Gas.Y2ElectricityGeneration,36))</f>
        <v/>
      </c>
      <c r="G2990" s="25"/>
      <c r="H2990" s="1" t="str">
        <f>IF(AND(I.Product.GasToPowerStatus="Yes",I.Gas.Y2Count&gt;=36,F2990=""),"Incomplete","Complete")</f>
        <v>Complete</v>
      </c>
      <c r="I2990" s="48" t="s">
        <v>2804</v>
      </c>
    </row>
    <row r="2991" spans="2:9" ht="15" customHeight="1" x14ac:dyDescent="0.25">
      <c r="B2991" s="26" t="s">
        <v>461</v>
      </c>
      <c r="C2991" s="1">
        <v>37</v>
      </c>
      <c r="D2991" s="27" t="s">
        <v>3368</v>
      </c>
      <c r="E2991" s="25"/>
      <c r="F2991" s="25" t="str">
        <f>IF(INDEX(I.Gas.Y2ElectricityGeneration,37)="","",INDEX(I.Gas.Y2ElectricityGeneration,37))</f>
        <v/>
      </c>
      <c r="G2991" s="25"/>
      <c r="H2991" s="1" t="str">
        <f>IF(AND(I.Product.GasToPowerStatus="Yes",I.Gas.Y2Count&gt;=37,F2991=""),"Incomplete","Complete")</f>
        <v>Complete</v>
      </c>
      <c r="I2991" s="48" t="s">
        <v>2805</v>
      </c>
    </row>
    <row r="2992" spans="2:9" ht="15" customHeight="1" x14ac:dyDescent="0.25">
      <c r="B2992" s="26" t="s">
        <v>461</v>
      </c>
      <c r="C2992" s="1">
        <v>38</v>
      </c>
      <c r="D2992" s="27" t="s">
        <v>3368</v>
      </c>
      <c r="E2992" s="25"/>
      <c r="F2992" s="25" t="str">
        <f>IF(INDEX(I.Gas.Y2ElectricityGeneration,38)="","",INDEX(I.Gas.Y2ElectricityGeneration,38))</f>
        <v/>
      </c>
      <c r="G2992" s="25"/>
      <c r="H2992" s="1" t="str">
        <f>IF(AND(I.Product.GasToPowerStatus="Yes",I.Gas.Y2Count&gt;=38,F2992=""),"Incomplete","Complete")</f>
        <v>Complete</v>
      </c>
      <c r="I2992" s="48" t="s">
        <v>2806</v>
      </c>
    </row>
    <row r="2993" spans="2:9" ht="15" customHeight="1" x14ac:dyDescent="0.25">
      <c r="B2993" s="26" t="s">
        <v>461</v>
      </c>
      <c r="C2993" s="1">
        <v>39</v>
      </c>
      <c r="D2993" s="27" t="s">
        <v>3368</v>
      </c>
      <c r="E2993" s="25"/>
      <c r="F2993" s="25" t="str">
        <f>IF(INDEX(I.Gas.Y2ElectricityGeneration,39)="","",INDEX(I.Gas.Y2ElectricityGeneration,39))</f>
        <v/>
      </c>
      <c r="G2993" s="25"/>
      <c r="H2993" s="1" t="str">
        <f>IF(AND(I.Product.GasToPowerStatus="Yes",I.Gas.Y2Count&gt;=39,F2993=""),"Incomplete","Complete")</f>
        <v>Complete</v>
      </c>
      <c r="I2993" s="48" t="s">
        <v>2807</v>
      </c>
    </row>
    <row r="2994" spans="2:9" ht="15" customHeight="1" x14ac:dyDescent="0.25">
      <c r="B2994" s="26" t="s">
        <v>461</v>
      </c>
      <c r="C2994" s="1">
        <v>40</v>
      </c>
      <c r="D2994" s="27" t="s">
        <v>3368</v>
      </c>
      <c r="E2994" s="25"/>
      <c r="F2994" s="25" t="str">
        <f>IF(INDEX(I.Gas.Y2ElectricityGeneration,40)="","",INDEX(I.Gas.Y2ElectricityGeneration,40))</f>
        <v/>
      </c>
      <c r="G2994" s="25"/>
      <c r="H2994" s="1" t="str">
        <f>IF(AND(I.Product.GasToPowerStatus="Yes",I.Gas.Y2Count&gt;=40,F2994=""),"Incomplete","Complete")</f>
        <v>Complete</v>
      </c>
      <c r="I2994" s="48" t="s">
        <v>2808</v>
      </c>
    </row>
    <row r="2995" spans="2:9" ht="15" customHeight="1" x14ac:dyDescent="0.25">
      <c r="B2995" s="26" t="s">
        <v>461</v>
      </c>
      <c r="C2995" s="1">
        <v>41</v>
      </c>
      <c r="D2995" s="27" t="s">
        <v>3368</v>
      </c>
      <c r="E2995" s="25"/>
      <c r="F2995" s="25" t="str">
        <f>IF(INDEX(I.Gas.Y2ElectricityGeneration,41)="","",INDEX(I.Gas.Y2ElectricityGeneration,41))</f>
        <v/>
      </c>
      <c r="G2995" s="25"/>
      <c r="H2995" s="1" t="str">
        <f>IF(AND(I.Product.GasToPowerStatus="Yes",I.Gas.Y2Count&gt;=41,F2995=""),"Incomplete","Complete")</f>
        <v>Complete</v>
      </c>
      <c r="I2995" s="48" t="s">
        <v>2809</v>
      </c>
    </row>
    <row r="2996" spans="2:9" ht="15" customHeight="1" x14ac:dyDescent="0.25">
      <c r="B2996" s="26" t="s">
        <v>461</v>
      </c>
      <c r="C2996" s="1">
        <v>42</v>
      </c>
      <c r="D2996" s="27" t="s">
        <v>3368</v>
      </c>
      <c r="E2996" s="25"/>
      <c r="F2996" s="25" t="str">
        <f>IF(INDEX(I.Gas.Y2ElectricityGeneration,42)="","",INDEX(I.Gas.Y2ElectricityGeneration,42))</f>
        <v/>
      </c>
      <c r="G2996" s="25"/>
      <c r="H2996" s="1" t="str">
        <f>IF(AND(I.Product.GasToPowerStatus="Yes",I.Gas.Y2Count&gt;=42,F2996=""),"Incomplete","Complete")</f>
        <v>Complete</v>
      </c>
      <c r="I2996" s="48" t="s">
        <v>2810</v>
      </c>
    </row>
    <row r="2997" spans="2:9" ht="15" customHeight="1" x14ac:dyDescent="0.25">
      <c r="B2997" s="26" t="s">
        <v>461</v>
      </c>
      <c r="C2997" s="1">
        <v>43</v>
      </c>
      <c r="D2997" s="27" t="s">
        <v>3368</v>
      </c>
      <c r="E2997" s="25"/>
      <c r="F2997" s="25" t="str">
        <f>IF(INDEX(I.Gas.Y2ElectricityGeneration,43)="","",INDEX(I.Gas.Y2ElectricityGeneration,43))</f>
        <v/>
      </c>
      <c r="G2997" s="25"/>
      <c r="H2997" s="1" t="str">
        <f>IF(AND(I.Product.GasToPowerStatus="Yes",I.Gas.Y2Count&gt;=43,F2997=""),"Incomplete","Complete")</f>
        <v>Complete</v>
      </c>
      <c r="I2997" s="48" t="s">
        <v>2811</v>
      </c>
    </row>
    <row r="2998" spans="2:9" ht="15" customHeight="1" x14ac:dyDescent="0.25">
      <c r="B2998" s="26" t="s">
        <v>461</v>
      </c>
      <c r="C2998" s="1">
        <v>44</v>
      </c>
      <c r="D2998" s="27" t="s">
        <v>3368</v>
      </c>
      <c r="E2998" s="25"/>
      <c r="F2998" s="25" t="str">
        <f>IF(INDEX(I.Gas.Y2ElectricityGeneration,44)="","",INDEX(I.Gas.Y2ElectricityGeneration,44))</f>
        <v/>
      </c>
      <c r="G2998" s="25"/>
      <c r="H2998" s="1" t="str">
        <f>IF(AND(I.Product.GasToPowerStatus="Yes",I.Gas.Y2Count&gt;=44,F2998=""),"Incomplete","Complete")</f>
        <v>Complete</v>
      </c>
      <c r="I2998" s="48" t="s">
        <v>2812</v>
      </c>
    </row>
    <row r="2999" spans="2:9" ht="15" customHeight="1" x14ac:dyDescent="0.25">
      <c r="B2999" s="26" t="s">
        <v>461</v>
      </c>
      <c r="C2999" s="1">
        <v>45</v>
      </c>
      <c r="D2999" s="27" t="s">
        <v>3368</v>
      </c>
      <c r="E2999" s="25"/>
      <c r="F2999" s="25" t="str">
        <f>IF(INDEX(I.Gas.Y2ElectricityGeneration,45)="","",INDEX(I.Gas.Y2ElectricityGeneration,45))</f>
        <v/>
      </c>
      <c r="G2999" s="25"/>
      <c r="H2999" s="1" t="str">
        <f>IF(AND(I.Product.GasToPowerStatus="Yes",I.Gas.Y2Count&gt;=45,F2999=""),"Incomplete","Complete")</f>
        <v>Complete</v>
      </c>
      <c r="I2999" s="48" t="s">
        <v>2813</v>
      </c>
    </row>
    <row r="3000" spans="2:9" ht="15" customHeight="1" x14ac:dyDescent="0.25">
      <c r="B3000" s="26" t="s">
        <v>461</v>
      </c>
      <c r="C3000" s="1">
        <v>46</v>
      </c>
      <c r="D3000" s="27" t="s">
        <v>3368</v>
      </c>
      <c r="E3000" s="25"/>
      <c r="F3000" s="25" t="str">
        <f>IF(INDEX(I.Gas.Y2ElectricityGeneration,46)="","",INDEX(I.Gas.Y2ElectricityGeneration,46))</f>
        <v/>
      </c>
      <c r="G3000" s="25"/>
      <c r="H3000" s="1" t="str">
        <f>IF(AND(I.Product.GasToPowerStatus="Yes",I.Gas.Y2Count&gt;=46,F3000=""),"Incomplete","Complete")</f>
        <v>Complete</v>
      </c>
      <c r="I3000" s="48" t="s">
        <v>2814</v>
      </c>
    </row>
    <row r="3001" spans="2:9" ht="15" customHeight="1" x14ac:dyDescent="0.25">
      <c r="B3001" s="26" t="s">
        <v>461</v>
      </c>
      <c r="C3001" s="1">
        <v>47</v>
      </c>
      <c r="D3001" s="27" t="s">
        <v>3368</v>
      </c>
      <c r="E3001" s="25"/>
      <c r="F3001" s="25" t="str">
        <f>IF(INDEX(I.Gas.Y2ElectricityGeneration,47)="","",INDEX(I.Gas.Y2ElectricityGeneration,47))</f>
        <v/>
      </c>
      <c r="G3001" s="25"/>
      <c r="H3001" s="1" t="str">
        <f>IF(AND(I.Product.GasToPowerStatus="Yes",I.Gas.Y2Count&gt;=47,F3001=""),"Incomplete","Complete")</f>
        <v>Complete</v>
      </c>
      <c r="I3001" s="48" t="s">
        <v>2815</v>
      </c>
    </row>
    <row r="3002" spans="2:9" ht="15" customHeight="1" x14ac:dyDescent="0.25">
      <c r="B3002" s="26" t="s">
        <v>461</v>
      </c>
      <c r="C3002" s="1">
        <v>48</v>
      </c>
      <c r="D3002" s="27" t="s">
        <v>3368</v>
      </c>
      <c r="E3002" s="25"/>
      <c r="F3002" s="25" t="str">
        <f>IF(INDEX(I.Gas.Y2ElectricityGeneration,48)="","",INDEX(I.Gas.Y2ElectricityGeneration,48))</f>
        <v/>
      </c>
      <c r="G3002" s="25"/>
      <c r="H3002" s="1" t="str">
        <f>IF(AND(I.Product.GasToPowerStatus="Yes",I.Gas.Y2Count&gt;=48,F3002=""),"Incomplete","Complete")</f>
        <v>Complete</v>
      </c>
      <c r="I3002" s="48" t="s">
        <v>2816</v>
      </c>
    </row>
    <row r="3003" spans="2:9" ht="15" customHeight="1" x14ac:dyDescent="0.25">
      <c r="B3003" s="26" t="s">
        <v>461</v>
      </c>
      <c r="C3003" s="1">
        <v>49</v>
      </c>
      <c r="D3003" s="27" t="s">
        <v>3368</v>
      </c>
      <c r="E3003" s="25"/>
      <c r="F3003" s="25" t="str">
        <f>IF(INDEX(I.Gas.Y2ElectricityGeneration,49)="","",INDEX(I.Gas.Y2ElectricityGeneration,49))</f>
        <v/>
      </c>
      <c r="G3003" s="25"/>
      <c r="H3003" s="1" t="str">
        <f>IF(AND(I.Product.GasToPowerStatus="Yes",I.Gas.Y2Count&gt;=49,F3003=""),"Incomplete","Complete")</f>
        <v>Complete</v>
      </c>
      <c r="I3003" s="48" t="s">
        <v>2817</v>
      </c>
    </row>
    <row r="3004" spans="2:9" ht="15" customHeight="1" x14ac:dyDescent="0.25">
      <c r="B3004" s="34" t="s">
        <v>461</v>
      </c>
      <c r="C3004" s="35">
        <v>50</v>
      </c>
      <c r="D3004" s="46" t="s">
        <v>3368</v>
      </c>
      <c r="E3004" s="45"/>
      <c r="F3004" s="45" t="str">
        <f>IF(INDEX(I.Gas.Y2ElectricityGeneration,50)="","",INDEX(I.Gas.Y2ElectricityGeneration,50))</f>
        <v/>
      </c>
      <c r="G3004" s="45"/>
      <c r="H3004" s="35" t="str">
        <f>IF(AND(I.Product.GasToPowerStatus="Yes",I.Gas.Y2Count&gt;=50,F3004=""),"Incomplete","Complete")</f>
        <v>Complete</v>
      </c>
      <c r="I3004" s="49" t="s">
        <v>2818</v>
      </c>
    </row>
    <row r="3005" spans="2:9" ht="15" customHeight="1" x14ac:dyDescent="0.25">
      <c r="B3005" s="26" t="s">
        <v>462</v>
      </c>
      <c r="C3005" s="1">
        <v>1</v>
      </c>
      <c r="D3005" s="27" t="s">
        <v>3369</v>
      </c>
      <c r="E3005" s="25"/>
      <c r="F3005" s="25" t="str">
        <f>IF(INDEX(I.Gas.Y2C1E1,1)="","",INDEX(I.Gas.Y2C1E1,1))</f>
        <v/>
      </c>
      <c r="G3005" s="25"/>
      <c r="H3005" s="1" t="str">
        <f>IF(AND(I.Product.GasToPowerStatus="Yes",I.Gas.Y2Count&gt;=1,F3005=""),"Incomplete","Complete")</f>
        <v>Complete</v>
      </c>
      <c r="I3005" s="48" t="s">
        <v>2819</v>
      </c>
    </row>
    <row r="3006" spans="2:9" ht="15" customHeight="1" x14ac:dyDescent="0.25">
      <c r="B3006" s="26" t="s">
        <v>462</v>
      </c>
      <c r="C3006" s="1">
        <v>2</v>
      </c>
      <c r="D3006" s="27" t="s">
        <v>3369</v>
      </c>
      <c r="E3006" s="25"/>
      <c r="F3006" s="25" t="str">
        <f>IF(INDEX(I.Gas.Y2C1E1,2)="","",INDEX(I.Gas.Y2C1E1,2))</f>
        <v/>
      </c>
      <c r="G3006" s="25"/>
      <c r="H3006" s="1" t="str">
        <f>IF(AND(I.Product.GasToPowerStatus="Yes",I.Gas.Y2Count&gt;=2,F3006=""),"Incomplete","Complete")</f>
        <v>Complete</v>
      </c>
      <c r="I3006" s="48" t="s">
        <v>2820</v>
      </c>
    </row>
    <row r="3007" spans="2:9" ht="15" customHeight="1" x14ac:dyDescent="0.25">
      <c r="B3007" s="26" t="s">
        <v>462</v>
      </c>
      <c r="C3007" s="1">
        <v>3</v>
      </c>
      <c r="D3007" s="27" t="s">
        <v>3369</v>
      </c>
      <c r="E3007" s="25"/>
      <c r="F3007" s="25" t="str">
        <f>IF(INDEX(I.Gas.Y2C1E1,3)="","",INDEX(I.Gas.Y2C1E1,3))</f>
        <v/>
      </c>
      <c r="G3007" s="25"/>
      <c r="H3007" s="1" t="str">
        <f>IF(AND(I.Product.GasToPowerStatus="Yes",I.Gas.Y2Count&gt;=3,F3007=""),"Incomplete","Complete")</f>
        <v>Complete</v>
      </c>
      <c r="I3007" s="48" t="s">
        <v>2821</v>
      </c>
    </row>
    <row r="3008" spans="2:9" ht="15" customHeight="1" x14ac:dyDescent="0.25">
      <c r="B3008" s="26" t="s">
        <v>462</v>
      </c>
      <c r="C3008" s="1">
        <v>4</v>
      </c>
      <c r="D3008" s="27" t="s">
        <v>3369</v>
      </c>
      <c r="E3008" s="25"/>
      <c r="F3008" s="25" t="str">
        <f>IF(INDEX(I.Gas.Y2C1E1,4)="","",INDEX(I.Gas.Y2C1E1,4))</f>
        <v/>
      </c>
      <c r="G3008" s="25"/>
      <c r="H3008" s="1" t="str">
        <f>IF(AND(I.Product.GasToPowerStatus="Yes",I.Gas.Y2Count&gt;=4,F3008=""),"Incomplete","Complete")</f>
        <v>Complete</v>
      </c>
      <c r="I3008" s="48" t="s">
        <v>2822</v>
      </c>
    </row>
    <row r="3009" spans="2:9" ht="15" customHeight="1" x14ac:dyDescent="0.25">
      <c r="B3009" s="26" t="s">
        <v>462</v>
      </c>
      <c r="C3009" s="1">
        <v>5</v>
      </c>
      <c r="D3009" s="27" t="s">
        <v>3369</v>
      </c>
      <c r="E3009" s="25"/>
      <c r="F3009" s="25" t="str">
        <f>IF(INDEX(I.Gas.Y2C1E1,5)="","",INDEX(I.Gas.Y2C1E1,5))</f>
        <v/>
      </c>
      <c r="G3009" s="25"/>
      <c r="H3009" s="1" t="str">
        <f>IF(AND(I.Product.GasToPowerStatus="Yes",I.Gas.Y2Count&gt;=5,F3009=""),"Incomplete","Complete")</f>
        <v>Complete</v>
      </c>
      <c r="I3009" s="48" t="s">
        <v>2823</v>
      </c>
    </row>
    <row r="3010" spans="2:9" ht="15" customHeight="1" x14ac:dyDescent="0.25">
      <c r="B3010" s="26" t="s">
        <v>462</v>
      </c>
      <c r="C3010" s="1">
        <v>6</v>
      </c>
      <c r="D3010" s="27" t="s">
        <v>3369</v>
      </c>
      <c r="E3010" s="25"/>
      <c r="F3010" s="25" t="str">
        <f>IF(INDEX(I.Gas.Y2C1E1,6)="","",INDEX(I.Gas.Y2C1E1,6))</f>
        <v/>
      </c>
      <c r="G3010" s="25"/>
      <c r="H3010" s="1" t="str">
        <f>IF(AND(I.Product.GasToPowerStatus="Yes",I.Gas.Y2Count&gt;=6,F3010=""),"Incomplete","Complete")</f>
        <v>Complete</v>
      </c>
      <c r="I3010" s="48" t="s">
        <v>2824</v>
      </c>
    </row>
    <row r="3011" spans="2:9" ht="15" customHeight="1" x14ac:dyDescent="0.25">
      <c r="B3011" s="26" t="s">
        <v>462</v>
      </c>
      <c r="C3011" s="1">
        <v>7</v>
      </c>
      <c r="D3011" s="27" t="s">
        <v>3369</v>
      </c>
      <c r="E3011" s="25"/>
      <c r="F3011" s="25" t="str">
        <f>IF(INDEX(I.Gas.Y2C1E1,7)="","",INDEX(I.Gas.Y2C1E1,7))</f>
        <v/>
      </c>
      <c r="G3011" s="25"/>
      <c r="H3011" s="1" t="str">
        <f>IF(AND(I.Product.GasToPowerStatus="Yes",I.Gas.Y2Count&gt;=7,F3011=""),"Incomplete","Complete")</f>
        <v>Complete</v>
      </c>
      <c r="I3011" s="48" t="s">
        <v>2825</v>
      </c>
    </row>
    <row r="3012" spans="2:9" ht="15" customHeight="1" x14ac:dyDescent="0.25">
      <c r="B3012" s="26" t="s">
        <v>462</v>
      </c>
      <c r="C3012" s="1">
        <v>8</v>
      </c>
      <c r="D3012" s="27" t="s">
        <v>3369</v>
      </c>
      <c r="E3012" s="25"/>
      <c r="F3012" s="25" t="str">
        <f>IF(INDEX(I.Gas.Y2C1E1,8)="","",INDEX(I.Gas.Y2C1E1,8))</f>
        <v/>
      </c>
      <c r="G3012" s="25"/>
      <c r="H3012" s="1" t="str">
        <f>IF(AND(I.Product.GasToPowerStatus="Yes",I.Gas.Y2Count&gt;=8,F3012=""),"Incomplete","Complete")</f>
        <v>Complete</v>
      </c>
      <c r="I3012" s="48" t="s">
        <v>2826</v>
      </c>
    </row>
    <row r="3013" spans="2:9" ht="15" customHeight="1" x14ac:dyDescent="0.25">
      <c r="B3013" s="26" t="s">
        <v>462</v>
      </c>
      <c r="C3013" s="1">
        <v>9</v>
      </c>
      <c r="D3013" s="27" t="s">
        <v>3369</v>
      </c>
      <c r="E3013" s="25"/>
      <c r="F3013" s="25" t="str">
        <f>IF(INDEX(I.Gas.Y2C1E1,9)="","",INDEX(I.Gas.Y2C1E1,9))</f>
        <v/>
      </c>
      <c r="G3013" s="25"/>
      <c r="H3013" s="1" t="str">
        <f>IF(AND(I.Product.GasToPowerStatus="Yes",I.Gas.Y2Count&gt;=9,F3013=""),"Incomplete","Complete")</f>
        <v>Complete</v>
      </c>
      <c r="I3013" s="48" t="s">
        <v>2827</v>
      </c>
    </row>
    <row r="3014" spans="2:9" ht="15" customHeight="1" x14ac:dyDescent="0.25">
      <c r="B3014" s="26" t="s">
        <v>462</v>
      </c>
      <c r="C3014" s="1">
        <v>10</v>
      </c>
      <c r="D3014" s="27" t="s">
        <v>3369</v>
      </c>
      <c r="E3014" s="25"/>
      <c r="F3014" s="25" t="str">
        <f>IF(INDEX(I.Gas.Y2C1E1,10)="","",INDEX(I.Gas.Y2C1E1,10))</f>
        <v/>
      </c>
      <c r="G3014" s="25"/>
      <c r="H3014" s="1" t="str">
        <f>IF(AND(I.Product.GasToPowerStatus="Yes",I.Gas.Y2Count&gt;=10,F3014=""),"Incomplete","Complete")</f>
        <v>Complete</v>
      </c>
      <c r="I3014" s="48" t="s">
        <v>2828</v>
      </c>
    </row>
    <row r="3015" spans="2:9" ht="15" customHeight="1" x14ac:dyDescent="0.25">
      <c r="B3015" s="26" t="s">
        <v>462</v>
      </c>
      <c r="C3015" s="1">
        <v>11</v>
      </c>
      <c r="D3015" s="27" t="s">
        <v>3369</v>
      </c>
      <c r="E3015" s="25"/>
      <c r="F3015" s="25" t="str">
        <f>IF(INDEX(I.Gas.Y2C1E1,11)="","",INDEX(I.Gas.Y2C1E1,11))</f>
        <v/>
      </c>
      <c r="G3015" s="25"/>
      <c r="H3015" s="1" t="str">
        <f>IF(AND(I.Product.GasToPowerStatus="Yes",I.Gas.Y2Count&gt;=11,F3015=""),"Incomplete","Complete")</f>
        <v>Complete</v>
      </c>
      <c r="I3015" s="48" t="s">
        <v>2829</v>
      </c>
    </row>
    <row r="3016" spans="2:9" ht="15" customHeight="1" x14ac:dyDescent="0.25">
      <c r="B3016" s="26" t="s">
        <v>462</v>
      </c>
      <c r="C3016" s="1">
        <v>12</v>
      </c>
      <c r="D3016" s="27" t="s">
        <v>3369</v>
      </c>
      <c r="E3016" s="25"/>
      <c r="F3016" s="25" t="str">
        <f>IF(INDEX(I.Gas.Y2C1E1,12)="","",INDEX(I.Gas.Y2C1E1,12))</f>
        <v/>
      </c>
      <c r="G3016" s="25"/>
      <c r="H3016" s="1" t="str">
        <f>IF(AND(I.Product.GasToPowerStatus="Yes",I.Gas.Y2Count&gt;=12,F3016=""),"Incomplete","Complete")</f>
        <v>Complete</v>
      </c>
      <c r="I3016" s="48" t="s">
        <v>2830</v>
      </c>
    </row>
    <row r="3017" spans="2:9" ht="15" customHeight="1" x14ac:dyDescent="0.25">
      <c r="B3017" s="26" t="s">
        <v>462</v>
      </c>
      <c r="C3017" s="1">
        <v>13</v>
      </c>
      <c r="D3017" s="27" t="s">
        <v>3369</v>
      </c>
      <c r="E3017" s="25"/>
      <c r="F3017" s="25" t="str">
        <f>IF(INDEX(I.Gas.Y2C1E1,13)="","",INDEX(I.Gas.Y2C1E1,13))</f>
        <v/>
      </c>
      <c r="G3017" s="25"/>
      <c r="H3017" s="1" t="str">
        <f>IF(AND(I.Product.GasToPowerStatus="Yes",I.Gas.Y2Count&gt;=13,F3017=""),"Incomplete","Complete")</f>
        <v>Complete</v>
      </c>
      <c r="I3017" s="48" t="s">
        <v>2831</v>
      </c>
    </row>
    <row r="3018" spans="2:9" ht="15" customHeight="1" x14ac:dyDescent="0.25">
      <c r="B3018" s="26" t="s">
        <v>462</v>
      </c>
      <c r="C3018" s="1">
        <v>14</v>
      </c>
      <c r="D3018" s="27" t="s">
        <v>3369</v>
      </c>
      <c r="E3018" s="25"/>
      <c r="F3018" s="25" t="str">
        <f>IF(INDEX(I.Gas.Y2C1E1,14)="","",INDEX(I.Gas.Y2C1E1,14))</f>
        <v/>
      </c>
      <c r="G3018" s="25"/>
      <c r="H3018" s="1" t="str">
        <f>IF(AND(I.Product.GasToPowerStatus="Yes",I.Gas.Y2Count&gt;=14,F3018=""),"Incomplete","Complete")</f>
        <v>Complete</v>
      </c>
      <c r="I3018" s="48" t="s">
        <v>2832</v>
      </c>
    </row>
    <row r="3019" spans="2:9" ht="15" customHeight="1" x14ac:dyDescent="0.25">
      <c r="B3019" s="26" t="s">
        <v>462</v>
      </c>
      <c r="C3019" s="1">
        <v>15</v>
      </c>
      <c r="D3019" s="27" t="s">
        <v>3369</v>
      </c>
      <c r="E3019" s="25"/>
      <c r="F3019" s="25" t="str">
        <f>IF(INDEX(I.Gas.Y2C1E1,15)="","",INDEX(I.Gas.Y2C1E1,15))</f>
        <v/>
      </c>
      <c r="G3019" s="25"/>
      <c r="H3019" s="1" t="str">
        <f>IF(AND(I.Product.GasToPowerStatus="Yes",I.Gas.Y2Count&gt;=15,F3019=""),"Incomplete","Complete")</f>
        <v>Complete</v>
      </c>
      <c r="I3019" s="48" t="s">
        <v>2833</v>
      </c>
    </row>
    <row r="3020" spans="2:9" ht="15" customHeight="1" x14ac:dyDescent="0.25">
      <c r="B3020" s="26" t="s">
        <v>462</v>
      </c>
      <c r="C3020" s="1">
        <v>16</v>
      </c>
      <c r="D3020" s="27" t="s">
        <v>3369</v>
      </c>
      <c r="E3020" s="25"/>
      <c r="F3020" s="25" t="str">
        <f>IF(INDEX(I.Gas.Y2C1E1,16)="","",INDEX(I.Gas.Y2C1E1,16))</f>
        <v/>
      </c>
      <c r="G3020" s="25"/>
      <c r="H3020" s="1" t="str">
        <f>IF(AND(I.Product.GasToPowerStatus="Yes",I.Gas.Y2Count&gt;=16,F3020=""),"Incomplete","Complete")</f>
        <v>Complete</v>
      </c>
      <c r="I3020" s="48" t="s">
        <v>2834</v>
      </c>
    </row>
    <row r="3021" spans="2:9" ht="15" customHeight="1" x14ac:dyDescent="0.25">
      <c r="B3021" s="26" t="s">
        <v>462</v>
      </c>
      <c r="C3021" s="1">
        <v>17</v>
      </c>
      <c r="D3021" s="27" t="s">
        <v>3369</v>
      </c>
      <c r="E3021" s="25"/>
      <c r="F3021" s="25" t="str">
        <f>IF(INDEX(I.Gas.Y2C1E1,17)="","",INDEX(I.Gas.Y2C1E1,17))</f>
        <v/>
      </c>
      <c r="G3021" s="25"/>
      <c r="H3021" s="1" t="str">
        <f>IF(AND(I.Product.GasToPowerStatus="Yes",I.Gas.Y2Count&gt;=17,F3021=""),"Incomplete","Complete")</f>
        <v>Complete</v>
      </c>
      <c r="I3021" s="48" t="s">
        <v>2835</v>
      </c>
    </row>
    <row r="3022" spans="2:9" ht="15" customHeight="1" x14ac:dyDescent="0.25">
      <c r="B3022" s="26" t="s">
        <v>462</v>
      </c>
      <c r="C3022" s="1">
        <v>18</v>
      </c>
      <c r="D3022" s="27" t="s">
        <v>3369</v>
      </c>
      <c r="E3022" s="25"/>
      <c r="F3022" s="25" t="str">
        <f>IF(INDEX(I.Gas.Y2C1E1,18)="","",INDEX(I.Gas.Y2C1E1,18))</f>
        <v/>
      </c>
      <c r="G3022" s="25"/>
      <c r="H3022" s="1" t="str">
        <f>IF(AND(I.Product.GasToPowerStatus="Yes",I.Gas.Y2Count&gt;=18,F3022=""),"Incomplete","Complete")</f>
        <v>Complete</v>
      </c>
      <c r="I3022" s="48" t="s">
        <v>2836</v>
      </c>
    </row>
    <row r="3023" spans="2:9" ht="15" customHeight="1" x14ac:dyDescent="0.25">
      <c r="B3023" s="26" t="s">
        <v>462</v>
      </c>
      <c r="C3023" s="1">
        <v>19</v>
      </c>
      <c r="D3023" s="27" t="s">
        <v>3369</v>
      </c>
      <c r="E3023" s="25"/>
      <c r="F3023" s="25" t="str">
        <f>IF(INDEX(I.Gas.Y2C1E1,19)="","",INDEX(I.Gas.Y2C1E1,19))</f>
        <v/>
      </c>
      <c r="G3023" s="25"/>
      <c r="H3023" s="1" t="str">
        <f>IF(AND(I.Product.GasToPowerStatus="Yes",I.Gas.Y2Count&gt;=19,F3023=""),"Incomplete","Complete")</f>
        <v>Complete</v>
      </c>
      <c r="I3023" s="48" t="s">
        <v>2837</v>
      </c>
    </row>
    <row r="3024" spans="2:9" ht="15" customHeight="1" x14ac:dyDescent="0.25">
      <c r="B3024" s="26" t="s">
        <v>462</v>
      </c>
      <c r="C3024" s="1">
        <v>20</v>
      </c>
      <c r="D3024" s="27" t="s">
        <v>3369</v>
      </c>
      <c r="E3024" s="25"/>
      <c r="F3024" s="25" t="str">
        <f>IF(INDEX(I.Gas.Y2C1E1,20)="","",INDEX(I.Gas.Y2C1E1,20))</f>
        <v/>
      </c>
      <c r="G3024" s="25"/>
      <c r="H3024" s="1" t="str">
        <f>IF(AND(I.Product.GasToPowerStatus="Yes",I.Gas.Y2Count&gt;=20,F3024=""),"Incomplete","Complete")</f>
        <v>Complete</v>
      </c>
      <c r="I3024" s="48" t="s">
        <v>2838</v>
      </c>
    </row>
    <row r="3025" spans="2:9" ht="15" customHeight="1" x14ac:dyDescent="0.25">
      <c r="B3025" s="26" t="s">
        <v>462</v>
      </c>
      <c r="C3025" s="1">
        <v>21</v>
      </c>
      <c r="D3025" s="27" t="s">
        <v>3369</v>
      </c>
      <c r="E3025" s="25"/>
      <c r="F3025" s="25" t="str">
        <f>IF(INDEX(I.Gas.Y2C1E1,21)="","",INDEX(I.Gas.Y2C1E1,21))</f>
        <v/>
      </c>
      <c r="G3025" s="25"/>
      <c r="H3025" s="1" t="str">
        <f>IF(AND(I.Product.GasToPowerStatus="Yes",I.Gas.Y2Count&gt;=21,F3025=""),"Incomplete","Complete")</f>
        <v>Complete</v>
      </c>
      <c r="I3025" s="48" t="s">
        <v>2839</v>
      </c>
    </row>
    <row r="3026" spans="2:9" ht="15" customHeight="1" x14ac:dyDescent="0.25">
      <c r="B3026" s="26" t="s">
        <v>462</v>
      </c>
      <c r="C3026" s="1">
        <v>22</v>
      </c>
      <c r="D3026" s="27" t="s">
        <v>3369</v>
      </c>
      <c r="E3026" s="25"/>
      <c r="F3026" s="25" t="str">
        <f>IF(INDEX(I.Gas.Y2C1E1,22)="","",INDEX(I.Gas.Y2C1E1,22))</f>
        <v/>
      </c>
      <c r="G3026" s="25"/>
      <c r="H3026" s="1" t="str">
        <f>IF(AND(I.Product.GasToPowerStatus="Yes",I.Gas.Y2Count&gt;=22,F3026=""),"Incomplete","Complete")</f>
        <v>Complete</v>
      </c>
      <c r="I3026" s="48" t="s">
        <v>2840</v>
      </c>
    </row>
    <row r="3027" spans="2:9" ht="15" customHeight="1" x14ac:dyDescent="0.25">
      <c r="B3027" s="26" t="s">
        <v>462</v>
      </c>
      <c r="C3027" s="1">
        <v>23</v>
      </c>
      <c r="D3027" s="27" t="s">
        <v>3369</v>
      </c>
      <c r="E3027" s="25"/>
      <c r="F3027" s="25" t="str">
        <f>IF(INDEX(I.Gas.Y2C1E1,23)="","",INDEX(I.Gas.Y2C1E1,23))</f>
        <v/>
      </c>
      <c r="G3027" s="25"/>
      <c r="H3027" s="1" t="str">
        <f>IF(AND(I.Product.GasToPowerStatus="Yes",I.Gas.Y2Count&gt;=23,F3027=""),"Incomplete","Complete")</f>
        <v>Complete</v>
      </c>
      <c r="I3027" s="48" t="s">
        <v>2841</v>
      </c>
    </row>
    <row r="3028" spans="2:9" ht="15" customHeight="1" x14ac:dyDescent="0.25">
      <c r="B3028" s="26" t="s">
        <v>462</v>
      </c>
      <c r="C3028" s="1">
        <v>24</v>
      </c>
      <c r="D3028" s="27" t="s">
        <v>3369</v>
      </c>
      <c r="E3028" s="25"/>
      <c r="F3028" s="25" t="str">
        <f>IF(INDEX(I.Gas.Y2C1E1,24)="","",INDEX(I.Gas.Y2C1E1,24))</f>
        <v/>
      </c>
      <c r="G3028" s="25"/>
      <c r="H3028" s="1" t="str">
        <f>IF(AND(I.Product.GasToPowerStatus="Yes",I.Gas.Y2Count&gt;=24,F3028=""),"Incomplete","Complete")</f>
        <v>Complete</v>
      </c>
      <c r="I3028" s="48" t="s">
        <v>2842</v>
      </c>
    </row>
    <row r="3029" spans="2:9" ht="15" customHeight="1" x14ac:dyDescent="0.25">
      <c r="B3029" s="26" t="s">
        <v>462</v>
      </c>
      <c r="C3029" s="1">
        <v>25</v>
      </c>
      <c r="D3029" s="27" t="s">
        <v>3369</v>
      </c>
      <c r="E3029" s="25"/>
      <c r="F3029" s="25" t="str">
        <f>IF(INDEX(I.Gas.Y2C1E1,25)="","",INDEX(I.Gas.Y2C1E1,25))</f>
        <v/>
      </c>
      <c r="G3029" s="25"/>
      <c r="H3029" s="1" t="str">
        <f>IF(AND(I.Product.GasToPowerStatus="Yes",I.Gas.Y2Count&gt;=25,F3029=""),"Incomplete","Complete")</f>
        <v>Complete</v>
      </c>
      <c r="I3029" s="48" t="s">
        <v>2843</v>
      </c>
    </row>
    <row r="3030" spans="2:9" ht="15" customHeight="1" x14ac:dyDescent="0.25">
      <c r="B3030" s="26" t="s">
        <v>462</v>
      </c>
      <c r="C3030" s="1">
        <v>26</v>
      </c>
      <c r="D3030" s="27" t="s">
        <v>3369</v>
      </c>
      <c r="E3030" s="25"/>
      <c r="F3030" s="25" t="str">
        <f>IF(INDEX(I.Gas.Y2C1E1,26)="","",INDEX(I.Gas.Y2C1E1,26))</f>
        <v/>
      </c>
      <c r="G3030" s="25"/>
      <c r="H3030" s="1" t="str">
        <f>IF(AND(I.Product.GasToPowerStatus="Yes",I.Gas.Y2Count&gt;=26,F3030=""),"Incomplete","Complete")</f>
        <v>Complete</v>
      </c>
      <c r="I3030" s="48" t="s">
        <v>2844</v>
      </c>
    </row>
    <row r="3031" spans="2:9" ht="15" customHeight="1" x14ac:dyDescent="0.25">
      <c r="B3031" s="26" t="s">
        <v>462</v>
      </c>
      <c r="C3031" s="1">
        <v>27</v>
      </c>
      <c r="D3031" s="27" t="s">
        <v>3369</v>
      </c>
      <c r="E3031" s="25"/>
      <c r="F3031" s="25" t="str">
        <f>IF(INDEX(I.Gas.Y2C1E1,27)="","",INDEX(I.Gas.Y2C1E1,27))</f>
        <v/>
      </c>
      <c r="G3031" s="25"/>
      <c r="H3031" s="1" t="str">
        <f>IF(AND(I.Product.GasToPowerStatus="Yes",I.Gas.Y2Count&gt;=27,F3031=""),"Incomplete","Complete")</f>
        <v>Complete</v>
      </c>
      <c r="I3031" s="48" t="s">
        <v>2845</v>
      </c>
    </row>
    <row r="3032" spans="2:9" ht="15" customHeight="1" x14ac:dyDescent="0.25">
      <c r="B3032" s="26" t="s">
        <v>462</v>
      </c>
      <c r="C3032" s="1">
        <v>28</v>
      </c>
      <c r="D3032" s="27" t="s">
        <v>3369</v>
      </c>
      <c r="E3032" s="25"/>
      <c r="F3032" s="25" t="str">
        <f>IF(INDEX(I.Gas.Y2C1E1,28)="","",INDEX(I.Gas.Y2C1E1,28))</f>
        <v/>
      </c>
      <c r="G3032" s="25"/>
      <c r="H3032" s="1" t="str">
        <f>IF(AND(I.Product.GasToPowerStatus="Yes",I.Gas.Y2Count&gt;=28,F3032=""),"Incomplete","Complete")</f>
        <v>Complete</v>
      </c>
      <c r="I3032" s="48" t="s">
        <v>2846</v>
      </c>
    </row>
    <row r="3033" spans="2:9" ht="15" customHeight="1" x14ac:dyDescent="0.25">
      <c r="B3033" s="26" t="s">
        <v>462</v>
      </c>
      <c r="C3033" s="1">
        <v>29</v>
      </c>
      <c r="D3033" s="27" t="s">
        <v>3369</v>
      </c>
      <c r="E3033" s="25"/>
      <c r="F3033" s="25" t="str">
        <f>IF(INDEX(I.Gas.Y2C1E1,29)="","",INDEX(I.Gas.Y2C1E1,29))</f>
        <v/>
      </c>
      <c r="G3033" s="25"/>
      <c r="H3033" s="1" t="str">
        <f>IF(AND(I.Product.GasToPowerStatus="Yes",I.Gas.Y2Count&gt;=29,F3033=""),"Incomplete","Complete")</f>
        <v>Complete</v>
      </c>
      <c r="I3033" s="48" t="s">
        <v>2847</v>
      </c>
    </row>
    <row r="3034" spans="2:9" ht="15" customHeight="1" x14ac:dyDescent="0.25">
      <c r="B3034" s="26" t="s">
        <v>462</v>
      </c>
      <c r="C3034" s="1">
        <v>30</v>
      </c>
      <c r="D3034" s="27" t="s">
        <v>3369</v>
      </c>
      <c r="E3034" s="25"/>
      <c r="F3034" s="25" t="str">
        <f>IF(INDEX(I.Gas.Y2C1E1,30)="","",INDEX(I.Gas.Y2C1E1,30))</f>
        <v/>
      </c>
      <c r="G3034" s="25"/>
      <c r="H3034" s="1" t="str">
        <f>IF(AND(I.Product.GasToPowerStatus="Yes",I.Gas.Y2Count&gt;=30,F3034=""),"Incomplete","Complete")</f>
        <v>Complete</v>
      </c>
      <c r="I3034" s="48" t="s">
        <v>2848</v>
      </c>
    </row>
    <row r="3035" spans="2:9" ht="15" customHeight="1" x14ac:dyDescent="0.25">
      <c r="B3035" s="26" t="s">
        <v>462</v>
      </c>
      <c r="C3035" s="1">
        <v>31</v>
      </c>
      <c r="D3035" s="27" t="s">
        <v>3369</v>
      </c>
      <c r="E3035" s="25"/>
      <c r="F3035" s="25" t="str">
        <f>IF(INDEX(I.Gas.Y2C1E1,31)="","",INDEX(I.Gas.Y2C1E1,31))</f>
        <v/>
      </c>
      <c r="G3035" s="25"/>
      <c r="H3035" s="1" t="str">
        <f>IF(AND(I.Product.GasToPowerStatus="Yes",I.Gas.Y2Count&gt;=31,F3035=""),"Incomplete","Complete")</f>
        <v>Complete</v>
      </c>
      <c r="I3035" s="48" t="s">
        <v>2849</v>
      </c>
    </row>
    <row r="3036" spans="2:9" ht="15" customHeight="1" x14ac:dyDescent="0.25">
      <c r="B3036" s="26" t="s">
        <v>462</v>
      </c>
      <c r="C3036" s="1">
        <v>32</v>
      </c>
      <c r="D3036" s="27" t="s">
        <v>3369</v>
      </c>
      <c r="E3036" s="25"/>
      <c r="F3036" s="25" t="str">
        <f>IF(INDEX(I.Gas.Y2C1E1,32)="","",INDEX(I.Gas.Y2C1E1,32))</f>
        <v/>
      </c>
      <c r="G3036" s="25"/>
      <c r="H3036" s="1" t="str">
        <f>IF(AND(I.Product.GasToPowerStatus="Yes",I.Gas.Y2Count&gt;=32,F3036=""),"Incomplete","Complete")</f>
        <v>Complete</v>
      </c>
      <c r="I3036" s="48" t="s">
        <v>2850</v>
      </c>
    </row>
    <row r="3037" spans="2:9" ht="15" customHeight="1" x14ac:dyDescent="0.25">
      <c r="B3037" s="26" t="s">
        <v>462</v>
      </c>
      <c r="C3037" s="1">
        <v>33</v>
      </c>
      <c r="D3037" s="27" t="s">
        <v>3369</v>
      </c>
      <c r="E3037" s="25"/>
      <c r="F3037" s="25" t="str">
        <f>IF(INDEX(I.Gas.Y2C1E1,33)="","",INDEX(I.Gas.Y2C1E1,33))</f>
        <v/>
      </c>
      <c r="G3037" s="25"/>
      <c r="H3037" s="1" t="str">
        <f>IF(AND(I.Product.GasToPowerStatus="Yes",I.Gas.Y2Count&gt;=33,F3037=""),"Incomplete","Complete")</f>
        <v>Complete</v>
      </c>
      <c r="I3037" s="48" t="s">
        <v>2851</v>
      </c>
    </row>
    <row r="3038" spans="2:9" ht="15" customHeight="1" x14ac:dyDescent="0.25">
      <c r="B3038" s="26" t="s">
        <v>462</v>
      </c>
      <c r="C3038" s="1">
        <v>34</v>
      </c>
      <c r="D3038" s="27" t="s">
        <v>3369</v>
      </c>
      <c r="E3038" s="25"/>
      <c r="F3038" s="25" t="str">
        <f>IF(INDEX(I.Gas.Y2C1E1,34)="","",INDEX(I.Gas.Y2C1E1,34))</f>
        <v/>
      </c>
      <c r="G3038" s="25"/>
      <c r="H3038" s="1" t="str">
        <f>IF(AND(I.Product.GasToPowerStatus="Yes",I.Gas.Y2Count&gt;=34,F3038=""),"Incomplete","Complete")</f>
        <v>Complete</v>
      </c>
      <c r="I3038" s="48" t="s">
        <v>2852</v>
      </c>
    </row>
    <row r="3039" spans="2:9" ht="15" customHeight="1" x14ac:dyDescent="0.25">
      <c r="B3039" s="26" t="s">
        <v>462</v>
      </c>
      <c r="C3039" s="1">
        <v>35</v>
      </c>
      <c r="D3039" s="27" t="s">
        <v>3369</v>
      </c>
      <c r="E3039" s="25"/>
      <c r="F3039" s="25" t="str">
        <f>IF(INDEX(I.Gas.Y2C1E1,35)="","",INDEX(I.Gas.Y2C1E1,35))</f>
        <v/>
      </c>
      <c r="G3039" s="25"/>
      <c r="H3039" s="1" t="str">
        <f>IF(AND(I.Product.GasToPowerStatus="Yes",I.Gas.Y2Count&gt;=35,F3039=""),"Incomplete","Complete")</f>
        <v>Complete</v>
      </c>
      <c r="I3039" s="48" t="s">
        <v>2853</v>
      </c>
    </row>
    <row r="3040" spans="2:9" ht="15" customHeight="1" x14ac:dyDescent="0.25">
      <c r="B3040" s="26" t="s">
        <v>462</v>
      </c>
      <c r="C3040" s="1">
        <v>36</v>
      </c>
      <c r="D3040" s="27" t="s">
        <v>3369</v>
      </c>
      <c r="E3040" s="25"/>
      <c r="F3040" s="25" t="str">
        <f>IF(INDEX(I.Gas.Y2C1E1,36)="","",INDEX(I.Gas.Y2C1E1,36))</f>
        <v/>
      </c>
      <c r="G3040" s="25"/>
      <c r="H3040" s="1" t="str">
        <f>IF(AND(I.Product.GasToPowerStatus="Yes",I.Gas.Y2Count&gt;=36,F3040=""),"Incomplete","Complete")</f>
        <v>Complete</v>
      </c>
      <c r="I3040" s="48" t="s">
        <v>2854</v>
      </c>
    </row>
    <row r="3041" spans="2:9" ht="15" customHeight="1" x14ac:dyDescent="0.25">
      <c r="B3041" s="26" t="s">
        <v>462</v>
      </c>
      <c r="C3041" s="1">
        <v>37</v>
      </c>
      <c r="D3041" s="27" t="s">
        <v>3369</v>
      </c>
      <c r="E3041" s="25"/>
      <c r="F3041" s="25" t="str">
        <f>IF(INDEX(I.Gas.Y2C1E1,37)="","",INDEX(I.Gas.Y2C1E1,37))</f>
        <v/>
      </c>
      <c r="G3041" s="25"/>
      <c r="H3041" s="1" t="str">
        <f>IF(AND(I.Product.GasToPowerStatus="Yes",I.Gas.Y2Count&gt;=37,F3041=""),"Incomplete","Complete")</f>
        <v>Complete</v>
      </c>
      <c r="I3041" s="48" t="s">
        <v>2855</v>
      </c>
    </row>
    <row r="3042" spans="2:9" ht="15" customHeight="1" x14ac:dyDescent="0.25">
      <c r="B3042" s="26" t="s">
        <v>462</v>
      </c>
      <c r="C3042" s="1">
        <v>38</v>
      </c>
      <c r="D3042" s="27" t="s">
        <v>3369</v>
      </c>
      <c r="E3042" s="25"/>
      <c r="F3042" s="25" t="str">
        <f>IF(INDEX(I.Gas.Y2C1E1,38)="","",INDEX(I.Gas.Y2C1E1,38))</f>
        <v/>
      </c>
      <c r="G3042" s="25"/>
      <c r="H3042" s="1" t="str">
        <f>IF(AND(I.Product.GasToPowerStatus="Yes",I.Gas.Y2Count&gt;=38,F3042=""),"Incomplete","Complete")</f>
        <v>Complete</v>
      </c>
      <c r="I3042" s="48" t="s">
        <v>2856</v>
      </c>
    </row>
    <row r="3043" spans="2:9" ht="15" customHeight="1" x14ac:dyDescent="0.25">
      <c r="B3043" s="26" t="s">
        <v>462</v>
      </c>
      <c r="C3043" s="1">
        <v>39</v>
      </c>
      <c r="D3043" s="27" t="s">
        <v>3369</v>
      </c>
      <c r="E3043" s="25"/>
      <c r="F3043" s="25" t="str">
        <f>IF(INDEX(I.Gas.Y2C1E1,39)="","",INDEX(I.Gas.Y2C1E1,39))</f>
        <v/>
      </c>
      <c r="G3043" s="25"/>
      <c r="H3043" s="1" t="str">
        <f>IF(AND(I.Product.GasToPowerStatus="Yes",I.Gas.Y2Count&gt;=39,F3043=""),"Incomplete","Complete")</f>
        <v>Complete</v>
      </c>
      <c r="I3043" s="48" t="s">
        <v>2857</v>
      </c>
    </row>
    <row r="3044" spans="2:9" ht="15" customHeight="1" x14ac:dyDescent="0.25">
      <c r="B3044" s="26" t="s">
        <v>462</v>
      </c>
      <c r="C3044" s="1">
        <v>40</v>
      </c>
      <c r="D3044" s="27" t="s">
        <v>3369</v>
      </c>
      <c r="E3044" s="25"/>
      <c r="F3044" s="25" t="str">
        <f>IF(INDEX(I.Gas.Y2C1E1,40)="","",INDEX(I.Gas.Y2C1E1,40))</f>
        <v/>
      </c>
      <c r="G3044" s="25"/>
      <c r="H3044" s="1" t="str">
        <f>IF(AND(I.Product.GasToPowerStatus="Yes",I.Gas.Y2Count&gt;=40,F3044=""),"Incomplete","Complete")</f>
        <v>Complete</v>
      </c>
      <c r="I3044" s="48" t="s">
        <v>2858</v>
      </c>
    </row>
    <row r="3045" spans="2:9" ht="15" customHeight="1" x14ac:dyDescent="0.25">
      <c r="B3045" s="26" t="s">
        <v>462</v>
      </c>
      <c r="C3045" s="1">
        <v>41</v>
      </c>
      <c r="D3045" s="27" t="s">
        <v>3369</v>
      </c>
      <c r="E3045" s="25"/>
      <c r="F3045" s="25" t="str">
        <f>IF(INDEX(I.Gas.Y2C1E1,41)="","",INDEX(I.Gas.Y2C1E1,41))</f>
        <v/>
      </c>
      <c r="G3045" s="25"/>
      <c r="H3045" s="1" t="str">
        <f>IF(AND(I.Product.GasToPowerStatus="Yes",I.Gas.Y2Count&gt;=41,F3045=""),"Incomplete","Complete")</f>
        <v>Complete</v>
      </c>
      <c r="I3045" s="48" t="s">
        <v>2859</v>
      </c>
    </row>
    <row r="3046" spans="2:9" ht="15" customHeight="1" x14ac:dyDescent="0.25">
      <c r="B3046" s="26" t="s">
        <v>462</v>
      </c>
      <c r="C3046" s="1">
        <v>42</v>
      </c>
      <c r="D3046" s="27" t="s">
        <v>3369</v>
      </c>
      <c r="E3046" s="25"/>
      <c r="F3046" s="25" t="str">
        <f>IF(INDEX(I.Gas.Y2C1E1,42)="","",INDEX(I.Gas.Y2C1E1,42))</f>
        <v/>
      </c>
      <c r="G3046" s="25"/>
      <c r="H3046" s="1" t="str">
        <f>IF(AND(I.Product.GasToPowerStatus="Yes",I.Gas.Y2Count&gt;=42,F3046=""),"Incomplete","Complete")</f>
        <v>Complete</v>
      </c>
      <c r="I3046" s="48" t="s">
        <v>2860</v>
      </c>
    </row>
    <row r="3047" spans="2:9" ht="15" customHeight="1" x14ac:dyDescent="0.25">
      <c r="B3047" s="26" t="s">
        <v>462</v>
      </c>
      <c r="C3047" s="1">
        <v>43</v>
      </c>
      <c r="D3047" s="27" t="s">
        <v>3369</v>
      </c>
      <c r="E3047" s="25"/>
      <c r="F3047" s="25" t="str">
        <f>IF(INDEX(I.Gas.Y2C1E1,43)="","",INDEX(I.Gas.Y2C1E1,43))</f>
        <v/>
      </c>
      <c r="G3047" s="25"/>
      <c r="H3047" s="1" t="str">
        <f>IF(AND(I.Product.GasToPowerStatus="Yes",I.Gas.Y2Count&gt;=43,F3047=""),"Incomplete","Complete")</f>
        <v>Complete</v>
      </c>
      <c r="I3047" s="48" t="s">
        <v>2861</v>
      </c>
    </row>
    <row r="3048" spans="2:9" ht="15" customHeight="1" x14ac:dyDescent="0.25">
      <c r="B3048" s="26" t="s">
        <v>462</v>
      </c>
      <c r="C3048" s="1">
        <v>44</v>
      </c>
      <c r="D3048" s="27" t="s">
        <v>3369</v>
      </c>
      <c r="E3048" s="25"/>
      <c r="F3048" s="25" t="str">
        <f>IF(INDEX(I.Gas.Y2C1E1,44)="","",INDEX(I.Gas.Y2C1E1,44))</f>
        <v/>
      </c>
      <c r="G3048" s="25"/>
      <c r="H3048" s="1" t="str">
        <f>IF(AND(I.Product.GasToPowerStatus="Yes",I.Gas.Y2Count&gt;=44,F3048=""),"Incomplete","Complete")</f>
        <v>Complete</v>
      </c>
      <c r="I3048" s="48" t="s">
        <v>2862</v>
      </c>
    </row>
    <row r="3049" spans="2:9" ht="15" customHeight="1" x14ac:dyDescent="0.25">
      <c r="B3049" s="26" t="s">
        <v>462</v>
      </c>
      <c r="C3049" s="1">
        <v>45</v>
      </c>
      <c r="D3049" s="27" t="s">
        <v>3369</v>
      </c>
      <c r="E3049" s="25"/>
      <c r="F3049" s="25" t="str">
        <f>IF(INDEX(I.Gas.Y2C1E1,45)="","",INDEX(I.Gas.Y2C1E1,45))</f>
        <v/>
      </c>
      <c r="G3049" s="25"/>
      <c r="H3049" s="1" t="str">
        <f>IF(AND(I.Product.GasToPowerStatus="Yes",I.Gas.Y2Count&gt;=45,F3049=""),"Incomplete","Complete")</f>
        <v>Complete</v>
      </c>
      <c r="I3049" s="48" t="s">
        <v>2863</v>
      </c>
    </row>
    <row r="3050" spans="2:9" ht="15" customHeight="1" x14ac:dyDescent="0.25">
      <c r="B3050" s="26" t="s">
        <v>462</v>
      </c>
      <c r="C3050" s="1">
        <v>46</v>
      </c>
      <c r="D3050" s="27" t="s">
        <v>3369</v>
      </c>
      <c r="E3050" s="25"/>
      <c r="F3050" s="25" t="str">
        <f>IF(INDEX(I.Gas.Y2C1E1,46)="","",INDEX(I.Gas.Y2C1E1,46))</f>
        <v/>
      </c>
      <c r="G3050" s="25"/>
      <c r="H3050" s="1" t="str">
        <f>IF(AND(I.Product.GasToPowerStatus="Yes",I.Gas.Y2Count&gt;=46,F3050=""),"Incomplete","Complete")</f>
        <v>Complete</v>
      </c>
      <c r="I3050" s="48" t="s">
        <v>2864</v>
      </c>
    </row>
    <row r="3051" spans="2:9" ht="15" customHeight="1" x14ac:dyDescent="0.25">
      <c r="B3051" s="26" t="s">
        <v>462</v>
      </c>
      <c r="C3051" s="1">
        <v>47</v>
      </c>
      <c r="D3051" s="27" t="s">
        <v>3369</v>
      </c>
      <c r="E3051" s="25"/>
      <c r="F3051" s="25" t="str">
        <f>IF(INDEX(I.Gas.Y2C1E1,47)="","",INDEX(I.Gas.Y2C1E1,47))</f>
        <v/>
      </c>
      <c r="G3051" s="25"/>
      <c r="H3051" s="1" t="str">
        <f>IF(AND(I.Product.GasToPowerStatus="Yes",I.Gas.Y2Count&gt;=47,F3051=""),"Incomplete","Complete")</f>
        <v>Complete</v>
      </c>
      <c r="I3051" s="48" t="s">
        <v>2865</v>
      </c>
    </row>
    <row r="3052" spans="2:9" ht="15" customHeight="1" x14ac:dyDescent="0.25">
      <c r="B3052" s="26" t="s">
        <v>462</v>
      </c>
      <c r="C3052" s="1">
        <v>48</v>
      </c>
      <c r="D3052" s="27" t="s">
        <v>3369</v>
      </c>
      <c r="E3052" s="25"/>
      <c r="F3052" s="25" t="str">
        <f>IF(INDEX(I.Gas.Y2C1E1,48)="","",INDEX(I.Gas.Y2C1E1,48))</f>
        <v/>
      </c>
      <c r="G3052" s="25"/>
      <c r="H3052" s="1" t="str">
        <f>IF(AND(I.Product.GasToPowerStatus="Yes",I.Gas.Y2Count&gt;=48,F3052=""),"Incomplete","Complete")</f>
        <v>Complete</v>
      </c>
      <c r="I3052" s="48" t="s">
        <v>2866</v>
      </c>
    </row>
    <row r="3053" spans="2:9" ht="15" customHeight="1" x14ac:dyDescent="0.25">
      <c r="B3053" s="26" t="s">
        <v>462</v>
      </c>
      <c r="C3053" s="1">
        <v>49</v>
      </c>
      <c r="D3053" s="27" t="s">
        <v>3369</v>
      </c>
      <c r="E3053" s="25"/>
      <c r="F3053" s="25" t="str">
        <f>IF(INDEX(I.Gas.Y2C1E1,49)="","",INDEX(I.Gas.Y2C1E1,49))</f>
        <v/>
      </c>
      <c r="G3053" s="25"/>
      <c r="H3053" s="1" t="str">
        <f>IF(AND(I.Product.GasToPowerStatus="Yes",I.Gas.Y2Count&gt;=49,F3053=""),"Incomplete","Complete")</f>
        <v>Complete</v>
      </c>
      <c r="I3053" s="48" t="s">
        <v>2867</v>
      </c>
    </row>
    <row r="3054" spans="2:9" ht="15" customHeight="1" x14ac:dyDescent="0.25">
      <c r="B3054" s="34" t="s">
        <v>462</v>
      </c>
      <c r="C3054" s="35">
        <v>50</v>
      </c>
      <c r="D3054" s="46" t="s">
        <v>3369</v>
      </c>
      <c r="E3054" s="45"/>
      <c r="F3054" s="45" t="str">
        <f>IF(INDEX(I.Gas.Y2C1E1,50)="","",INDEX(I.Gas.Y2C1E1,50))</f>
        <v/>
      </c>
      <c r="G3054" s="45"/>
      <c r="H3054" s="35" t="str">
        <f>IF(AND(I.Product.GasToPowerStatus="Yes",I.Gas.Y2Count&gt;=50,F3054=""),"Incomplete","Complete")</f>
        <v>Complete</v>
      </c>
      <c r="I3054" s="49" t="s">
        <v>2868</v>
      </c>
    </row>
    <row r="3055" spans="2:9" ht="15" customHeight="1" x14ac:dyDescent="0.25">
      <c r="B3055" s="26" t="s">
        <v>463</v>
      </c>
      <c r="C3055" s="1">
        <v>1</v>
      </c>
      <c r="D3055" s="27" t="s">
        <v>3370</v>
      </c>
      <c r="E3055" s="25"/>
      <c r="F3055" s="25" t="str">
        <f>IF(INDEX(I.Gas.Y2C1E2,1)="","",INDEX(I.Gas.Y2C1E2,1))</f>
        <v/>
      </c>
      <c r="G3055" s="25"/>
      <c r="H3055" s="1" t="str">
        <f>IF(AND(I.Product.GasToPowerStatus="Yes",I.Gas.Y2Count&gt;=1,F3055=""),"Incomplete","Complete")</f>
        <v>Complete</v>
      </c>
      <c r="I3055" s="48" t="s">
        <v>2869</v>
      </c>
    </row>
    <row r="3056" spans="2:9" ht="15" customHeight="1" x14ac:dyDescent="0.25">
      <c r="B3056" s="26" t="s">
        <v>463</v>
      </c>
      <c r="C3056" s="1">
        <v>2</v>
      </c>
      <c r="D3056" s="27" t="s">
        <v>3370</v>
      </c>
      <c r="E3056" s="25"/>
      <c r="F3056" s="25" t="str">
        <f>IF(INDEX(I.Gas.Y2C1E2,2)="","",INDEX(I.Gas.Y2C1E2,2))</f>
        <v/>
      </c>
      <c r="G3056" s="25"/>
      <c r="H3056" s="1" t="str">
        <f>IF(AND(I.Product.GasToPowerStatus="Yes",I.Gas.Y2Count&gt;=2,F3056=""),"Incomplete","Complete")</f>
        <v>Complete</v>
      </c>
      <c r="I3056" s="48" t="s">
        <v>2870</v>
      </c>
    </row>
    <row r="3057" spans="2:9" ht="15" customHeight="1" x14ac:dyDescent="0.25">
      <c r="B3057" s="26" t="s">
        <v>463</v>
      </c>
      <c r="C3057" s="1">
        <v>3</v>
      </c>
      <c r="D3057" s="27" t="s">
        <v>3370</v>
      </c>
      <c r="E3057" s="25"/>
      <c r="F3057" s="25" t="str">
        <f>IF(INDEX(I.Gas.Y2C1E2,3)="","",INDEX(I.Gas.Y2C1E2,3))</f>
        <v/>
      </c>
      <c r="G3057" s="25"/>
      <c r="H3057" s="1" t="str">
        <f>IF(AND(I.Product.GasToPowerStatus="Yes",I.Gas.Y2Count&gt;=3,F3057=""),"Incomplete","Complete")</f>
        <v>Complete</v>
      </c>
      <c r="I3057" s="48" t="s">
        <v>2871</v>
      </c>
    </row>
    <row r="3058" spans="2:9" ht="15" customHeight="1" x14ac:dyDescent="0.25">
      <c r="B3058" s="26" t="s">
        <v>463</v>
      </c>
      <c r="C3058" s="1">
        <v>4</v>
      </c>
      <c r="D3058" s="27" t="s">
        <v>3370</v>
      </c>
      <c r="E3058" s="25"/>
      <c r="F3058" s="25" t="str">
        <f>IF(INDEX(I.Gas.Y2C1E2,4)="","",INDEX(I.Gas.Y2C1E2,4))</f>
        <v/>
      </c>
      <c r="G3058" s="25"/>
      <c r="H3058" s="1" t="str">
        <f>IF(AND(I.Product.GasToPowerStatus="Yes",I.Gas.Y2Count&gt;=4,F3058=""),"Incomplete","Complete")</f>
        <v>Complete</v>
      </c>
      <c r="I3058" s="48" t="s">
        <v>2872</v>
      </c>
    </row>
    <row r="3059" spans="2:9" ht="15" customHeight="1" x14ac:dyDescent="0.25">
      <c r="B3059" s="26" t="s">
        <v>463</v>
      </c>
      <c r="C3059" s="1">
        <v>5</v>
      </c>
      <c r="D3059" s="27" t="s">
        <v>3370</v>
      </c>
      <c r="E3059" s="25"/>
      <c r="F3059" s="25" t="str">
        <f>IF(INDEX(I.Gas.Y2C1E2,5)="","",INDEX(I.Gas.Y2C1E2,5))</f>
        <v/>
      </c>
      <c r="G3059" s="25"/>
      <c r="H3059" s="1" t="str">
        <f>IF(AND(I.Product.GasToPowerStatus="Yes",I.Gas.Y2Count&gt;=5,F3059=""),"Incomplete","Complete")</f>
        <v>Complete</v>
      </c>
      <c r="I3059" s="48" t="s">
        <v>2873</v>
      </c>
    </row>
    <row r="3060" spans="2:9" ht="15" customHeight="1" x14ac:dyDescent="0.25">
      <c r="B3060" s="26" t="s">
        <v>463</v>
      </c>
      <c r="C3060" s="1">
        <v>6</v>
      </c>
      <c r="D3060" s="27" t="s">
        <v>3370</v>
      </c>
      <c r="E3060" s="25"/>
      <c r="F3060" s="25" t="str">
        <f>IF(INDEX(I.Gas.Y2C1E2,6)="","",INDEX(I.Gas.Y2C1E2,6))</f>
        <v/>
      </c>
      <c r="G3060" s="25"/>
      <c r="H3060" s="1" t="str">
        <f>IF(AND(I.Product.GasToPowerStatus="Yes",I.Gas.Y2Count&gt;=6,F3060=""),"Incomplete","Complete")</f>
        <v>Complete</v>
      </c>
      <c r="I3060" s="48" t="s">
        <v>2874</v>
      </c>
    </row>
    <row r="3061" spans="2:9" ht="15" customHeight="1" x14ac:dyDescent="0.25">
      <c r="B3061" s="26" t="s">
        <v>463</v>
      </c>
      <c r="C3061" s="1">
        <v>7</v>
      </c>
      <c r="D3061" s="27" t="s">
        <v>3370</v>
      </c>
      <c r="E3061" s="25"/>
      <c r="F3061" s="25" t="str">
        <f>IF(INDEX(I.Gas.Y2C1E2,7)="","",INDEX(I.Gas.Y2C1E2,7))</f>
        <v/>
      </c>
      <c r="G3061" s="25"/>
      <c r="H3061" s="1" t="str">
        <f>IF(AND(I.Product.GasToPowerStatus="Yes",I.Gas.Y2Count&gt;=7,F3061=""),"Incomplete","Complete")</f>
        <v>Complete</v>
      </c>
      <c r="I3061" s="48" t="s">
        <v>2875</v>
      </c>
    </row>
    <row r="3062" spans="2:9" ht="15" customHeight="1" x14ac:dyDescent="0.25">
      <c r="B3062" s="26" t="s">
        <v>463</v>
      </c>
      <c r="C3062" s="1">
        <v>8</v>
      </c>
      <c r="D3062" s="27" t="s">
        <v>3370</v>
      </c>
      <c r="E3062" s="25"/>
      <c r="F3062" s="25" t="str">
        <f>IF(INDEX(I.Gas.Y2C1E2,8)="","",INDEX(I.Gas.Y2C1E2,8))</f>
        <v/>
      </c>
      <c r="G3062" s="25"/>
      <c r="H3062" s="1" t="str">
        <f>IF(AND(I.Product.GasToPowerStatus="Yes",I.Gas.Y2Count&gt;=8,F3062=""),"Incomplete","Complete")</f>
        <v>Complete</v>
      </c>
      <c r="I3062" s="48" t="s">
        <v>2876</v>
      </c>
    </row>
    <row r="3063" spans="2:9" ht="15" customHeight="1" x14ac:dyDescent="0.25">
      <c r="B3063" s="26" t="s">
        <v>463</v>
      </c>
      <c r="C3063" s="1">
        <v>9</v>
      </c>
      <c r="D3063" s="27" t="s">
        <v>3370</v>
      </c>
      <c r="E3063" s="25"/>
      <c r="F3063" s="25" t="str">
        <f>IF(INDEX(I.Gas.Y2C1E2,9)="","",INDEX(I.Gas.Y2C1E2,9))</f>
        <v/>
      </c>
      <c r="G3063" s="25"/>
      <c r="H3063" s="1" t="str">
        <f>IF(AND(I.Product.GasToPowerStatus="Yes",I.Gas.Y2Count&gt;=9,F3063=""),"Incomplete","Complete")</f>
        <v>Complete</v>
      </c>
      <c r="I3063" s="48" t="s">
        <v>2877</v>
      </c>
    </row>
    <row r="3064" spans="2:9" ht="15" customHeight="1" x14ac:dyDescent="0.25">
      <c r="B3064" s="26" t="s">
        <v>463</v>
      </c>
      <c r="C3064" s="1">
        <v>10</v>
      </c>
      <c r="D3064" s="27" t="s">
        <v>3370</v>
      </c>
      <c r="E3064" s="25"/>
      <c r="F3064" s="25" t="str">
        <f>IF(INDEX(I.Gas.Y2C1E2,10)="","",INDEX(I.Gas.Y2C1E2,10))</f>
        <v/>
      </c>
      <c r="G3064" s="25"/>
      <c r="H3064" s="1" t="str">
        <f>IF(AND(I.Product.GasToPowerStatus="Yes",I.Gas.Y2Count&gt;=10,F3064=""),"Incomplete","Complete")</f>
        <v>Complete</v>
      </c>
      <c r="I3064" s="48" t="s">
        <v>2878</v>
      </c>
    </row>
    <row r="3065" spans="2:9" ht="15" customHeight="1" x14ac:dyDescent="0.25">
      <c r="B3065" s="26" t="s">
        <v>463</v>
      </c>
      <c r="C3065" s="1">
        <v>11</v>
      </c>
      <c r="D3065" s="27" t="s">
        <v>3370</v>
      </c>
      <c r="E3065" s="25"/>
      <c r="F3065" s="25" t="str">
        <f>IF(INDEX(I.Gas.Y2C1E2,11)="","",INDEX(I.Gas.Y2C1E2,11))</f>
        <v/>
      </c>
      <c r="G3065" s="25"/>
      <c r="H3065" s="1" t="str">
        <f>IF(AND(I.Product.GasToPowerStatus="Yes",I.Gas.Y2Count&gt;=11,F3065=""),"Incomplete","Complete")</f>
        <v>Complete</v>
      </c>
      <c r="I3065" s="48" t="s">
        <v>2879</v>
      </c>
    </row>
    <row r="3066" spans="2:9" ht="15" customHeight="1" x14ac:dyDescent="0.25">
      <c r="B3066" s="26" t="s">
        <v>463</v>
      </c>
      <c r="C3066" s="1">
        <v>12</v>
      </c>
      <c r="D3066" s="27" t="s">
        <v>3370</v>
      </c>
      <c r="E3066" s="25"/>
      <c r="F3066" s="25" t="str">
        <f>IF(INDEX(I.Gas.Y2C1E2,12)="","",INDEX(I.Gas.Y2C1E2,12))</f>
        <v/>
      </c>
      <c r="G3066" s="25"/>
      <c r="H3066" s="1" t="str">
        <f>IF(AND(I.Product.GasToPowerStatus="Yes",I.Gas.Y2Count&gt;=12,F3066=""),"Incomplete","Complete")</f>
        <v>Complete</v>
      </c>
      <c r="I3066" s="48" t="s">
        <v>2880</v>
      </c>
    </row>
    <row r="3067" spans="2:9" ht="15" customHeight="1" x14ac:dyDescent="0.25">
      <c r="B3067" s="26" t="s">
        <v>463</v>
      </c>
      <c r="C3067" s="1">
        <v>13</v>
      </c>
      <c r="D3067" s="27" t="s">
        <v>3370</v>
      </c>
      <c r="E3067" s="25"/>
      <c r="F3067" s="25" t="str">
        <f>IF(INDEX(I.Gas.Y2C1E2,13)="","",INDEX(I.Gas.Y2C1E2,13))</f>
        <v/>
      </c>
      <c r="G3067" s="25"/>
      <c r="H3067" s="1" t="str">
        <f>IF(AND(I.Product.GasToPowerStatus="Yes",I.Gas.Y2Count&gt;=13,F3067=""),"Incomplete","Complete")</f>
        <v>Complete</v>
      </c>
      <c r="I3067" s="48" t="s">
        <v>2881</v>
      </c>
    </row>
    <row r="3068" spans="2:9" ht="15" customHeight="1" x14ac:dyDescent="0.25">
      <c r="B3068" s="26" t="s">
        <v>463</v>
      </c>
      <c r="C3068" s="1">
        <v>14</v>
      </c>
      <c r="D3068" s="27" t="s">
        <v>3370</v>
      </c>
      <c r="E3068" s="25"/>
      <c r="F3068" s="25" t="str">
        <f>IF(INDEX(I.Gas.Y2C1E2,14)="","",INDEX(I.Gas.Y2C1E2,14))</f>
        <v/>
      </c>
      <c r="G3068" s="25"/>
      <c r="H3068" s="1" t="str">
        <f>IF(AND(I.Product.GasToPowerStatus="Yes",I.Gas.Y2Count&gt;=14,F3068=""),"Incomplete","Complete")</f>
        <v>Complete</v>
      </c>
      <c r="I3068" s="48" t="s">
        <v>2882</v>
      </c>
    </row>
    <row r="3069" spans="2:9" ht="15" customHeight="1" x14ac:dyDescent="0.25">
      <c r="B3069" s="26" t="s">
        <v>463</v>
      </c>
      <c r="C3069" s="1">
        <v>15</v>
      </c>
      <c r="D3069" s="27" t="s">
        <v>3370</v>
      </c>
      <c r="E3069" s="25"/>
      <c r="F3069" s="25" t="str">
        <f>IF(INDEX(I.Gas.Y2C1E2,15)="","",INDEX(I.Gas.Y2C1E2,15))</f>
        <v/>
      </c>
      <c r="G3069" s="25"/>
      <c r="H3069" s="1" t="str">
        <f>IF(AND(I.Product.GasToPowerStatus="Yes",I.Gas.Y2Count&gt;=15,F3069=""),"Incomplete","Complete")</f>
        <v>Complete</v>
      </c>
      <c r="I3069" s="48" t="s">
        <v>2883</v>
      </c>
    </row>
    <row r="3070" spans="2:9" ht="15" customHeight="1" x14ac:dyDescent="0.25">
      <c r="B3070" s="26" t="s">
        <v>463</v>
      </c>
      <c r="C3070" s="1">
        <v>16</v>
      </c>
      <c r="D3070" s="27" t="s">
        <v>3370</v>
      </c>
      <c r="E3070" s="25"/>
      <c r="F3070" s="25" t="str">
        <f>IF(INDEX(I.Gas.Y2C1E2,16)="","",INDEX(I.Gas.Y2C1E2,16))</f>
        <v/>
      </c>
      <c r="G3070" s="25"/>
      <c r="H3070" s="1" t="str">
        <f>IF(AND(I.Product.GasToPowerStatus="Yes",I.Gas.Y2Count&gt;=16,F3070=""),"Incomplete","Complete")</f>
        <v>Complete</v>
      </c>
      <c r="I3070" s="48" t="s">
        <v>2884</v>
      </c>
    </row>
    <row r="3071" spans="2:9" ht="15" customHeight="1" x14ac:dyDescent="0.25">
      <c r="B3071" s="26" t="s">
        <v>463</v>
      </c>
      <c r="C3071" s="1">
        <v>17</v>
      </c>
      <c r="D3071" s="27" t="s">
        <v>3370</v>
      </c>
      <c r="E3071" s="25"/>
      <c r="F3071" s="25" t="str">
        <f>IF(INDEX(I.Gas.Y2C1E2,17)="","",INDEX(I.Gas.Y2C1E2,17))</f>
        <v/>
      </c>
      <c r="G3071" s="25"/>
      <c r="H3071" s="1" t="str">
        <f>IF(AND(I.Product.GasToPowerStatus="Yes",I.Gas.Y2Count&gt;=17,F3071=""),"Incomplete","Complete")</f>
        <v>Complete</v>
      </c>
      <c r="I3071" s="48" t="s">
        <v>2885</v>
      </c>
    </row>
    <row r="3072" spans="2:9" ht="15" customHeight="1" x14ac:dyDescent="0.25">
      <c r="B3072" s="26" t="s">
        <v>463</v>
      </c>
      <c r="C3072" s="1">
        <v>18</v>
      </c>
      <c r="D3072" s="27" t="s">
        <v>3370</v>
      </c>
      <c r="E3072" s="25"/>
      <c r="F3072" s="25" t="str">
        <f>IF(INDEX(I.Gas.Y2C1E2,18)="","",INDEX(I.Gas.Y2C1E2,18))</f>
        <v/>
      </c>
      <c r="G3072" s="25"/>
      <c r="H3072" s="1" t="str">
        <f>IF(AND(I.Product.GasToPowerStatus="Yes",I.Gas.Y2Count&gt;=18,F3072=""),"Incomplete","Complete")</f>
        <v>Complete</v>
      </c>
      <c r="I3072" s="48" t="s">
        <v>2886</v>
      </c>
    </row>
    <row r="3073" spans="2:9" ht="15" customHeight="1" x14ac:dyDescent="0.25">
      <c r="B3073" s="26" t="s">
        <v>463</v>
      </c>
      <c r="C3073" s="1">
        <v>19</v>
      </c>
      <c r="D3073" s="27" t="s">
        <v>3370</v>
      </c>
      <c r="E3073" s="25"/>
      <c r="F3073" s="25" t="str">
        <f>IF(INDEX(I.Gas.Y2C1E2,19)="","",INDEX(I.Gas.Y2C1E2,19))</f>
        <v/>
      </c>
      <c r="G3073" s="25"/>
      <c r="H3073" s="1" t="str">
        <f>IF(AND(I.Product.GasToPowerStatus="Yes",I.Gas.Y2Count&gt;=19,F3073=""),"Incomplete","Complete")</f>
        <v>Complete</v>
      </c>
      <c r="I3073" s="48" t="s">
        <v>2887</v>
      </c>
    </row>
    <row r="3074" spans="2:9" ht="15" customHeight="1" x14ac:dyDescent="0.25">
      <c r="B3074" s="26" t="s">
        <v>463</v>
      </c>
      <c r="C3074" s="1">
        <v>20</v>
      </c>
      <c r="D3074" s="27" t="s">
        <v>3370</v>
      </c>
      <c r="E3074" s="25"/>
      <c r="F3074" s="25" t="str">
        <f>IF(INDEX(I.Gas.Y2C1E2,20)="","",INDEX(I.Gas.Y2C1E2,20))</f>
        <v/>
      </c>
      <c r="G3074" s="25"/>
      <c r="H3074" s="1" t="str">
        <f>IF(AND(I.Product.GasToPowerStatus="Yes",I.Gas.Y2Count&gt;=20,F3074=""),"Incomplete","Complete")</f>
        <v>Complete</v>
      </c>
      <c r="I3074" s="48" t="s">
        <v>2888</v>
      </c>
    </row>
    <row r="3075" spans="2:9" ht="15" customHeight="1" x14ac:dyDescent="0.25">
      <c r="B3075" s="26" t="s">
        <v>463</v>
      </c>
      <c r="C3075" s="1">
        <v>21</v>
      </c>
      <c r="D3075" s="27" t="s">
        <v>3370</v>
      </c>
      <c r="E3075" s="25"/>
      <c r="F3075" s="25" t="str">
        <f>IF(INDEX(I.Gas.Y2C1E2,21)="","",INDEX(I.Gas.Y2C1E2,21))</f>
        <v/>
      </c>
      <c r="G3075" s="25"/>
      <c r="H3075" s="1" t="str">
        <f>IF(AND(I.Product.GasToPowerStatus="Yes",I.Gas.Y2Count&gt;=21,F3075=""),"Incomplete","Complete")</f>
        <v>Complete</v>
      </c>
      <c r="I3075" s="48" t="s">
        <v>2889</v>
      </c>
    </row>
    <row r="3076" spans="2:9" ht="15" customHeight="1" x14ac:dyDescent="0.25">
      <c r="B3076" s="26" t="s">
        <v>463</v>
      </c>
      <c r="C3076" s="1">
        <v>22</v>
      </c>
      <c r="D3076" s="27" t="s">
        <v>3370</v>
      </c>
      <c r="E3076" s="25"/>
      <c r="F3076" s="25" t="str">
        <f>IF(INDEX(I.Gas.Y2C1E2,22)="","",INDEX(I.Gas.Y2C1E2,22))</f>
        <v/>
      </c>
      <c r="G3076" s="25"/>
      <c r="H3076" s="1" t="str">
        <f>IF(AND(I.Product.GasToPowerStatus="Yes",I.Gas.Y2Count&gt;=22,F3076=""),"Incomplete","Complete")</f>
        <v>Complete</v>
      </c>
      <c r="I3076" s="48" t="s">
        <v>2890</v>
      </c>
    </row>
    <row r="3077" spans="2:9" ht="15" customHeight="1" x14ac:dyDescent="0.25">
      <c r="B3077" s="26" t="s">
        <v>463</v>
      </c>
      <c r="C3077" s="1">
        <v>23</v>
      </c>
      <c r="D3077" s="27" t="s">
        <v>3370</v>
      </c>
      <c r="E3077" s="25"/>
      <c r="F3077" s="25" t="str">
        <f>IF(INDEX(I.Gas.Y2C1E2,23)="","",INDEX(I.Gas.Y2C1E2,23))</f>
        <v/>
      </c>
      <c r="G3077" s="25"/>
      <c r="H3077" s="1" t="str">
        <f>IF(AND(I.Product.GasToPowerStatus="Yes",I.Gas.Y2Count&gt;=23,F3077=""),"Incomplete","Complete")</f>
        <v>Complete</v>
      </c>
      <c r="I3077" s="48" t="s">
        <v>2891</v>
      </c>
    </row>
    <row r="3078" spans="2:9" ht="15" customHeight="1" x14ac:dyDescent="0.25">
      <c r="B3078" s="26" t="s">
        <v>463</v>
      </c>
      <c r="C3078" s="1">
        <v>24</v>
      </c>
      <c r="D3078" s="27" t="s">
        <v>3370</v>
      </c>
      <c r="E3078" s="25"/>
      <c r="F3078" s="25" t="str">
        <f>IF(INDEX(I.Gas.Y2C1E2,24)="","",INDEX(I.Gas.Y2C1E2,24))</f>
        <v/>
      </c>
      <c r="G3078" s="25"/>
      <c r="H3078" s="1" t="str">
        <f>IF(AND(I.Product.GasToPowerStatus="Yes",I.Gas.Y2Count&gt;=24,F3078=""),"Incomplete","Complete")</f>
        <v>Complete</v>
      </c>
      <c r="I3078" s="48" t="s">
        <v>2892</v>
      </c>
    </row>
    <row r="3079" spans="2:9" ht="15" customHeight="1" x14ac:dyDescent="0.25">
      <c r="B3079" s="26" t="s">
        <v>463</v>
      </c>
      <c r="C3079" s="1">
        <v>25</v>
      </c>
      <c r="D3079" s="27" t="s">
        <v>3370</v>
      </c>
      <c r="E3079" s="25"/>
      <c r="F3079" s="25" t="str">
        <f>IF(INDEX(I.Gas.Y2C1E2,25)="","",INDEX(I.Gas.Y2C1E2,25))</f>
        <v/>
      </c>
      <c r="G3079" s="25"/>
      <c r="H3079" s="1" t="str">
        <f>IF(AND(I.Product.GasToPowerStatus="Yes",I.Gas.Y2Count&gt;=25,F3079=""),"Incomplete","Complete")</f>
        <v>Complete</v>
      </c>
      <c r="I3079" s="48" t="s">
        <v>2893</v>
      </c>
    </row>
    <row r="3080" spans="2:9" ht="15" customHeight="1" x14ac:dyDescent="0.25">
      <c r="B3080" s="26" t="s">
        <v>463</v>
      </c>
      <c r="C3080" s="1">
        <v>26</v>
      </c>
      <c r="D3080" s="27" t="s">
        <v>3370</v>
      </c>
      <c r="E3080" s="25"/>
      <c r="F3080" s="25" t="str">
        <f>IF(INDEX(I.Gas.Y2C1E2,26)="","",INDEX(I.Gas.Y2C1E2,26))</f>
        <v/>
      </c>
      <c r="G3080" s="25"/>
      <c r="H3080" s="1" t="str">
        <f>IF(AND(I.Product.GasToPowerStatus="Yes",I.Gas.Y2Count&gt;=26,F3080=""),"Incomplete","Complete")</f>
        <v>Complete</v>
      </c>
      <c r="I3080" s="48" t="s">
        <v>2894</v>
      </c>
    </row>
    <row r="3081" spans="2:9" ht="15" customHeight="1" x14ac:dyDescent="0.25">
      <c r="B3081" s="26" t="s">
        <v>463</v>
      </c>
      <c r="C3081" s="1">
        <v>27</v>
      </c>
      <c r="D3081" s="27" t="s">
        <v>3370</v>
      </c>
      <c r="E3081" s="25"/>
      <c r="F3081" s="25" t="str">
        <f>IF(INDEX(I.Gas.Y2C1E2,27)="","",INDEX(I.Gas.Y2C1E2,27))</f>
        <v/>
      </c>
      <c r="G3081" s="25"/>
      <c r="H3081" s="1" t="str">
        <f>IF(AND(I.Product.GasToPowerStatus="Yes",I.Gas.Y2Count&gt;=27,F3081=""),"Incomplete","Complete")</f>
        <v>Complete</v>
      </c>
      <c r="I3081" s="48" t="s">
        <v>2895</v>
      </c>
    </row>
    <row r="3082" spans="2:9" ht="15" customHeight="1" x14ac:dyDescent="0.25">
      <c r="B3082" s="26" t="s">
        <v>463</v>
      </c>
      <c r="C3082" s="1">
        <v>28</v>
      </c>
      <c r="D3082" s="27" t="s">
        <v>3370</v>
      </c>
      <c r="E3082" s="25"/>
      <c r="F3082" s="25" t="str">
        <f>IF(INDEX(I.Gas.Y2C1E2,28)="","",INDEX(I.Gas.Y2C1E2,28))</f>
        <v/>
      </c>
      <c r="G3082" s="25"/>
      <c r="H3082" s="1" t="str">
        <f>IF(AND(I.Product.GasToPowerStatus="Yes",I.Gas.Y2Count&gt;=28,F3082=""),"Incomplete","Complete")</f>
        <v>Complete</v>
      </c>
      <c r="I3082" s="48" t="s">
        <v>2896</v>
      </c>
    </row>
    <row r="3083" spans="2:9" ht="15" customHeight="1" x14ac:dyDescent="0.25">
      <c r="B3083" s="26" t="s">
        <v>463</v>
      </c>
      <c r="C3083" s="1">
        <v>29</v>
      </c>
      <c r="D3083" s="27" t="s">
        <v>3370</v>
      </c>
      <c r="E3083" s="25"/>
      <c r="F3083" s="25" t="str">
        <f>IF(INDEX(I.Gas.Y2C1E2,29)="","",INDEX(I.Gas.Y2C1E2,29))</f>
        <v/>
      </c>
      <c r="G3083" s="25"/>
      <c r="H3083" s="1" t="str">
        <f>IF(AND(I.Product.GasToPowerStatus="Yes",I.Gas.Y2Count&gt;=29,F3083=""),"Incomplete","Complete")</f>
        <v>Complete</v>
      </c>
      <c r="I3083" s="48" t="s">
        <v>2897</v>
      </c>
    </row>
    <row r="3084" spans="2:9" ht="15" customHeight="1" x14ac:dyDescent="0.25">
      <c r="B3084" s="26" t="s">
        <v>463</v>
      </c>
      <c r="C3084" s="1">
        <v>30</v>
      </c>
      <c r="D3084" s="27" t="s">
        <v>3370</v>
      </c>
      <c r="E3084" s="25"/>
      <c r="F3084" s="25" t="str">
        <f>IF(INDEX(I.Gas.Y2C1E2,30)="","",INDEX(I.Gas.Y2C1E2,30))</f>
        <v/>
      </c>
      <c r="G3084" s="25"/>
      <c r="H3084" s="1" t="str">
        <f>IF(AND(I.Product.GasToPowerStatus="Yes",I.Gas.Y2Count&gt;=30,F3084=""),"Incomplete","Complete")</f>
        <v>Complete</v>
      </c>
      <c r="I3084" s="48" t="s">
        <v>2898</v>
      </c>
    </row>
    <row r="3085" spans="2:9" ht="15" customHeight="1" x14ac:dyDescent="0.25">
      <c r="B3085" s="26" t="s">
        <v>463</v>
      </c>
      <c r="C3085" s="1">
        <v>31</v>
      </c>
      <c r="D3085" s="27" t="s">
        <v>3370</v>
      </c>
      <c r="E3085" s="25"/>
      <c r="F3085" s="25" t="str">
        <f>IF(INDEX(I.Gas.Y2C1E2,31)="","",INDEX(I.Gas.Y2C1E2,31))</f>
        <v/>
      </c>
      <c r="G3085" s="25"/>
      <c r="H3085" s="1" t="str">
        <f>IF(AND(I.Product.GasToPowerStatus="Yes",I.Gas.Y2Count&gt;=31,F3085=""),"Incomplete","Complete")</f>
        <v>Complete</v>
      </c>
      <c r="I3085" s="48" t="s">
        <v>2899</v>
      </c>
    </row>
    <row r="3086" spans="2:9" ht="15" customHeight="1" x14ac:dyDescent="0.25">
      <c r="B3086" s="26" t="s">
        <v>463</v>
      </c>
      <c r="C3086" s="1">
        <v>32</v>
      </c>
      <c r="D3086" s="27" t="s">
        <v>3370</v>
      </c>
      <c r="E3086" s="25"/>
      <c r="F3086" s="25" t="str">
        <f>IF(INDEX(I.Gas.Y2C1E2,32)="","",INDEX(I.Gas.Y2C1E2,32))</f>
        <v/>
      </c>
      <c r="G3086" s="25"/>
      <c r="H3086" s="1" t="str">
        <f>IF(AND(I.Product.GasToPowerStatus="Yes",I.Gas.Y2Count&gt;=32,F3086=""),"Incomplete","Complete")</f>
        <v>Complete</v>
      </c>
      <c r="I3086" s="48" t="s">
        <v>2900</v>
      </c>
    </row>
    <row r="3087" spans="2:9" ht="15" customHeight="1" x14ac:dyDescent="0.25">
      <c r="B3087" s="26" t="s">
        <v>463</v>
      </c>
      <c r="C3087" s="1">
        <v>33</v>
      </c>
      <c r="D3087" s="27" t="s">
        <v>3370</v>
      </c>
      <c r="E3087" s="25"/>
      <c r="F3087" s="25" t="str">
        <f>IF(INDEX(I.Gas.Y2C1E2,33)="","",INDEX(I.Gas.Y2C1E2,33))</f>
        <v/>
      </c>
      <c r="G3087" s="25"/>
      <c r="H3087" s="1" t="str">
        <f>IF(AND(I.Product.GasToPowerStatus="Yes",I.Gas.Y2Count&gt;=33,F3087=""),"Incomplete","Complete")</f>
        <v>Complete</v>
      </c>
      <c r="I3087" s="48" t="s">
        <v>2901</v>
      </c>
    </row>
    <row r="3088" spans="2:9" ht="15" customHeight="1" x14ac:dyDescent="0.25">
      <c r="B3088" s="26" t="s">
        <v>463</v>
      </c>
      <c r="C3088" s="1">
        <v>34</v>
      </c>
      <c r="D3088" s="27" t="s">
        <v>3370</v>
      </c>
      <c r="E3088" s="25"/>
      <c r="F3088" s="25" t="str">
        <f>IF(INDEX(I.Gas.Y2C1E2,34)="","",INDEX(I.Gas.Y2C1E2,34))</f>
        <v/>
      </c>
      <c r="G3088" s="25"/>
      <c r="H3088" s="1" t="str">
        <f>IF(AND(I.Product.GasToPowerStatus="Yes",I.Gas.Y2Count&gt;=34,F3088=""),"Incomplete","Complete")</f>
        <v>Complete</v>
      </c>
      <c r="I3088" s="48" t="s">
        <v>2902</v>
      </c>
    </row>
    <row r="3089" spans="2:9" ht="15" customHeight="1" x14ac:dyDescent="0.25">
      <c r="B3089" s="26" t="s">
        <v>463</v>
      </c>
      <c r="C3089" s="1">
        <v>35</v>
      </c>
      <c r="D3089" s="27" t="s">
        <v>3370</v>
      </c>
      <c r="E3089" s="25"/>
      <c r="F3089" s="25" t="str">
        <f>IF(INDEX(I.Gas.Y2C1E2,35)="","",INDEX(I.Gas.Y2C1E2,35))</f>
        <v/>
      </c>
      <c r="G3089" s="25"/>
      <c r="H3089" s="1" t="str">
        <f>IF(AND(I.Product.GasToPowerStatus="Yes",I.Gas.Y2Count&gt;=35,F3089=""),"Incomplete","Complete")</f>
        <v>Complete</v>
      </c>
      <c r="I3089" s="48" t="s">
        <v>2903</v>
      </c>
    </row>
    <row r="3090" spans="2:9" ht="15" customHeight="1" x14ac:dyDescent="0.25">
      <c r="B3090" s="26" t="s">
        <v>463</v>
      </c>
      <c r="C3090" s="1">
        <v>36</v>
      </c>
      <c r="D3090" s="27" t="s">
        <v>3370</v>
      </c>
      <c r="E3090" s="25"/>
      <c r="F3090" s="25" t="str">
        <f>IF(INDEX(I.Gas.Y2C1E2,36)="","",INDEX(I.Gas.Y2C1E2,36))</f>
        <v/>
      </c>
      <c r="G3090" s="25"/>
      <c r="H3090" s="1" t="str">
        <f>IF(AND(I.Product.GasToPowerStatus="Yes",I.Gas.Y2Count&gt;=36,F3090=""),"Incomplete","Complete")</f>
        <v>Complete</v>
      </c>
      <c r="I3090" s="48" t="s">
        <v>2904</v>
      </c>
    </row>
    <row r="3091" spans="2:9" ht="15" customHeight="1" x14ac:dyDescent="0.25">
      <c r="B3091" s="26" t="s">
        <v>463</v>
      </c>
      <c r="C3091" s="1">
        <v>37</v>
      </c>
      <c r="D3091" s="27" t="s">
        <v>3370</v>
      </c>
      <c r="E3091" s="25"/>
      <c r="F3091" s="25" t="str">
        <f>IF(INDEX(I.Gas.Y2C1E2,37)="","",INDEX(I.Gas.Y2C1E2,37))</f>
        <v/>
      </c>
      <c r="G3091" s="25"/>
      <c r="H3091" s="1" t="str">
        <f>IF(AND(I.Product.GasToPowerStatus="Yes",I.Gas.Y2Count&gt;=37,F3091=""),"Incomplete","Complete")</f>
        <v>Complete</v>
      </c>
      <c r="I3091" s="48" t="s">
        <v>2905</v>
      </c>
    </row>
    <row r="3092" spans="2:9" ht="15" customHeight="1" x14ac:dyDescent="0.25">
      <c r="B3092" s="26" t="s">
        <v>463</v>
      </c>
      <c r="C3092" s="1">
        <v>38</v>
      </c>
      <c r="D3092" s="27" t="s">
        <v>3370</v>
      </c>
      <c r="E3092" s="25"/>
      <c r="F3092" s="25" t="str">
        <f>IF(INDEX(I.Gas.Y2C1E2,38)="","",INDEX(I.Gas.Y2C1E2,38))</f>
        <v/>
      </c>
      <c r="G3092" s="25"/>
      <c r="H3092" s="1" t="str">
        <f>IF(AND(I.Product.GasToPowerStatus="Yes",I.Gas.Y2Count&gt;=38,F3092=""),"Incomplete","Complete")</f>
        <v>Complete</v>
      </c>
      <c r="I3092" s="48" t="s">
        <v>2906</v>
      </c>
    </row>
    <row r="3093" spans="2:9" ht="15" customHeight="1" x14ac:dyDescent="0.25">
      <c r="B3093" s="26" t="s">
        <v>463</v>
      </c>
      <c r="C3093" s="1">
        <v>39</v>
      </c>
      <c r="D3093" s="27" t="s">
        <v>3370</v>
      </c>
      <c r="E3093" s="25"/>
      <c r="F3093" s="25" t="str">
        <f>IF(INDEX(I.Gas.Y2C1E2,39)="","",INDEX(I.Gas.Y2C1E2,39))</f>
        <v/>
      </c>
      <c r="G3093" s="25"/>
      <c r="H3093" s="1" t="str">
        <f>IF(AND(I.Product.GasToPowerStatus="Yes",I.Gas.Y2Count&gt;=39,F3093=""),"Incomplete","Complete")</f>
        <v>Complete</v>
      </c>
      <c r="I3093" s="48" t="s">
        <v>2907</v>
      </c>
    </row>
    <row r="3094" spans="2:9" ht="15" customHeight="1" x14ac:dyDescent="0.25">
      <c r="B3094" s="26" t="s">
        <v>463</v>
      </c>
      <c r="C3094" s="1">
        <v>40</v>
      </c>
      <c r="D3094" s="27" t="s">
        <v>3370</v>
      </c>
      <c r="E3094" s="25"/>
      <c r="F3094" s="25" t="str">
        <f>IF(INDEX(I.Gas.Y2C1E2,40)="","",INDEX(I.Gas.Y2C1E2,40))</f>
        <v/>
      </c>
      <c r="G3094" s="25"/>
      <c r="H3094" s="1" t="str">
        <f>IF(AND(I.Product.GasToPowerStatus="Yes",I.Gas.Y2Count&gt;=40,F3094=""),"Incomplete","Complete")</f>
        <v>Complete</v>
      </c>
      <c r="I3094" s="48" t="s">
        <v>2908</v>
      </c>
    </row>
    <row r="3095" spans="2:9" ht="15" customHeight="1" x14ac:dyDescent="0.25">
      <c r="B3095" s="26" t="s">
        <v>463</v>
      </c>
      <c r="C3095" s="1">
        <v>41</v>
      </c>
      <c r="D3095" s="27" t="s">
        <v>3370</v>
      </c>
      <c r="E3095" s="25"/>
      <c r="F3095" s="25" t="str">
        <f>IF(INDEX(I.Gas.Y2C1E2,41)="","",INDEX(I.Gas.Y2C1E2,41))</f>
        <v/>
      </c>
      <c r="G3095" s="25"/>
      <c r="H3095" s="1" t="str">
        <f>IF(AND(I.Product.GasToPowerStatus="Yes",I.Gas.Y2Count&gt;=41,F3095=""),"Incomplete","Complete")</f>
        <v>Complete</v>
      </c>
      <c r="I3095" s="48" t="s">
        <v>2909</v>
      </c>
    </row>
    <row r="3096" spans="2:9" ht="15" customHeight="1" x14ac:dyDescent="0.25">
      <c r="B3096" s="26" t="s">
        <v>463</v>
      </c>
      <c r="C3096" s="1">
        <v>42</v>
      </c>
      <c r="D3096" s="27" t="s">
        <v>3370</v>
      </c>
      <c r="E3096" s="25"/>
      <c r="F3096" s="25" t="str">
        <f>IF(INDEX(I.Gas.Y2C1E2,42)="","",INDEX(I.Gas.Y2C1E2,42))</f>
        <v/>
      </c>
      <c r="G3096" s="25"/>
      <c r="H3096" s="1" t="str">
        <f>IF(AND(I.Product.GasToPowerStatus="Yes",I.Gas.Y2Count&gt;=42,F3096=""),"Incomplete","Complete")</f>
        <v>Complete</v>
      </c>
      <c r="I3096" s="48" t="s">
        <v>2910</v>
      </c>
    </row>
    <row r="3097" spans="2:9" ht="15" customHeight="1" x14ac:dyDescent="0.25">
      <c r="B3097" s="26" t="s">
        <v>463</v>
      </c>
      <c r="C3097" s="1">
        <v>43</v>
      </c>
      <c r="D3097" s="27" t="s">
        <v>3370</v>
      </c>
      <c r="E3097" s="25"/>
      <c r="F3097" s="25" t="str">
        <f>IF(INDEX(I.Gas.Y2C1E2,43)="","",INDEX(I.Gas.Y2C1E2,43))</f>
        <v/>
      </c>
      <c r="G3097" s="25"/>
      <c r="H3097" s="1" t="str">
        <f>IF(AND(I.Product.GasToPowerStatus="Yes",I.Gas.Y2Count&gt;=43,F3097=""),"Incomplete","Complete")</f>
        <v>Complete</v>
      </c>
      <c r="I3097" s="48" t="s">
        <v>2911</v>
      </c>
    </row>
    <row r="3098" spans="2:9" ht="15" customHeight="1" x14ac:dyDescent="0.25">
      <c r="B3098" s="26" t="s">
        <v>463</v>
      </c>
      <c r="C3098" s="1">
        <v>44</v>
      </c>
      <c r="D3098" s="27" t="s">
        <v>3370</v>
      </c>
      <c r="E3098" s="25"/>
      <c r="F3098" s="25" t="str">
        <f>IF(INDEX(I.Gas.Y2C1E2,44)="","",INDEX(I.Gas.Y2C1E2,44))</f>
        <v/>
      </c>
      <c r="G3098" s="25"/>
      <c r="H3098" s="1" t="str">
        <f>IF(AND(I.Product.GasToPowerStatus="Yes",I.Gas.Y2Count&gt;=44,F3098=""),"Incomplete","Complete")</f>
        <v>Complete</v>
      </c>
      <c r="I3098" s="48" t="s">
        <v>2912</v>
      </c>
    </row>
    <row r="3099" spans="2:9" ht="15" customHeight="1" x14ac:dyDescent="0.25">
      <c r="B3099" s="26" t="s">
        <v>463</v>
      </c>
      <c r="C3099" s="1">
        <v>45</v>
      </c>
      <c r="D3099" s="27" t="s">
        <v>3370</v>
      </c>
      <c r="E3099" s="25"/>
      <c r="F3099" s="25" t="str">
        <f>IF(INDEX(I.Gas.Y2C1E2,45)="","",INDEX(I.Gas.Y2C1E2,45))</f>
        <v/>
      </c>
      <c r="G3099" s="25"/>
      <c r="H3099" s="1" t="str">
        <f>IF(AND(I.Product.GasToPowerStatus="Yes",I.Gas.Y2Count&gt;=45,F3099=""),"Incomplete","Complete")</f>
        <v>Complete</v>
      </c>
      <c r="I3099" s="48" t="s">
        <v>2913</v>
      </c>
    </row>
    <row r="3100" spans="2:9" ht="15" customHeight="1" x14ac:dyDescent="0.25">
      <c r="B3100" s="26" t="s">
        <v>463</v>
      </c>
      <c r="C3100" s="1">
        <v>46</v>
      </c>
      <c r="D3100" s="27" t="s">
        <v>3370</v>
      </c>
      <c r="E3100" s="25"/>
      <c r="F3100" s="25" t="str">
        <f>IF(INDEX(I.Gas.Y2C1E2,46)="","",INDEX(I.Gas.Y2C1E2,46))</f>
        <v/>
      </c>
      <c r="G3100" s="25"/>
      <c r="H3100" s="1" t="str">
        <f>IF(AND(I.Product.GasToPowerStatus="Yes",I.Gas.Y2Count&gt;=46,F3100=""),"Incomplete","Complete")</f>
        <v>Complete</v>
      </c>
      <c r="I3100" s="48" t="s">
        <v>2914</v>
      </c>
    </row>
    <row r="3101" spans="2:9" ht="15" customHeight="1" x14ac:dyDescent="0.25">
      <c r="B3101" s="26" t="s">
        <v>463</v>
      </c>
      <c r="C3101" s="1">
        <v>47</v>
      </c>
      <c r="D3101" s="27" t="s">
        <v>3370</v>
      </c>
      <c r="E3101" s="25"/>
      <c r="F3101" s="25" t="str">
        <f>IF(INDEX(I.Gas.Y2C1E2,47)="","",INDEX(I.Gas.Y2C1E2,47))</f>
        <v/>
      </c>
      <c r="G3101" s="25"/>
      <c r="H3101" s="1" t="str">
        <f>IF(AND(I.Product.GasToPowerStatus="Yes",I.Gas.Y2Count&gt;=47,F3101=""),"Incomplete","Complete")</f>
        <v>Complete</v>
      </c>
      <c r="I3101" s="48" t="s">
        <v>2915</v>
      </c>
    </row>
    <row r="3102" spans="2:9" ht="15" customHeight="1" x14ac:dyDescent="0.25">
      <c r="B3102" s="26" t="s">
        <v>463</v>
      </c>
      <c r="C3102" s="1">
        <v>48</v>
      </c>
      <c r="D3102" s="27" t="s">
        <v>3370</v>
      </c>
      <c r="E3102" s="25"/>
      <c r="F3102" s="25" t="str">
        <f>IF(INDEX(I.Gas.Y2C1E2,48)="","",INDEX(I.Gas.Y2C1E2,48))</f>
        <v/>
      </c>
      <c r="G3102" s="25"/>
      <c r="H3102" s="1" t="str">
        <f>IF(AND(I.Product.GasToPowerStatus="Yes",I.Gas.Y2Count&gt;=48,F3102=""),"Incomplete","Complete")</f>
        <v>Complete</v>
      </c>
      <c r="I3102" s="48" t="s">
        <v>2916</v>
      </c>
    </row>
    <row r="3103" spans="2:9" ht="15" customHeight="1" x14ac:dyDescent="0.25">
      <c r="B3103" s="26" t="s">
        <v>463</v>
      </c>
      <c r="C3103" s="1">
        <v>49</v>
      </c>
      <c r="D3103" s="27" t="s">
        <v>3370</v>
      </c>
      <c r="E3103" s="25"/>
      <c r="F3103" s="25" t="str">
        <f>IF(INDEX(I.Gas.Y2C1E2,49)="","",INDEX(I.Gas.Y2C1E2,49))</f>
        <v/>
      </c>
      <c r="G3103" s="25"/>
      <c r="H3103" s="1" t="str">
        <f>IF(AND(I.Product.GasToPowerStatus="Yes",I.Gas.Y2Count&gt;=49,F3103=""),"Incomplete","Complete")</f>
        <v>Complete</v>
      </c>
      <c r="I3103" s="48" t="s">
        <v>2917</v>
      </c>
    </row>
    <row r="3104" spans="2:9" ht="15" customHeight="1" x14ac:dyDescent="0.25">
      <c r="B3104" s="34" t="s">
        <v>463</v>
      </c>
      <c r="C3104" s="35">
        <v>50</v>
      </c>
      <c r="D3104" s="46" t="s">
        <v>3370</v>
      </c>
      <c r="E3104" s="45"/>
      <c r="F3104" s="45" t="str">
        <f>IF(INDEX(I.Gas.Y2C1E2,50)="","",INDEX(I.Gas.Y2C1E2,50))</f>
        <v/>
      </c>
      <c r="G3104" s="45"/>
      <c r="H3104" s="35" t="str">
        <f>IF(AND(I.Product.GasToPowerStatus="Yes",I.Gas.Y2Count&gt;=50,F3104=""),"Incomplete","Complete")</f>
        <v>Complete</v>
      </c>
      <c r="I3104" s="49" t="s">
        <v>2918</v>
      </c>
    </row>
    <row r="3105" spans="2:9" ht="15" customHeight="1" x14ac:dyDescent="0.25">
      <c r="B3105" s="26" t="s">
        <v>464</v>
      </c>
      <c r="C3105" s="1">
        <v>1</v>
      </c>
      <c r="D3105" s="27" t="s">
        <v>3371</v>
      </c>
      <c r="E3105" s="25"/>
      <c r="F3105" s="25" t="str">
        <f>IF(INDEX(I.Gas.Y2C1E3,1)="","",INDEX(I.Gas.Y2C1E3,1))</f>
        <v/>
      </c>
      <c r="G3105" s="25"/>
      <c r="H3105" s="1" t="str">
        <f>IF(AND(I.Product.GasToPowerStatus="Yes",I.Gas.Y2Count&gt;=1,F3105=""),"Incomplete","Complete")</f>
        <v>Complete</v>
      </c>
      <c r="I3105" s="48" t="s">
        <v>2919</v>
      </c>
    </row>
    <row r="3106" spans="2:9" ht="15" customHeight="1" x14ac:dyDescent="0.25">
      <c r="B3106" s="26" t="s">
        <v>464</v>
      </c>
      <c r="C3106" s="1">
        <v>2</v>
      </c>
      <c r="D3106" s="27" t="s">
        <v>3371</v>
      </c>
      <c r="E3106" s="25"/>
      <c r="F3106" s="25" t="str">
        <f>IF(INDEX(I.Gas.Y2C1E3,2)="","",INDEX(I.Gas.Y2C1E3,2))</f>
        <v/>
      </c>
      <c r="G3106" s="25"/>
      <c r="H3106" s="1" t="str">
        <f>IF(AND(I.Product.GasToPowerStatus="Yes",I.Gas.Y2Count&gt;=2,F3106=""),"Incomplete","Complete")</f>
        <v>Complete</v>
      </c>
      <c r="I3106" s="48" t="s">
        <v>2920</v>
      </c>
    </row>
    <row r="3107" spans="2:9" ht="15" customHeight="1" x14ac:dyDescent="0.25">
      <c r="B3107" s="26" t="s">
        <v>464</v>
      </c>
      <c r="C3107" s="1">
        <v>3</v>
      </c>
      <c r="D3107" s="27" t="s">
        <v>3371</v>
      </c>
      <c r="E3107" s="25"/>
      <c r="F3107" s="25" t="str">
        <f>IF(INDEX(I.Gas.Y2C1E3,3)="","",INDEX(I.Gas.Y2C1E3,3))</f>
        <v/>
      </c>
      <c r="G3107" s="25"/>
      <c r="H3107" s="1" t="str">
        <f>IF(AND(I.Product.GasToPowerStatus="Yes",I.Gas.Y2Count&gt;=3,F3107=""),"Incomplete","Complete")</f>
        <v>Complete</v>
      </c>
      <c r="I3107" s="48" t="s">
        <v>2921</v>
      </c>
    </row>
    <row r="3108" spans="2:9" ht="15" customHeight="1" x14ac:dyDescent="0.25">
      <c r="B3108" s="26" t="s">
        <v>464</v>
      </c>
      <c r="C3108" s="1">
        <v>4</v>
      </c>
      <c r="D3108" s="27" t="s">
        <v>3371</v>
      </c>
      <c r="E3108" s="25"/>
      <c r="F3108" s="25" t="str">
        <f>IF(INDEX(I.Gas.Y2C1E3,4)="","",INDEX(I.Gas.Y2C1E3,4))</f>
        <v/>
      </c>
      <c r="G3108" s="25"/>
      <c r="H3108" s="1" t="str">
        <f>IF(AND(I.Product.GasToPowerStatus="Yes",I.Gas.Y2Count&gt;=4,F3108=""),"Incomplete","Complete")</f>
        <v>Complete</v>
      </c>
      <c r="I3108" s="48" t="s">
        <v>2922</v>
      </c>
    </row>
    <row r="3109" spans="2:9" ht="15" customHeight="1" x14ac:dyDescent="0.25">
      <c r="B3109" s="26" t="s">
        <v>464</v>
      </c>
      <c r="C3109" s="1">
        <v>5</v>
      </c>
      <c r="D3109" s="27" t="s">
        <v>3371</v>
      </c>
      <c r="E3109" s="25"/>
      <c r="F3109" s="25" t="str">
        <f>IF(INDEX(I.Gas.Y2C1E3,5)="","",INDEX(I.Gas.Y2C1E3,5))</f>
        <v/>
      </c>
      <c r="G3109" s="25"/>
      <c r="H3109" s="1" t="str">
        <f>IF(AND(I.Product.GasToPowerStatus="Yes",I.Gas.Y2Count&gt;=5,F3109=""),"Incomplete","Complete")</f>
        <v>Complete</v>
      </c>
      <c r="I3109" s="48" t="s">
        <v>2923</v>
      </c>
    </row>
    <row r="3110" spans="2:9" ht="15" customHeight="1" x14ac:dyDescent="0.25">
      <c r="B3110" s="26" t="s">
        <v>464</v>
      </c>
      <c r="C3110" s="1">
        <v>6</v>
      </c>
      <c r="D3110" s="27" t="s">
        <v>3371</v>
      </c>
      <c r="E3110" s="25"/>
      <c r="F3110" s="25" t="str">
        <f>IF(INDEX(I.Gas.Y2C1E3,6)="","",INDEX(I.Gas.Y2C1E3,6))</f>
        <v/>
      </c>
      <c r="G3110" s="25"/>
      <c r="H3110" s="1" t="str">
        <f>IF(AND(I.Product.GasToPowerStatus="Yes",I.Gas.Y2Count&gt;=6,F3110=""),"Incomplete","Complete")</f>
        <v>Complete</v>
      </c>
      <c r="I3110" s="48" t="s">
        <v>2924</v>
      </c>
    </row>
    <row r="3111" spans="2:9" ht="15" customHeight="1" x14ac:dyDescent="0.25">
      <c r="B3111" s="26" t="s">
        <v>464</v>
      </c>
      <c r="C3111" s="1">
        <v>7</v>
      </c>
      <c r="D3111" s="27" t="s">
        <v>3371</v>
      </c>
      <c r="E3111" s="25"/>
      <c r="F3111" s="25" t="str">
        <f>IF(INDEX(I.Gas.Y2C1E3,7)="","",INDEX(I.Gas.Y2C1E3,7))</f>
        <v/>
      </c>
      <c r="G3111" s="25"/>
      <c r="H3111" s="1" t="str">
        <f>IF(AND(I.Product.GasToPowerStatus="Yes",I.Gas.Y2Count&gt;=7,F3111=""),"Incomplete","Complete")</f>
        <v>Complete</v>
      </c>
      <c r="I3111" s="48" t="s">
        <v>2925</v>
      </c>
    </row>
    <row r="3112" spans="2:9" ht="15" customHeight="1" x14ac:dyDescent="0.25">
      <c r="B3112" s="26" t="s">
        <v>464</v>
      </c>
      <c r="C3112" s="1">
        <v>8</v>
      </c>
      <c r="D3112" s="27" t="s">
        <v>3371</v>
      </c>
      <c r="E3112" s="25"/>
      <c r="F3112" s="25" t="str">
        <f>IF(INDEX(I.Gas.Y2C1E3,8)="","",INDEX(I.Gas.Y2C1E3,8))</f>
        <v/>
      </c>
      <c r="G3112" s="25"/>
      <c r="H3112" s="1" t="str">
        <f>IF(AND(I.Product.GasToPowerStatus="Yes",I.Gas.Y2Count&gt;=8,F3112=""),"Incomplete","Complete")</f>
        <v>Complete</v>
      </c>
      <c r="I3112" s="48" t="s">
        <v>2926</v>
      </c>
    </row>
    <row r="3113" spans="2:9" ht="15" customHeight="1" x14ac:dyDescent="0.25">
      <c r="B3113" s="26" t="s">
        <v>464</v>
      </c>
      <c r="C3113" s="1">
        <v>9</v>
      </c>
      <c r="D3113" s="27" t="s">
        <v>3371</v>
      </c>
      <c r="E3113" s="25"/>
      <c r="F3113" s="25" t="str">
        <f>IF(INDEX(I.Gas.Y2C1E3,9)="","",INDEX(I.Gas.Y2C1E3,9))</f>
        <v/>
      </c>
      <c r="G3113" s="25"/>
      <c r="H3113" s="1" t="str">
        <f>IF(AND(I.Product.GasToPowerStatus="Yes",I.Gas.Y2Count&gt;=9,F3113=""),"Incomplete","Complete")</f>
        <v>Complete</v>
      </c>
      <c r="I3113" s="48" t="s">
        <v>2927</v>
      </c>
    </row>
    <row r="3114" spans="2:9" ht="15" customHeight="1" x14ac:dyDescent="0.25">
      <c r="B3114" s="26" t="s">
        <v>464</v>
      </c>
      <c r="C3114" s="1">
        <v>10</v>
      </c>
      <c r="D3114" s="27" t="s">
        <v>3371</v>
      </c>
      <c r="E3114" s="25"/>
      <c r="F3114" s="25" t="str">
        <f>IF(INDEX(I.Gas.Y2C1E3,10)="","",INDEX(I.Gas.Y2C1E3,10))</f>
        <v/>
      </c>
      <c r="G3114" s="25"/>
      <c r="H3114" s="1" t="str">
        <f>IF(AND(I.Product.GasToPowerStatus="Yes",I.Gas.Y2Count&gt;=10,F3114=""),"Incomplete","Complete")</f>
        <v>Complete</v>
      </c>
      <c r="I3114" s="48" t="s">
        <v>2928</v>
      </c>
    </row>
    <row r="3115" spans="2:9" ht="15" customHeight="1" x14ac:dyDescent="0.25">
      <c r="B3115" s="26" t="s">
        <v>464</v>
      </c>
      <c r="C3115" s="1">
        <v>11</v>
      </c>
      <c r="D3115" s="27" t="s">
        <v>3371</v>
      </c>
      <c r="E3115" s="25"/>
      <c r="F3115" s="25" t="str">
        <f>IF(INDEX(I.Gas.Y2C1E3,11)="","",INDEX(I.Gas.Y2C1E3,11))</f>
        <v/>
      </c>
      <c r="G3115" s="25"/>
      <c r="H3115" s="1" t="str">
        <f>IF(AND(I.Product.GasToPowerStatus="Yes",I.Gas.Y2Count&gt;=11,F3115=""),"Incomplete","Complete")</f>
        <v>Complete</v>
      </c>
      <c r="I3115" s="48" t="s">
        <v>2929</v>
      </c>
    </row>
    <row r="3116" spans="2:9" ht="15" customHeight="1" x14ac:dyDescent="0.25">
      <c r="B3116" s="26" t="s">
        <v>464</v>
      </c>
      <c r="C3116" s="1">
        <v>12</v>
      </c>
      <c r="D3116" s="27" t="s">
        <v>3371</v>
      </c>
      <c r="E3116" s="25"/>
      <c r="F3116" s="25" t="str">
        <f>IF(INDEX(I.Gas.Y2C1E3,12)="","",INDEX(I.Gas.Y2C1E3,12))</f>
        <v/>
      </c>
      <c r="G3116" s="25"/>
      <c r="H3116" s="1" t="str">
        <f>IF(AND(I.Product.GasToPowerStatus="Yes",I.Gas.Y2Count&gt;=12,F3116=""),"Incomplete","Complete")</f>
        <v>Complete</v>
      </c>
      <c r="I3116" s="48" t="s">
        <v>2930</v>
      </c>
    </row>
    <row r="3117" spans="2:9" ht="15" customHeight="1" x14ac:dyDescent="0.25">
      <c r="B3117" s="26" t="s">
        <v>464</v>
      </c>
      <c r="C3117" s="1">
        <v>13</v>
      </c>
      <c r="D3117" s="27" t="s">
        <v>3371</v>
      </c>
      <c r="E3117" s="25"/>
      <c r="F3117" s="25" t="str">
        <f>IF(INDEX(I.Gas.Y2C1E3,13)="","",INDEX(I.Gas.Y2C1E3,13))</f>
        <v/>
      </c>
      <c r="G3117" s="25"/>
      <c r="H3117" s="1" t="str">
        <f>IF(AND(I.Product.GasToPowerStatus="Yes",I.Gas.Y2Count&gt;=13,F3117=""),"Incomplete","Complete")</f>
        <v>Complete</v>
      </c>
      <c r="I3117" s="48" t="s">
        <v>2931</v>
      </c>
    </row>
    <row r="3118" spans="2:9" ht="15" customHeight="1" x14ac:dyDescent="0.25">
      <c r="B3118" s="26" t="s">
        <v>464</v>
      </c>
      <c r="C3118" s="1">
        <v>14</v>
      </c>
      <c r="D3118" s="27" t="s">
        <v>3371</v>
      </c>
      <c r="E3118" s="25"/>
      <c r="F3118" s="25" t="str">
        <f>IF(INDEX(I.Gas.Y2C1E3,14)="","",INDEX(I.Gas.Y2C1E3,14))</f>
        <v/>
      </c>
      <c r="G3118" s="25"/>
      <c r="H3118" s="1" t="str">
        <f>IF(AND(I.Product.GasToPowerStatus="Yes",I.Gas.Y2Count&gt;=14,F3118=""),"Incomplete","Complete")</f>
        <v>Complete</v>
      </c>
      <c r="I3118" s="48" t="s">
        <v>2932</v>
      </c>
    </row>
    <row r="3119" spans="2:9" ht="15" customHeight="1" x14ac:dyDescent="0.25">
      <c r="B3119" s="26" t="s">
        <v>464</v>
      </c>
      <c r="C3119" s="1">
        <v>15</v>
      </c>
      <c r="D3119" s="27" t="s">
        <v>3371</v>
      </c>
      <c r="E3119" s="25"/>
      <c r="F3119" s="25" t="str">
        <f>IF(INDEX(I.Gas.Y2C1E3,15)="","",INDEX(I.Gas.Y2C1E3,15))</f>
        <v/>
      </c>
      <c r="G3119" s="25"/>
      <c r="H3119" s="1" t="str">
        <f>IF(AND(I.Product.GasToPowerStatus="Yes",I.Gas.Y2Count&gt;=15,F3119=""),"Incomplete","Complete")</f>
        <v>Complete</v>
      </c>
      <c r="I3119" s="48" t="s">
        <v>2933</v>
      </c>
    </row>
    <row r="3120" spans="2:9" ht="15" customHeight="1" x14ac:dyDescent="0.25">
      <c r="B3120" s="26" t="s">
        <v>464</v>
      </c>
      <c r="C3120" s="1">
        <v>16</v>
      </c>
      <c r="D3120" s="27" t="s">
        <v>3371</v>
      </c>
      <c r="E3120" s="25"/>
      <c r="F3120" s="25" t="str">
        <f>IF(INDEX(I.Gas.Y2C1E3,16)="","",INDEX(I.Gas.Y2C1E3,16))</f>
        <v/>
      </c>
      <c r="G3120" s="25"/>
      <c r="H3120" s="1" t="str">
        <f>IF(AND(I.Product.GasToPowerStatus="Yes",I.Gas.Y2Count&gt;=16,F3120=""),"Incomplete","Complete")</f>
        <v>Complete</v>
      </c>
      <c r="I3120" s="48" t="s">
        <v>2934</v>
      </c>
    </row>
    <row r="3121" spans="2:9" ht="15" customHeight="1" x14ac:dyDescent="0.25">
      <c r="B3121" s="26" t="s">
        <v>464</v>
      </c>
      <c r="C3121" s="1">
        <v>17</v>
      </c>
      <c r="D3121" s="27" t="s">
        <v>3371</v>
      </c>
      <c r="E3121" s="25"/>
      <c r="F3121" s="25" t="str">
        <f>IF(INDEX(I.Gas.Y2C1E3,17)="","",INDEX(I.Gas.Y2C1E3,17))</f>
        <v/>
      </c>
      <c r="G3121" s="25"/>
      <c r="H3121" s="1" t="str">
        <f>IF(AND(I.Product.GasToPowerStatus="Yes",I.Gas.Y2Count&gt;=17,F3121=""),"Incomplete","Complete")</f>
        <v>Complete</v>
      </c>
      <c r="I3121" s="48" t="s">
        <v>2935</v>
      </c>
    </row>
    <row r="3122" spans="2:9" ht="15" customHeight="1" x14ac:dyDescent="0.25">
      <c r="B3122" s="26" t="s">
        <v>464</v>
      </c>
      <c r="C3122" s="1">
        <v>18</v>
      </c>
      <c r="D3122" s="27" t="s">
        <v>3371</v>
      </c>
      <c r="E3122" s="25"/>
      <c r="F3122" s="25" t="str">
        <f>IF(INDEX(I.Gas.Y2C1E3,18)="","",INDEX(I.Gas.Y2C1E3,18))</f>
        <v/>
      </c>
      <c r="G3122" s="25"/>
      <c r="H3122" s="1" t="str">
        <f>IF(AND(I.Product.GasToPowerStatus="Yes",I.Gas.Y2Count&gt;=18,F3122=""),"Incomplete","Complete")</f>
        <v>Complete</v>
      </c>
      <c r="I3122" s="48" t="s">
        <v>2936</v>
      </c>
    </row>
    <row r="3123" spans="2:9" ht="15" customHeight="1" x14ac:dyDescent="0.25">
      <c r="B3123" s="26" t="s">
        <v>464</v>
      </c>
      <c r="C3123" s="1">
        <v>19</v>
      </c>
      <c r="D3123" s="27" t="s">
        <v>3371</v>
      </c>
      <c r="E3123" s="25"/>
      <c r="F3123" s="25" t="str">
        <f>IF(INDEX(I.Gas.Y2C1E3,19)="","",INDEX(I.Gas.Y2C1E3,19))</f>
        <v/>
      </c>
      <c r="G3123" s="25"/>
      <c r="H3123" s="1" t="str">
        <f>IF(AND(I.Product.GasToPowerStatus="Yes",I.Gas.Y2Count&gt;=19,F3123=""),"Incomplete","Complete")</f>
        <v>Complete</v>
      </c>
      <c r="I3123" s="48" t="s">
        <v>2937</v>
      </c>
    </row>
    <row r="3124" spans="2:9" ht="15" customHeight="1" x14ac:dyDescent="0.25">
      <c r="B3124" s="26" t="s">
        <v>464</v>
      </c>
      <c r="C3124" s="1">
        <v>20</v>
      </c>
      <c r="D3124" s="27" t="s">
        <v>3371</v>
      </c>
      <c r="E3124" s="25"/>
      <c r="F3124" s="25" t="str">
        <f>IF(INDEX(I.Gas.Y2C1E3,20)="","",INDEX(I.Gas.Y2C1E3,20))</f>
        <v/>
      </c>
      <c r="G3124" s="25"/>
      <c r="H3124" s="1" t="str">
        <f>IF(AND(I.Product.GasToPowerStatus="Yes",I.Gas.Y2Count&gt;=20,F3124=""),"Incomplete","Complete")</f>
        <v>Complete</v>
      </c>
      <c r="I3124" s="48" t="s">
        <v>2938</v>
      </c>
    </row>
    <row r="3125" spans="2:9" ht="15" customHeight="1" x14ac:dyDescent="0.25">
      <c r="B3125" s="26" t="s">
        <v>464</v>
      </c>
      <c r="C3125" s="1">
        <v>21</v>
      </c>
      <c r="D3125" s="27" t="s">
        <v>3371</v>
      </c>
      <c r="E3125" s="25"/>
      <c r="F3125" s="25" t="str">
        <f>IF(INDEX(I.Gas.Y2C1E3,21)="","",INDEX(I.Gas.Y2C1E3,21))</f>
        <v/>
      </c>
      <c r="G3125" s="25"/>
      <c r="H3125" s="1" t="str">
        <f>IF(AND(I.Product.GasToPowerStatus="Yes",I.Gas.Y2Count&gt;=21,F3125=""),"Incomplete","Complete")</f>
        <v>Complete</v>
      </c>
      <c r="I3125" s="48" t="s">
        <v>2939</v>
      </c>
    </row>
    <row r="3126" spans="2:9" ht="15" customHeight="1" x14ac:dyDescent="0.25">
      <c r="B3126" s="26" t="s">
        <v>464</v>
      </c>
      <c r="C3126" s="1">
        <v>22</v>
      </c>
      <c r="D3126" s="27" t="s">
        <v>3371</v>
      </c>
      <c r="E3126" s="25"/>
      <c r="F3126" s="25" t="str">
        <f>IF(INDEX(I.Gas.Y2C1E3,22)="","",INDEX(I.Gas.Y2C1E3,22))</f>
        <v/>
      </c>
      <c r="G3126" s="25"/>
      <c r="H3126" s="1" t="str">
        <f>IF(AND(I.Product.GasToPowerStatus="Yes",I.Gas.Y2Count&gt;=22,F3126=""),"Incomplete","Complete")</f>
        <v>Complete</v>
      </c>
      <c r="I3126" s="48" t="s">
        <v>2940</v>
      </c>
    </row>
    <row r="3127" spans="2:9" ht="15" customHeight="1" x14ac:dyDescent="0.25">
      <c r="B3127" s="26" t="s">
        <v>464</v>
      </c>
      <c r="C3127" s="1">
        <v>23</v>
      </c>
      <c r="D3127" s="27" t="s">
        <v>3371</v>
      </c>
      <c r="E3127" s="25"/>
      <c r="F3127" s="25" t="str">
        <f>IF(INDEX(I.Gas.Y2C1E3,23)="","",INDEX(I.Gas.Y2C1E3,23))</f>
        <v/>
      </c>
      <c r="G3127" s="25"/>
      <c r="H3127" s="1" t="str">
        <f>IF(AND(I.Product.GasToPowerStatus="Yes",I.Gas.Y2Count&gt;=23,F3127=""),"Incomplete","Complete")</f>
        <v>Complete</v>
      </c>
      <c r="I3127" s="48" t="s">
        <v>2941</v>
      </c>
    </row>
    <row r="3128" spans="2:9" ht="15" customHeight="1" x14ac:dyDescent="0.25">
      <c r="B3128" s="26" t="s">
        <v>464</v>
      </c>
      <c r="C3128" s="1">
        <v>24</v>
      </c>
      <c r="D3128" s="27" t="s">
        <v>3371</v>
      </c>
      <c r="E3128" s="25"/>
      <c r="F3128" s="25" t="str">
        <f>IF(INDEX(I.Gas.Y2C1E3,24)="","",INDEX(I.Gas.Y2C1E3,24))</f>
        <v/>
      </c>
      <c r="G3128" s="25"/>
      <c r="H3128" s="1" t="str">
        <f>IF(AND(I.Product.GasToPowerStatus="Yes",I.Gas.Y2Count&gt;=24,F3128=""),"Incomplete","Complete")</f>
        <v>Complete</v>
      </c>
      <c r="I3128" s="48" t="s">
        <v>2942</v>
      </c>
    </row>
    <row r="3129" spans="2:9" ht="15" customHeight="1" x14ac:dyDescent="0.25">
      <c r="B3129" s="26" t="s">
        <v>464</v>
      </c>
      <c r="C3129" s="1">
        <v>25</v>
      </c>
      <c r="D3129" s="27" t="s">
        <v>3371</v>
      </c>
      <c r="E3129" s="25"/>
      <c r="F3129" s="25" t="str">
        <f>IF(INDEX(I.Gas.Y2C1E3,25)="","",INDEX(I.Gas.Y2C1E3,25))</f>
        <v/>
      </c>
      <c r="G3129" s="25"/>
      <c r="H3129" s="1" t="str">
        <f>IF(AND(I.Product.GasToPowerStatus="Yes",I.Gas.Y2Count&gt;=25,F3129=""),"Incomplete","Complete")</f>
        <v>Complete</v>
      </c>
      <c r="I3129" s="48" t="s">
        <v>2943</v>
      </c>
    </row>
    <row r="3130" spans="2:9" ht="15" customHeight="1" x14ac:dyDescent="0.25">
      <c r="B3130" s="26" t="s">
        <v>464</v>
      </c>
      <c r="C3130" s="1">
        <v>26</v>
      </c>
      <c r="D3130" s="27" t="s">
        <v>3371</v>
      </c>
      <c r="E3130" s="25"/>
      <c r="F3130" s="25" t="str">
        <f>IF(INDEX(I.Gas.Y2C1E3,26)="","",INDEX(I.Gas.Y2C1E3,26))</f>
        <v/>
      </c>
      <c r="G3130" s="25"/>
      <c r="H3130" s="1" t="str">
        <f>IF(AND(I.Product.GasToPowerStatus="Yes",I.Gas.Y2Count&gt;=26,F3130=""),"Incomplete","Complete")</f>
        <v>Complete</v>
      </c>
      <c r="I3130" s="48" t="s">
        <v>2944</v>
      </c>
    </row>
    <row r="3131" spans="2:9" ht="15" customHeight="1" x14ac:dyDescent="0.25">
      <c r="B3131" s="26" t="s">
        <v>464</v>
      </c>
      <c r="C3131" s="1">
        <v>27</v>
      </c>
      <c r="D3131" s="27" t="s">
        <v>3371</v>
      </c>
      <c r="E3131" s="25"/>
      <c r="F3131" s="25" t="str">
        <f>IF(INDEX(I.Gas.Y2C1E3,27)="","",INDEX(I.Gas.Y2C1E3,27))</f>
        <v/>
      </c>
      <c r="G3131" s="25"/>
      <c r="H3131" s="1" t="str">
        <f>IF(AND(I.Product.GasToPowerStatus="Yes",I.Gas.Y2Count&gt;=27,F3131=""),"Incomplete","Complete")</f>
        <v>Complete</v>
      </c>
      <c r="I3131" s="48" t="s">
        <v>2945</v>
      </c>
    </row>
    <row r="3132" spans="2:9" ht="15" customHeight="1" x14ac:dyDescent="0.25">
      <c r="B3132" s="26" t="s">
        <v>464</v>
      </c>
      <c r="C3132" s="1">
        <v>28</v>
      </c>
      <c r="D3132" s="27" t="s">
        <v>3371</v>
      </c>
      <c r="E3132" s="25"/>
      <c r="F3132" s="25" t="str">
        <f>IF(INDEX(I.Gas.Y2C1E3,28)="","",INDEX(I.Gas.Y2C1E3,28))</f>
        <v/>
      </c>
      <c r="G3132" s="25"/>
      <c r="H3132" s="1" t="str">
        <f>IF(AND(I.Product.GasToPowerStatus="Yes",I.Gas.Y2Count&gt;=28,F3132=""),"Incomplete","Complete")</f>
        <v>Complete</v>
      </c>
      <c r="I3132" s="48" t="s">
        <v>2946</v>
      </c>
    </row>
    <row r="3133" spans="2:9" ht="15" customHeight="1" x14ac:dyDescent="0.25">
      <c r="B3133" s="26" t="s">
        <v>464</v>
      </c>
      <c r="C3133" s="1">
        <v>29</v>
      </c>
      <c r="D3133" s="27" t="s">
        <v>3371</v>
      </c>
      <c r="E3133" s="25"/>
      <c r="F3133" s="25" t="str">
        <f>IF(INDEX(I.Gas.Y2C1E3,29)="","",INDEX(I.Gas.Y2C1E3,29))</f>
        <v/>
      </c>
      <c r="G3133" s="25"/>
      <c r="H3133" s="1" t="str">
        <f>IF(AND(I.Product.GasToPowerStatus="Yes",I.Gas.Y2Count&gt;=29,F3133=""),"Incomplete","Complete")</f>
        <v>Complete</v>
      </c>
      <c r="I3133" s="48" t="s">
        <v>2947</v>
      </c>
    </row>
    <row r="3134" spans="2:9" ht="15" customHeight="1" x14ac:dyDescent="0.25">
      <c r="B3134" s="26" t="s">
        <v>464</v>
      </c>
      <c r="C3134" s="1">
        <v>30</v>
      </c>
      <c r="D3134" s="27" t="s">
        <v>3371</v>
      </c>
      <c r="E3134" s="25"/>
      <c r="F3134" s="25" t="str">
        <f>IF(INDEX(I.Gas.Y2C1E3,30)="","",INDEX(I.Gas.Y2C1E3,30))</f>
        <v/>
      </c>
      <c r="G3134" s="25"/>
      <c r="H3134" s="1" t="str">
        <f>IF(AND(I.Product.GasToPowerStatus="Yes",I.Gas.Y2Count&gt;=30,F3134=""),"Incomplete","Complete")</f>
        <v>Complete</v>
      </c>
      <c r="I3134" s="48" t="s">
        <v>2948</v>
      </c>
    </row>
    <row r="3135" spans="2:9" ht="15" customHeight="1" x14ac:dyDescent="0.25">
      <c r="B3135" s="26" t="s">
        <v>464</v>
      </c>
      <c r="C3135" s="1">
        <v>31</v>
      </c>
      <c r="D3135" s="27" t="s">
        <v>3371</v>
      </c>
      <c r="E3135" s="25"/>
      <c r="F3135" s="25" t="str">
        <f>IF(INDEX(I.Gas.Y2C1E3,31)="","",INDEX(I.Gas.Y2C1E3,31))</f>
        <v/>
      </c>
      <c r="G3135" s="25"/>
      <c r="H3135" s="1" t="str">
        <f>IF(AND(I.Product.GasToPowerStatus="Yes",I.Gas.Y2Count&gt;=31,F3135=""),"Incomplete","Complete")</f>
        <v>Complete</v>
      </c>
      <c r="I3135" s="48" t="s">
        <v>2949</v>
      </c>
    </row>
    <row r="3136" spans="2:9" ht="15" customHeight="1" x14ac:dyDescent="0.25">
      <c r="B3136" s="26" t="s">
        <v>464</v>
      </c>
      <c r="C3136" s="1">
        <v>32</v>
      </c>
      <c r="D3136" s="27" t="s">
        <v>3371</v>
      </c>
      <c r="E3136" s="25"/>
      <c r="F3136" s="25" t="str">
        <f>IF(INDEX(I.Gas.Y2C1E3,32)="","",INDEX(I.Gas.Y2C1E3,32))</f>
        <v/>
      </c>
      <c r="G3136" s="25"/>
      <c r="H3136" s="1" t="str">
        <f>IF(AND(I.Product.GasToPowerStatus="Yes",I.Gas.Y2Count&gt;=32,F3136=""),"Incomplete","Complete")</f>
        <v>Complete</v>
      </c>
      <c r="I3136" s="48" t="s">
        <v>2950</v>
      </c>
    </row>
    <row r="3137" spans="2:9" ht="15" customHeight="1" x14ac:dyDescent="0.25">
      <c r="B3137" s="26" t="s">
        <v>464</v>
      </c>
      <c r="C3137" s="1">
        <v>33</v>
      </c>
      <c r="D3137" s="27" t="s">
        <v>3371</v>
      </c>
      <c r="E3137" s="25"/>
      <c r="F3137" s="25" t="str">
        <f>IF(INDEX(I.Gas.Y2C1E3,33)="","",INDEX(I.Gas.Y2C1E3,33))</f>
        <v/>
      </c>
      <c r="G3137" s="25"/>
      <c r="H3137" s="1" t="str">
        <f>IF(AND(I.Product.GasToPowerStatus="Yes",I.Gas.Y2Count&gt;=33,F3137=""),"Incomplete","Complete")</f>
        <v>Complete</v>
      </c>
      <c r="I3137" s="48" t="s">
        <v>2951</v>
      </c>
    </row>
    <row r="3138" spans="2:9" ht="15" customHeight="1" x14ac:dyDescent="0.25">
      <c r="B3138" s="26" t="s">
        <v>464</v>
      </c>
      <c r="C3138" s="1">
        <v>34</v>
      </c>
      <c r="D3138" s="27" t="s">
        <v>3371</v>
      </c>
      <c r="E3138" s="25"/>
      <c r="F3138" s="25" t="str">
        <f>IF(INDEX(I.Gas.Y2C1E3,34)="","",INDEX(I.Gas.Y2C1E3,34))</f>
        <v/>
      </c>
      <c r="G3138" s="25"/>
      <c r="H3138" s="1" t="str">
        <f>IF(AND(I.Product.GasToPowerStatus="Yes",I.Gas.Y2Count&gt;=34,F3138=""),"Incomplete","Complete")</f>
        <v>Complete</v>
      </c>
      <c r="I3138" s="48" t="s">
        <v>2952</v>
      </c>
    </row>
    <row r="3139" spans="2:9" ht="15" customHeight="1" x14ac:dyDescent="0.25">
      <c r="B3139" s="26" t="s">
        <v>464</v>
      </c>
      <c r="C3139" s="1">
        <v>35</v>
      </c>
      <c r="D3139" s="27" t="s">
        <v>3371</v>
      </c>
      <c r="E3139" s="25"/>
      <c r="F3139" s="25" t="str">
        <f>IF(INDEX(I.Gas.Y2C1E3,35)="","",INDEX(I.Gas.Y2C1E3,35))</f>
        <v/>
      </c>
      <c r="G3139" s="25"/>
      <c r="H3139" s="1" t="str">
        <f>IF(AND(I.Product.GasToPowerStatus="Yes",I.Gas.Y2Count&gt;=35,F3139=""),"Incomplete","Complete")</f>
        <v>Complete</v>
      </c>
      <c r="I3139" s="48" t="s">
        <v>2953</v>
      </c>
    </row>
    <row r="3140" spans="2:9" ht="15" customHeight="1" x14ac:dyDescent="0.25">
      <c r="B3140" s="26" t="s">
        <v>464</v>
      </c>
      <c r="C3140" s="1">
        <v>36</v>
      </c>
      <c r="D3140" s="27" t="s">
        <v>3371</v>
      </c>
      <c r="E3140" s="25"/>
      <c r="F3140" s="25" t="str">
        <f>IF(INDEX(I.Gas.Y2C1E3,36)="","",INDEX(I.Gas.Y2C1E3,36))</f>
        <v/>
      </c>
      <c r="G3140" s="25"/>
      <c r="H3140" s="1" t="str">
        <f>IF(AND(I.Product.GasToPowerStatus="Yes",I.Gas.Y2Count&gt;=36,F3140=""),"Incomplete","Complete")</f>
        <v>Complete</v>
      </c>
      <c r="I3140" s="48" t="s">
        <v>2954</v>
      </c>
    </row>
    <row r="3141" spans="2:9" ht="15" customHeight="1" x14ac:dyDescent="0.25">
      <c r="B3141" s="26" t="s">
        <v>464</v>
      </c>
      <c r="C3141" s="1">
        <v>37</v>
      </c>
      <c r="D3141" s="27" t="s">
        <v>3371</v>
      </c>
      <c r="E3141" s="25"/>
      <c r="F3141" s="25" t="str">
        <f>IF(INDEX(I.Gas.Y2C1E3,37)="","",INDEX(I.Gas.Y2C1E3,37))</f>
        <v/>
      </c>
      <c r="G3141" s="25"/>
      <c r="H3141" s="1" t="str">
        <f>IF(AND(I.Product.GasToPowerStatus="Yes",I.Gas.Y2Count&gt;=37,F3141=""),"Incomplete","Complete")</f>
        <v>Complete</v>
      </c>
      <c r="I3141" s="48" t="s">
        <v>2955</v>
      </c>
    </row>
    <row r="3142" spans="2:9" ht="15" customHeight="1" x14ac:dyDescent="0.25">
      <c r="B3142" s="26" t="s">
        <v>464</v>
      </c>
      <c r="C3142" s="1">
        <v>38</v>
      </c>
      <c r="D3142" s="27" t="s">
        <v>3371</v>
      </c>
      <c r="E3142" s="25"/>
      <c r="F3142" s="25" t="str">
        <f>IF(INDEX(I.Gas.Y2C1E3,38)="","",INDEX(I.Gas.Y2C1E3,38))</f>
        <v/>
      </c>
      <c r="G3142" s="25"/>
      <c r="H3142" s="1" t="str">
        <f>IF(AND(I.Product.GasToPowerStatus="Yes",I.Gas.Y2Count&gt;=38,F3142=""),"Incomplete","Complete")</f>
        <v>Complete</v>
      </c>
      <c r="I3142" s="48" t="s">
        <v>2956</v>
      </c>
    </row>
    <row r="3143" spans="2:9" ht="15" customHeight="1" x14ac:dyDescent="0.25">
      <c r="B3143" s="26" t="s">
        <v>464</v>
      </c>
      <c r="C3143" s="1">
        <v>39</v>
      </c>
      <c r="D3143" s="27" t="s">
        <v>3371</v>
      </c>
      <c r="E3143" s="25"/>
      <c r="F3143" s="25" t="str">
        <f>IF(INDEX(I.Gas.Y2C1E3,39)="","",INDEX(I.Gas.Y2C1E3,39))</f>
        <v/>
      </c>
      <c r="G3143" s="25"/>
      <c r="H3143" s="1" t="str">
        <f>IF(AND(I.Product.GasToPowerStatus="Yes",I.Gas.Y2Count&gt;=39,F3143=""),"Incomplete","Complete")</f>
        <v>Complete</v>
      </c>
      <c r="I3143" s="48" t="s">
        <v>2957</v>
      </c>
    </row>
    <row r="3144" spans="2:9" ht="15" customHeight="1" x14ac:dyDescent="0.25">
      <c r="B3144" s="26" t="s">
        <v>464</v>
      </c>
      <c r="C3144" s="1">
        <v>40</v>
      </c>
      <c r="D3144" s="27" t="s">
        <v>3371</v>
      </c>
      <c r="E3144" s="25"/>
      <c r="F3144" s="25" t="str">
        <f>IF(INDEX(I.Gas.Y2C1E3,40)="","",INDEX(I.Gas.Y2C1E3,40))</f>
        <v/>
      </c>
      <c r="G3144" s="25"/>
      <c r="H3144" s="1" t="str">
        <f>IF(AND(I.Product.GasToPowerStatus="Yes",I.Gas.Y2Count&gt;=40,F3144=""),"Incomplete","Complete")</f>
        <v>Complete</v>
      </c>
      <c r="I3144" s="48" t="s">
        <v>2958</v>
      </c>
    </row>
    <row r="3145" spans="2:9" ht="15" customHeight="1" x14ac:dyDescent="0.25">
      <c r="B3145" s="26" t="s">
        <v>464</v>
      </c>
      <c r="C3145" s="1">
        <v>41</v>
      </c>
      <c r="D3145" s="27" t="s">
        <v>3371</v>
      </c>
      <c r="E3145" s="25"/>
      <c r="F3145" s="25" t="str">
        <f>IF(INDEX(I.Gas.Y2C1E3,41)="","",INDEX(I.Gas.Y2C1E3,41))</f>
        <v/>
      </c>
      <c r="G3145" s="25"/>
      <c r="H3145" s="1" t="str">
        <f>IF(AND(I.Product.GasToPowerStatus="Yes",I.Gas.Y2Count&gt;=41,F3145=""),"Incomplete","Complete")</f>
        <v>Complete</v>
      </c>
      <c r="I3145" s="48" t="s">
        <v>2959</v>
      </c>
    </row>
    <row r="3146" spans="2:9" ht="15" customHeight="1" x14ac:dyDescent="0.25">
      <c r="B3146" s="26" t="s">
        <v>464</v>
      </c>
      <c r="C3146" s="1">
        <v>42</v>
      </c>
      <c r="D3146" s="27" t="s">
        <v>3371</v>
      </c>
      <c r="E3146" s="25"/>
      <c r="F3146" s="25" t="str">
        <f>IF(INDEX(I.Gas.Y2C1E3,42)="","",INDEX(I.Gas.Y2C1E3,42))</f>
        <v/>
      </c>
      <c r="G3146" s="25"/>
      <c r="H3146" s="1" t="str">
        <f>IF(AND(I.Product.GasToPowerStatus="Yes",I.Gas.Y2Count&gt;=42,F3146=""),"Incomplete","Complete")</f>
        <v>Complete</v>
      </c>
      <c r="I3146" s="48" t="s">
        <v>2960</v>
      </c>
    </row>
    <row r="3147" spans="2:9" ht="15" customHeight="1" x14ac:dyDescent="0.25">
      <c r="B3147" s="26" t="s">
        <v>464</v>
      </c>
      <c r="C3147" s="1">
        <v>43</v>
      </c>
      <c r="D3147" s="27" t="s">
        <v>3371</v>
      </c>
      <c r="E3147" s="25"/>
      <c r="F3147" s="25" t="str">
        <f>IF(INDEX(I.Gas.Y2C1E3,43)="","",INDEX(I.Gas.Y2C1E3,43))</f>
        <v/>
      </c>
      <c r="G3147" s="25"/>
      <c r="H3147" s="1" t="str">
        <f>IF(AND(I.Product.GasToPowerStatus="Yes",I.Gas.Y2Count&gt;=43,F3147=""),"Incomplete","Complete")</f>
        <v>Complete</v>
      </c>
      <c r="I3147" s="48" t="s">
        <v>2961</v>
      </c>
    </row>
    <row r="3148" spans="2:9" ht="15" customHeight="1" x14ac:dyDescent="0.25">
      <c r="B3148" s="26" t="s">
        <v>464</v>
      </c>
      <c r="C3148" s="1">
        <v>44</v>
      </c>
      <c r="D3148" s="27" t="s">
        <v>3371</v>
      </c>
      <c r="E3148" s="25"/>
      <c r="F3148" s="25" t="str">
        <f>IF(INDEX(I.Gas.Y2C1E3,44)="","",INDEX(I.Gas.Y2C1E3,44))</f>
        <v/>
      </c>
      <c r="G3148" s="25"/>
      <c r="H3148" s="1" t="str">
        <f>IF(AND(I.Product.GasToPowerStatus="Yes",I.Gas.Y2Count&gt;=44,F3148=""),"Incomplete","Complete")</f>
        <v>Complete</v>
      </c>
      <c r="I3148" s="48" t="s">
        <v>2962</v>
      </c>
    </row>
    <row r="3149" spans="2:9" ht="15" customHeight="1" x14ac:dyDescent="0.25">
      <c r="B3149" s="26" t="s">
        <v>464</v>
      </c>
      <c r="C3149" s="1">
        <v>45</v>
      </c>
      <c r="D3149" s="27" t="s">
        <v>3371</v>
      </c>
      <c r="E3149" s="25"/>
      <c r="F3149" s="25" t="str">
        <f>IF(INDEX(I.Gas.Y2C1E3,45)="","",INDEX(I.Gas.Y2C1E3,45))</f>
        <v/>
      </c>
      <c r="G3149" s="25"/>
      <c r="H3149" s="1" t="str">
        <f>IF(AND(I.Product.GasToPowerStatus="Yes",I.Gas.Y2Count&gt;=45,F3149=""),"Incomplete","Complete")</f>
        <v>Complete</v>
      </c>
      <c r="I3149" s="48" t="s">
        <v>2963</v>
      </c>
    </row>
    <row r="3150" spans="2:9" ht="15" customHeight="1" x14ac:dyDescent="0.25">
      <c r="B3150" s="26" t="s">
        <v>464</v>
      </c>
      <c r="C3150" s="1">
        <v>46</v>
      </c>
      <c r="D3150" s="27" t="s">
        <v>3371</v>
      </c>
      <c r="E3150" s="25"/>
      <c r="F3150" s="25" t="str">
        <f>IF(INDEX(I.Gas.Y2C1E3,46)="","",INDEX(I.Gas.Y2C1E3,46))</f>
        <v/>
      </c>
      <c r="G3150" s="25"/>
      <c r="H3150" s="1" t="str">
        <f>IF(AND(I.Product.GasToPowerStatus="Yes",I.Gas.Y2Count&gt;=46,F3150=""),"Incomplete","Complete")</f>
        <v>Complete</v>
      </c>
      <c r="I3150" s="48" t="s">
        <v>2964</v>
      </c>
    </row>
    <row r="3151" spans="2:9" ht="15" customHeight="1" x14ac:dyDescent="0.25">
      <c r="B3151" s="26" t="s">
        <v>464</v>
      </c>
      <c r="C3151" s="1">
        <v>47</v>
      </c>
      <c r="D3151" s="27" t="s">
        <v>3371</v>
      </c>
      <c r="E3151" s="25"/>
      <c r="F3151" s="25" t="str">
        <f>IF(INDEX(I.Gas.Y2C1E3,47)="","",INDEX(I.Gas.Y2C1E3,47))</f>
        <v/>
      </c>
      <c r="G3151" s="25"/>
      <c r="H3151" s="1" t="str">
        <f>IF(AND(I.Product.GasToPowerStatus="Yes",I.Gas.Y2Count&gt;=47,F3151=""),"Incomplete","Complete")</f>
        <v>Complete</v>
      </c>
      <c r="I3151" s="48" t="s">
        <v>2965</v>
      </c>
    </row>
    <row r="3152" spans="2:9" ht="15" customHeight="1" x14ac:dyDescent="0.25">
      <c r="B3152" s="26" t="s">
        <v>464</v>
      </c>
      <c r="C3152" s="1">
        <v>48</v>
      </c>
      <c r="D3152" s="27" t="s">
        <v>3371</v>
      </c>
      <c r="E3152" s="25"/>
      <c r="F3152" s="25" t="str">
        <f>IF(INDEX(I.Gas.Y2C1E3,48)="","",INDEX(I.Gas.Y2C1E3,48))</f>
        <v/>
      </c>
      <c r="G3152" s="25"/>
      <c r="H3152" s="1" t="str">
        <f>IF(AND(I.Product.GasToPowerStatus="Yes",I.Gas.Y2Count&gt;=48,F3152=""),"Incomplete","Complete")</f>
        <v>Complete</v>
      </c>
      <c r="I3152" s="48" t="s">
        <v>2966</v>
      </c>
    </row>
    <row r="3153" spans="2:9" ht="15" customHeight="1" x14ac:dyDescent="0.25">
      <c r="B3153" s="26" t="s">
        <v>464</v>
      </c>
      <c r="C3153" s="1">
        <v>49</v>
      </c>
      <c r="D3153" s="27" t="s">
        <v>3371</v>
      </c>
      <c r="E3153" s="25"/>
      <c r="F3153" s="25" t="str">
        <f>IF(INDEX(I.Gas.Y2C1E3,49)="","",INDEX(I.Gas.Y2C1E3,49))</f>
        <v/>
      </c>
      <c r="G3153" s="25"/>
      <c r="H3153" s="1" t="str">
        <f>IF(AND(I.Product.GasToPowerStatus="Yes",I.Gas.Y2Count&gt;=49,F3153=""),"Incomplete","Complete")</f>
        <v>Complete</v>
      </c>
      <c r="I3153" s="48" t="s">
        <v>2967</v>
      </c>
    </row>
    <row r="3154" spans="2:9" ht="15" customHeight="1" x14ac:dyDescent="0.25">
      <c r="B3154" s="34" t="s">
        <v>464</v>
      </c>
      <c r="C3154" s="35">
        <v>50</v>
      </c>
      <c r="D3154" s="46" t="s">
        <v>3371</v>
      </c>
      <c r="E3154" s="45"/>
      <c r="F3154" s="45" t="str">
        <f>IF(INDEX(I.Gas.Y2C1E3,50)="","",INDEX(I.Gas.Y2C1E3,50))</f>
        <v/>
      </c>
      <c r="G3154" s="45"/>
      <c r="H3154" s="35" t="str">
        <f>IF(AND(I.Product.GasToPowerStatus="Yes",I.Gas.Y2Count&gt;=50,F3154=""),"Incomplete","Complete")</f>
        <v>Complete</v>
      </c>
      <c r="I3154" s="49" t="s">
        <v>2968</v>
      </c>
    </row>
    <row r="3155" spans="2:9" ht="15" customHeight="1" x14ac:dyDescent="0.25">
      <c r="B3155" s="26" t="s">
        <v>465</v>
      </c>
      <c r="C3155" s="1">
        <v>1</v>
      </c>
      <c r="D3155" s="27" t="s">
        <v>3063</v>
      </c>
      <c r="E3155" s="27"/>
      <c r="F3155" s="1" t="str">
        <f>IF(INDEX(I.Declaration.Name,1)="","",INDEX(I.Declaration.Name,1))</f>
        <v/>
      </c>
      <c r="G3155" s="27"/>
      <c r="H3155" s="1" t="str">
        <f>IF(INDEX(I.Declaration.Name,1)="","Incomplete","Complete")</f>
        <v>Incomplete</v>
      </c>
      <c r="I3155" s="48" t="s">
        <v>1131</v>
      </c>
    </row>
    <row r="3156" spans="2:9" ht="15" customHeight="1" x14ac:dyDescent="0.25">
      <c r="B3156" s="34" t="s">
        <v>466</v>
      </c>
      <c r="C3156" s="35">
        <v>1</v>
      </c>
      <c r="D3156" s="46" t="s">
        <v>3372</v>
      </c>
      <c r="E3156" s="36"/>
      <c r="F3156" s="36" t="str">
        <f>IF(INDEX(I.Declaration.Date,1)="","",INDEX(I.Declaration.Date,1))</f>
        <v/>
      </c>
      <c r="G3156" s="36"/>
      <c r="H3156" s="35" t="str">
        <f>IF(INDEX(I.Declaration.Date,1)="","Incomplete","Complete")</f>
        <v>Incomplete</v>
      </c>
      <c r="I3156" s="49" t="s">
        <v>1132</v>
      </c>
    </row>
    <row r="3157" spans="2:9" ht="15" customHeight="1" x14ac:dyDescent="0.25">
      <c r="B3157" s="26" t="s">
        <v>467</v>
      </c>
      <c r="C3157" s="1">
        <v>1</v>
      </c>
      <c r="D3157" s="27" t="s">
        <v>3373</v>
      </c>
      <c r="E3157" s="64"/>
      <c r="F3157" s="65"/>
      <c r="G3157" s="64"/>
      <c r="I3157" s="48"/>
    </row>
    <row r="3158" spans="2:9" ht="15" customHeight="1" x14ac:dyDescent="0.25">
      <c r="B3158" s="26" t="s">
        <v>468</v>
      </c>
      <c r="C3158" s="1">
        <v>1</v>
      </c>
      <c r="D3158" s="27" t="s">
        <v>3374</v>
      </c>
      <c r="E3158" s="25"/>
      <c r="F3158" s="58"/>
      <c r="G3158" s="25"/>
      <c r="I3158" s="48"/>
    </row>
    <row r="3159" spans="2:9" ht="15" customHeight="1" x14ac:dyDescent="0.25">
      <c r="B3159" s="26" t="s">
        <v>469</v>
      </c>
      <c r="C3159" s="1">
        <v>1</v>
      </c>
      <c r="D3159" s="27" t="s">
        <v>3375</v>
      </c>
      <c r="E3159" s="25"/>
      <c r="F3159" s="58"/>
      <c r="G3159" s="25"/>
      <c r="I3159" s="48"/>
    </row>
    <row r="3160" spans="2:9" ht="15" customHeight="1" x14ac:dyDescent="0.25">
      <c r="B3160" s="26" t="s">
        <v>470</v>
      </c>
      <c r="C3160" s="1">
        <v>1</v>
      </c>
      <c r="D3160" s="27" t="s">
        <v>3376</v>
      </c>
      <c r="E3160" s="25"/>
      <c r="F3160" s="58"/>
      <c r="G3160" s="25"/>
      <c r="I3160" s="48"/>
    </row>
    <row r="3161" spans="2:9" ht="15" customHeight="1" x14ac:dyDescent="0.25">
      <c r="B3161" s="26" t="s">
        <v>471</v>
      </c>
      <c r="C3161" s="1">
        <v>1</v>
      </c>
      <c r="D3161" s="27" t="s">
        <v>3377</v>
      </c>
      <c r="E3161" s="25"/>
      <c r="F3161" s="58"/>
      <c r="G3161" s="25"/>
      <c r="I3161" s="48"/>
    </row>
    <row r="3162" spans="2:9" ht="15" customHeight="1" x14ac:dyDescent="0.25">
      <c r="B3162" s="26" t="s">
        <v>472</v>
      </c>
      <c r="C3162" s="1">
        <v>1</v>
      </c>
      <c r="D3162" s="27" t="s">
        <v>3378</v>
      </c>
      <c r="E3162" s="25"/>
      <c r="F3162" s="58"/>
      <c r="G3162" s="25"/>
      <c r="I3162" s="48"/>
    </row>
    <row r="3163" spans="2:9" ht="15" customHeight="1" x14ac:dyDescent="0.25">
      <c r="B3163" s="26" t="s">
        <v>473</v>
      </c>
      <c r="C3163" s="1">
        <v>1</v>
      </c>
      <c r="D3163" s="27" t="s">
        <v>3379</v>
      </c>
      <c r="E3163" s="25"/>
      <c r="F3163" s="58"/>
      <c r="G3163" s="25"/>
      <c r="I3163" s="48"/>
    </row>
    <row r="3164" spans="2:9" ht="15" customHeight="1" x14ac:dyDescent="0.25">
      <c r="B3164" s="26" t="s">
        <v>474</v>
      </c>
      <c r="C3164" s="1">
        <v>1</v>
      </c>
      <c r="D3164" s="27" t="s">
        <v>3380</v>
      </c>
      <c r="E3164" s="25"/>
      <c r="F3164" s="58"/>
      <c r="G3164" s="25"/>
      <c r="I3164" s="48"/>
    </row>
    <row r="3165" spans="2:9" ht="15" customHeight="1" x14ac:dyDescent="0.25">
      <c r="B3165" s="34" t="s">
        <v>475</v>
      </c>
      <c r="C3165" s="35">
        <v>1</v>
      </c>
      <c r="D3165" s="46" t="s">
        <v>3381</v>
      </c>
      <c r="E3165" s="45"/>
      <c r="F3165" s="59"/>
      <c r="G3165" s="45"/>
      <c r="H3165" s="35"/>
      <c r="I3165" s="49"/>
    </row>
    <row r="3166" spans="2:9" ht="15" customHeight="1" x14ac:dyDescent="0.25">
      <c r="B3166" s="26" t="s">
        <v>476</v>
      </c>
      <c r="C3166" s="1">
        <v>1</v>
      </c>
      <c r="D3166" s="27" t="s">
        <v>3382</v>
      </c>
      <c r="E3166" s="25"/>
      <c r="F3166" s="58"/>
      <c r="G3166" s="25"/>
      <c r="I3166" s="48"/>
    </row>
    <row r="3167" spans="2:9" ht="15" customHeight="1" x14ac:dyDescent="0.25">
      <c r="B3167" s="26" t="s">
        <v>477</v>
      </c>
      <c r="C3167" s="1">
        <v>1</v>
      </c>
      <c r="D3167" s="27" t="s">
        <v>3383</v>
      </c>
      <c r="E3167" s="25"/>
      <c r="F3167" s="58"/>
      <c r="G3167" s="25"/>
      <c r="I3167" s="48"/>
    </row>
    <row r="3168" spans="2:9" ht="15" customHeight="1" x14ac:dyDescent="0.25">
      <c r="B3168" s="26" t="s">
        <v>478</v>
      </c>
      <c r="C3168" s="1">
        <v>1</v>
      </c>
      <c r="D3168" s="27" t="s">
        <v>3384</v>
      </c>
      <c r="E3168" s="25"/>
      <c r="F3168" s="58"/>
      <c r="G3168" s="25"/>
      <c r="I3168" s="48"/>
    </row>
    <row r="3169" spans="2:9" ht="15" customHeight="1" x14ac:dyDescent="0.25">
      <c r="B3169" s="26" t="s">
        <v>479</v>
      </c>
      <c r="C3169" s="1">
        <v>1</v>
      </c>
      <c r="D3169" s="27" t="s">
        <v>3385</v>
      </c>
      <c r="E3169" s="25"/>
      <c r="F3169" s="58"/>
      <c r="G3169" s="25"/>
      <c r="I3169" s="48"/>
    </row>
    <row r="3170" spans="2:9" ht="15" customHeight="1" x14ac:dyDescent="0.25">
      <c r="B3170" s="26" t="s">
        <v>480</v>
      </c>
      <c r="C3170" s="1">
        <v>1</v>
      </c>
      <c r="D3170" s="27" t="s">
        <v>3386</v>
      </c>
      <c r="E3170" s="25"/>
      <c r="F3170" s="58"/>
      <c r="G3170" s="25"/>
      <c r="I3170" s="48"/>
    </row>
    <row r="3171" spans="2:9" ht="15" customHeight="1" x14ac:dyDescent="0.25">
      <c r="B3171" s="26" t="s">
        <v>481</v>
      </c>
      <c r="C3171" s="1">
        <v>1</v>
      </c>
      <c r="D3171" s="27" t="s">
        <v>3387</v>
      </c>
      <c r="E3171" s="25"/>
      <c r="F3171" s="58"/>
      <c r="G3171" s="25"/>
      <c r="I3171" s="48"/>
    </row>
    <row r="3172" spans="2:9" ht="15" customHeight="1" x14ac:dyDescent="0.25">
      <c r="B3172" s="26" t="s">
        <v>482</v>
      </c>
      <c r="C3172" s="1">
        <v>1</v>
      </c>
      <c r="D3172" s="27" t="s">
        <v>3388</v>
      </c>
      <c r="E3172" s="25"/>
      <c r="F3172" s="58"/>
      <c r="G3172" s="25"/>
      <c r="I3172" s="48"/>
    </row>
    <row r="3173" spans="2:9" ht="15" customHeight="1" x14ac:dyDescent="0.25">
      <c r="B3173" s="26" t="s">
        <v>483</v>
      </c>
      <c r="C3173" s="1">
        <v>1</v>
      </c>
      <c r="D3173" s="27" t="s">
        <v>3389</v>
      </c>
      <c r="E3173" s="25"/>
      <c r="F3173" s="58"/>
      <c r="G3173" s="25"/>
      <c r="I3173" s="48"/>
    </row>
    <row r="3174" spans="2:9" ht="15" customHeight="1" x14ac:dyDescent="0.25">
      <c r="B3174" s="34" t="s">
        <v>484</v>
      </c>
      <c r="C3174" s="35">
        <v>1</v>
      </c>
      <c r="D3174" s="46" t="s">
        <v>3390</v>
      </c>
      <c r="E3174" s="45"/>
      <c r="F3174" s="59"/>
      <c r="G3174" s="45"/>
      <c r="H3174" s="35"/>
      <c r="I3174" s="49"/>
    </row>
    <row r="3175" spans="2:9" ht="15" customHeight="1" x14ac:dyDescent="0.25">
      <c r="B3175" s="26" t="s">
        <v>485</v>
      </c>
      <c r="C3175" s="1">
        <v>1</v>
      </c>
      <c r="D3175" s="27" t="s">
        <v>3391</v>
      </c>
      <c r="E3175" s="57"/>
      <c r="F3175" s="60"/>
      <c r="G3175" s="57"/>
      <c r="I3175" s="48"/>
    </row>
    <row r="3176" spans="2:9" ht="15" customHeight="1" x14ac:dyDescent="0.25">
      <c r="B3176" s="26" t="s">
        <v>486</v>
      </c>
      <c r="C3176" s="1">
        <v>1</v>
      </c>
      <c r="D3176" s="27" t="s">
        <v>3392</v>
      </c>
      <c r="E3176" s="57"/>
      <c r="F3176" s="60"/>
      <c r="G3176" s="57"/>
      <c r="I3176" s="48"/>
    </row>
    <row r="3177" spans="2:9" ht="15" customHeight="1" x14ac:dyDescent="0.25">
      <c r="B3177" s="26" t="s">
        <v>487</v>
      </c>
      <c r="C3177" s="1">
        <v>1</v>
      </c>
      <c r="D3177" s="27" t="s">
        <v>3393</v>
      </c>
      <c r="E3177" s="57"/>
      <c r="F3177" s="60"/>
      <c r="G3177" s="57"/>
      <c r="I3177" s="48"/>
    </row>
    <row r="3178" spans="2:9" ht="15" customHeight="1" x14ac:dyDescent="0.25">
      <c r="B3178" s="26" t="s">
        <v>488</v>
      </c>
      <c r="C3178" s="1">
        <v>1</v>
      </c>
      <c r="D3178" s="27" t="s">
        <v>3394</v>
      </c>
      <c r="E3178" s="57"/>
      <c r="F3178" s="60"/>
      <c r="G3178" s="57"/>
      <c r="I3178" s="48"/>
    </row>
    <row r="3179" spans="2:9" ht="15" customHeight="1" x14ac:dyDescent="0.25">
      <c r="B3179" s="26" t="s">
        <v>489</v>
      </c>
      <c r="C3179" s="1">
        <v>1</v>
      </c>
      <c r="D3179" s="27" t="s">
        <v>3395</v>
      </c>
      <c r="E3179" s="57"/>
      <c r="F3179" s="60"/>
      <c r="G3179" s="57"/>
      <c r="I3179" s="48"/>
    </row>
    <row r="3180" spans="2:9" ht="15" customHeight="1" x14ac:dyDescent="0.25">
      <c r="B3180" s="26" t="s">
        <v>490</v>
      </c>
      <c r="C3180" s="1">
        <v>1</v>
      </c>
      <c r="D3180" s="27" t="s">
        <v>3396</v>
      </c>
      <c r="E3180" s="57"/>
      <c r="F3180" s="60"/>
      <c r="G3180" s="57"/>
      <c r="I3180" s="48"/>
    </row>
    <row r="3181" spans="2:9" ht="15" customHeight="1" x14ac:dyDescent="0.25">
      <c r="B3181" s="26" t="s">
        <v>491</v>
      </c>
      <c r="C3181" s="1">
        <v>1</v>
      </c>
      <c r="D3181" s="27" t="s">
        <v>3397</v>
      </c>
      <c r="E3181" s="57"/>
      <c r="F3181" s="60"/>
      <c r="G3181" s="57"/>
      <c r="I3181" s="48"/>
    </row>
    <row r="3182" spans="2:9" ht="15" customHeight="1" x14ac:dyDescent="0.25">
      <c r="B3182" s="26" t="s">
        <v>492</v>
      </c>
      <c r="C3182" s="1">
        <v>1</v>
      </c>
      <c r="D3182" s="27" t="s">
        <v>3398</v>
      </c>
      <c r="E3182" s="57"/>
      <c r="F3182" s="60"/>
      <c r="G3182" s="57"/>
      <c r="I3182" s="48"/>
    </row>
    <row r="3183" spans="2:9" ht="15" customHeight="1" x14ac:dyDescent="0.25">
      <c r="B3183" s="34" t="s">
        <v>493</v>
      </c>
      <c r="C3183" s="35">
        <v>1</v>
      </c>
      <c r="D3183" s="46" t="s">
        <v>3399</v>
      </c>
      <c r="E3183" s="45"/>
      <c r="F3183" s="59"/>
      <c r="G3183" s="45"/>
      <c r="H3183" s="35"/>
      <c r="I3183" s="49"/>
    </row>
    <row r="3184" spans="2:9" ht="15" customHeight="1" x14ac:dyDescent="0.25">
      <c r="B3184" s="26" t="s">
        <v>494</v>
      </c>
      <c r="C3184" s="1">
        <v>1</v>
      </c>
      <c r="D3184" s="27" t="s">
        <v>3400</v>
      </c>
      <c r="E3184" s="57"/>
      <c r="F3184" s="60"/>
      <c r="G3184" s="57"/>
      <c r="I3184" s="48"/>
    </row>
    <row r="3185" spans="2:9" ht="15" customHeight="1" x14ac:dyDescent="0.25">
      <c r="B3185" s="26" t="s">
        <v>495</v>
      </c>
      <c r="C3185" s="1">
        <v>1</v>
      </c>
      <c r="D3185" s="27" t="s">
        <v>3401</v>
      </c>
      <c r="E3185" s="57"/>
      <c r="F3185" s="60"/>
      <c r="G3185" s="57"/>
      <c r="I3185" s="48"/>
    </row>
    <row r="3186" spans="2:9" ht="15" customHeight="1" x14ac:dyDescent="0.25">
      <c r="B3186" s="26" t="s">
        <v>496</v>
      </c>
      <c r="C3186" s="1">
        <v>1</v>
      </c>
      <c r="D3186" s="27" t="s">
        <v>3402</v>
      </c>
      <c r="E3186" s="57"/>
      <c r="F3186" s="60"/>
      <c r="G3186" s="57"/>
      <c r="I3186" s="48"/>
    </row>
    <row r="3187" spans="2:9" ht="15" customHeight="1" x14ac:dyDescent="0.25">
      <c r="B3187" s="26" t="s">
        <v>497</v>
      </c>
      <c r="C3187" s="1">
        <v>1</v>
      </c>
      <c r="D3187" s="27" t="s">
        <v>3403</v>
      </c>
      <c r="E3187" s="57"/>
      <c r="F3187" s="60"/>
      <c r="G3187" s="57"/>
      <c r="I3187" s="48"/>
    </row>
    <row r="3188" spans="2:9" ht="15" customHeight="1" x14ac:dyDescent="0.25">
      <c r="B3188" s="26" t="s">
        <v>498</v>
      </c>
      <c r="C3188" s="1">
        <v>1</v>
      </c>
      <c r="D3188" s="27" t="s">
        <v>3404</v>
      </c>
      <c r="E3188" s="57"/>
      <c r="F3188" s="60"/>
      <c r="G3188" s="57"/>
      <c r="I3188" s="48"/>
    </row>
    <row r="3189" spans="2:9" ht="15" customHeight="1" x14ac:dyDescent="0.25">
      <c r="B3189" s="26" t="s">
        <v>499</v>
      </c>
      <c r="C3189" s="1">
        <v>1</v>
      </c>
      <c r="D3189" s="27" t="s">
        <v>3405</v>
      </c>
      <c r="E3189" s="57"/>
      <c r="F3189" s="60"/>
      <c r="G3189" s="57"/>
      <c r="I3189" s="48"/>
    </row>
    <row r="3190" spans="2:9" ht="15" customHeight="1" x14ac:dyDescent="0.25">
      <c r="B3190" s="26" t="s">
        <v>500</v>
      </c>
      <c r="C3190" s="1">
        <v>1</v>
      </c>
      <c r="D3190" s="27" t="s">
        <v>3406</v>
      </c>
      <c r="E3190" s="57"/>
      <c r="F3190" s="60"/>
      <c r="G3190" s="57"/>
      <c r="I3190" s="48"/>
    </row>
    <row r="3191" spans="2:9" ht="15" customHeight="1" x14ac:dyDescent="0.25">
      <c r="B3191" s="26" t="s">
        <v>501</v>
      </c>
      <c r="C3191" s="1">
        <v>1</v>
      </c>
      <c r="D3191" s="27" t="s">
        <v>3407</v>
      </c>
      <c r="E3191" s="57"/>
      <c r="F3191" s="60"/>
      <c r="G3191" s="57"/>
      <c r="I3191" s="48"/>
    </row>
    <row r="3192" spans="2:9" ht="15" customHeight="1" x14ac:dyDescent="0.25">
      <c r="B3192" s="34" t="s">
        <v>502</v>
      </c>
      <c r="C3192" s="35">
        <v>1</v>
      </c>
      <c r="D3192" s="46" t="s">
        <v>3408</v>
      </c>
      <c r="E3192" s="45"/>
      <c r="F3192" s="59"/>
      <c r="G3192" s="45"/>
      <c r="H3192" s="35"/>
      <c r="I3192" s="49"/>
    </row>
    <row r="3193" spans="2:9" ht="15" customHeight="1" x14ac:dyDescent="0.25">
      <c r="B3193" s="26" t="s">
        <v>503</v>
      </c>
      <c r="C3193" s="1">
        <v>1</v>
      </c>
      <c r="D3193" s="27" t="s">
        <v>3409</v>
      </c>
      <c r="E3193" s="57"/>
      <c r="F3193" s="60"/>
      <c r="G3193" s="57"/>
      <c r="I3193" s="48"/>
    </row>
    <row r="3194" spans="2:9" ht="15" customHeight="1" x14ac:dyDescent="0.25">
      <c r="B3194" s="26" t="s">
        <v>504</v>
      </c>
      <c r="C3194" s="1">
        <v>1</v>
      </c>
      <c r="D3194" s="27" t="s">
        <v>3410</v>
      </c>
      <c r="E3194" s="57"/>
      <c r="F3194" s="60"/>
      <c r="G3194" s="57"/>
      <c r="I3194" s="48"/>
    </row>
    <row r="3195" spans="2:9" ht="15" customHeight="1" x14ac:dyDescent="0.25">
      <c r="B3195" s="26" t="s">
        <v>505</v>
      </c>
      <c r="C3195" s="1">
        <v>1</v>
      </c>
      <c r="D3195" s="27" t="s">
        <v>3411</v>
      </c>
      <c r="E3195" s="25"/>
      <c r="F3195" s="58"/>
      <c r="G3195" s="25"/>
      <c r="I3195" s="48"/>
    </row>
    <row r="3196" spans="2:9" ht="15" customHeight="1" x14ac:dyDescent="0.25">
      <c r="B3196" s="26" t="s">
        <v>506</v>
      </c>
      <c r="C3196" s="1">
        <v>1</v>
      </c>
      <c r="D3196" s="27" t="s">
        <v>3412</v>
      </c>
      <c r="E3196" s="25"/>
      <c r="F3196" s="58"/>
      <c r="G3196" s="25"/>
      <c r="I3196" s="48"/>
    </row>
    <row r="3197" spans="2:9" ht="15" customHeight="1" x14ac:dyDescent="0.25">
      <c r="B3197" s="26" t="s">
        <v>507</v>
      </c>
      <c r="C3197" s="1">
        <v>1</v>
      </c>
      <c r="D3197" s="27" t="s">
        <v>3413</v>
      </c>
      <c r="E3197" s="25"/>
      <c r="F3197" s="58"/>
      <c r="G3197" s="25"/>
      <c r="I3197" s="48"/>
    </row>
    <row r="3198" spans="2:9" ht="15" customHeight="1" x14ac:dyDescent="0.25">
      <c r="B3198" s="26" t="s">
        <v>508</v>
      </c>
      <c r="C3198" s="1">
        <v>1</v>
      </c>
      <c r="D3198" s="27" t="s">
        <v>3414</v>
      </c>
      <c r="E3198" s="25"/>
      <c r="F3198" s="58"/>
      <c r="G3198" s="25"/>
      <c r="I3198" s="48"/>
    </row>
    <row r="3199" spans="2:9" ht="15" customHeight="1" x14ac:dyDescent="0.25">
      <c r="B3199" s="26" t="s">
        <v>509</v>
      </c>
      <c r="C3199" s="1">
        <v>1</v>
      </c>
      <c r="D3199" s="27" t="s">
        <v>3415</v>
      </c>
      <c r="E3199" s="25"/>
      <c r="F3199" s="58"/>
      <c r="G3199" s="25"/>
      <c r="I3199" s="48"/>
    </row>
    <row r="3200" spans="2:9" ht="15" customHeight="1" x14ac:dyDescent="0.25">
      <c r="B3200" s="26" t="s">
        <v>510</v>
      </c>
      <c r="C3200" s="1">
        <v>1</v>
      </c>
      <c r="D3200" s="27" t="s">
        <v>3416</v>
      </c>
      <c r="E3200" s="25"/>
      <c r="F3200" s="58"/>
      <c r="G3200" s="25"/>
      <c r="I3200" s="48"/>
    </row>
    <row r="3201" spans="2:9" ht="15" customHeight="1" x14ac:dyDescent="0.25">
      <c r="B3201" s="39" t="s">
        <v>511</v>
      </c>
      <c r="C3201" s="40">
        <v>1</v>
      </c>
      <c r="D3201" s="84" t="s">
        <v>3417</v>
      </c>
      <c r="E3201" s="56"/>
      <c r="F3201" s="61"/>
      <c r="G3201" s="56"/>
      <c r="H3201" s="40"/>
      <c r="I3201" s="50"/>
    </row>
  </sheetData>
  <sheetProtection algorithmName="SHA-512" hashValue="FfoR1trnhCVEfjHYNhwlh8acYVx4QHblRyxJHJhYawmed+33vzTrSQtizrVkwJsG5XueKHsqyv12BWbCSNjMxg==" saltValue="7izcKNlATZDxJAdK5orA5g==" spinCount="100000" sheet="1" objects="1" scenarios="1"/>
  <phoneticPr fontId="3"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4B46FDE-A1E4-431D-A0B2-8F9CC06317FF}">
  <ds:schemaRefs>
    <ds:schemaRef ds:uri="http://schemas.microsoft.com/sharepoint/v3/contenttype/forms"/>
  </ds:schemaRefs>
</ds:datastoreItem>
</file>

<file path=customXml/itemProps2.xml><?xml version="1.0" encoding="utf-8"?>
<ds:datastoreItem xmlns:ds="http://schemas.openxmlformats.org/officeDocument/2006/customXml" ds:itemID="{C65C68EA-63DC-43E5-B328-E011B8186234}">
  <ds:schemaRefs>
    <ds:schemaRef ds:uri="http://www.w3.org/XML/1998/namespace"/>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a20525aa-aa8a-4bba-979a-5db41298085f"/>
    <ds:schemaRef ds:uri="http://purl.org/dc/terms/"/>
    <ds:schemaRef ds:uri="http://schemas.microsoft.com/office/infopath/2007/PartnerControls"/>
    <ds:schemaRef ds:uri="bc1d42ac-7b64-45cd-9065-b9f493686385"/>
    <ds:schemaRef ds:uri="http://purl.org/dc/dcmitype/"/>
  </ds:schemaRefs>
</ds:datastoreItem>
</file>

<file path=customXml/itemProps3.xml><?xml version="1.0" encoding="utf-8"?>
<ds:datastoreItem xmlns:ds="http://schemas.openxmlformats.org/officeDocument/2006/customXml" ds:itemID="{C985F2BD-B901-49A8-BA73-A95BD29D3E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Facility Information</vt:lpstr>
      <vt:lpstr>Product Information</vt:lpstr>
      <vt:lpstr>Production Data</vt:lpstr>
      <vt:lpstr>Electricity Data</vt:lpstr>
      <vt:lpstr>Gas-to-Power Data</vt:lpstr>
      <vt:lpstr>Summary</vt:lpstr>
      <vt:lpstr>Declaration</vt:lpstr>
      <vt:lpstr>Appendix</vt:lpstr>
    </vt:vector>
  </TitlesOfParts>
  <Company>Government of Saskatchewan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Environment</dc:creator>
  <cp:lastModifiedBy>Kot, Aimee ENV</cp:lastModifiedBy>
  <cp:lastPrinted>2023-10-18T15:02:57Z</cp:lastPrinted>
  <dcterms:created xsi:type="dcterms:W3CDTF">2022-01-27T17:49:17Z</dcterms:created>
  <dcterms:modified xsi:type="dcterms:W3CDTF">2024-02-07T15:52:20Z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15e697-1c31-4156-8581-01c5d1e29c65_Enabled">
    <vt:lpwstr>true</vt:lpwstr>
  </property>
  <property fmtid="{D5CDD505-2E9C-101B-9397-08002B2CF9AE}" pid="3" name="MSIP_Label_9715e697-1c31-4156-8581-01c5d1e29c65_SetDate">
    <vt:lpwstr>2024-02-07T14:33:04Z</vt:lpwstr>
  </property>
  <property fmtid="{D5CDD505-2E9C-101B-9397-08002B2CF9AE}" pid="4" name="MSIP_Label_9715e697-1c31-4156-8581-01c5d1e29c65_Method">
    <vt:lpwstr>Standard</vt:lpwstr>
  </property>
  <property fmtid="{D5CDD505-2E9C-101B-9397-08002B2CF9AE}" pid="5" name="MSIP_Label_9715e697-1c31-4156-8581-01c5d1e29c65_Name">
    <vt:lpwstr>Not Classified</vt:lpwstr>
  </property>
  <property fmtid="{D5CDD505-2E9C-101B-9397-08002B2CF9AE}" pid="6" name="MSIP_Label_9715e697-1c31-4156-8581-01c5d1e29c65_SiteId">
    <vt:lpwstr>cf4e8a24-641b-40d2-905e-9a328b644fab</vt:lpwstr>
  </property>
  <property fmtid="{D5CDD505-2E9C-101B-9397-08002B2CF9AE}" pid="7" name="MSIP_Label_9715e697-1c31-4156-8581-01c5d1e29c65_ActionId">
    <vt:lpwstr>eb8d630f-6993-46f9-a08f-c8095efaf982</vt:lpwstr>
  </property>
  <property fmtid="{D5CDD505-2E9C-101B-9397-08002B2CF9AE}" pid="8" name="MSIP_Label_9715e697-1c31-4156-8581-01c5d1e29c65_ContentBits">
    <vt:lpwstr>0</vt:lpwstr>
  </property>
  <property fmtid="{D5CDD505-2E9C-101B-9397-08002B2CF9AE}" pid="9" name="ContentTypeId">
    <vt:lpwstr>0x0101008AB6D0E600912F43A06780007612B3BE</vt:lpwstr>
  </property>
</Properties>
</file>