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51.xml" ContentType="application/vnd.ms-excel.controlproperties+xml"/>
  <Override PartName="/xl/drawings/drawing1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python.xml" ContentType="application/vnd.ms-excel.pytho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codeName="{899C9086-67A9-5B14-2C2D-5A8001700F7D}"/>
  <workbookPr codeName="ThisWorkbook" defaultThemeVersion="166925"/>
  <mc:AlternateContent xmlns:mc="http://schemas.openxmlformats.org/markup-compatibility/2006">
    <mc:Choice Requires="x15">
      <x15ac:absPath xmlns:x15ac="http://schemas.microsoft.com/office/spreadsheetml/2010/11/ac" url="G:\Climate Change\ORS\0500 OBPS\0511 Forms\Aggregate emissions return\"/>
    </mc:Choice>
  </mc:AlternateContent>
  <xr:revisionPtr revIDLastSave="0" documentId="13_ncr:1_{CB254FC0-4713-4E83-9F43-DE01529804CB}" xr6:coauthVersionLast="47" xr6:coauthVersionMax="47" xr10:uidLastSave="{00000000-0000-0000-0000-000000000000}"/>
  <workbookProtection workbookAlgorithmName="SHA-512" workbookHashValue="ulOJHzitnYSudEtDTicEo33D+GGME5S64V5QLd+pfSyBsnEnuP2bDlIL+tqcm6EaBr7M7zVRRLaj9/HAmWAwDg==" workbookSaltValue="LSYopiDAHkD4rKt0B+gAgg==" workbookSpinCount="100000" lockStructure="1"/>
  <bookViews>
    <workbookView xWindow="-120" yWindow="-120" windowWidth="25440" windowHeight="15270" tabRatio="798" xr2:uid="{9AAB55E7-8A91-4968-A12A-B3D8459452AD}"/>
  </bookViews>
  <sheets>
    <sheet name="Instructions" sheetId="1" r:id="rId1"/>
    <sheet name="Facility Information" sheetId="2" r:id="rId2"/>
    <sheet name="Product Information" sheetId="3" state="hidden" r:id="rId3"/>
    <sheet name="Production Data" sheetId="4" state="hidden" r:id="rId4"/>
    <sheet name="Electricity Data" sheetId="5" state="hidden" r:id="rId5"/>
    <sheet name="Gas-to-Power Data" sheetId="6" state="hidden" r:id="rId6"/>
    <sheet name="Drilling Data" sheetId="11" state="hidden" r:id="rId7"/>
    <sheet name="Compliance" sheetId="12" state="hidden" r:id="rId8"/>
    <sheet name="Declaration" sheetId="8" r:id="rId9"/>
    <sheet name="Appendix" sheetId="9" r:id="rId10"/>
    <sheet name="Developer" sheetId="10" state="veryHidden" r:id="rId11"/>
  </sheets>
  <definedNames>
    <definedName name="I.Compliance.P1BaselineEmissionsIntensity" hidden="1">Compliance!$D$19</definedName>
    <definedName name="I.Compliance.P1GTPBaselineEmissionsIntensity" hidden="1">Compliance!$D$29</definedName>
    <definedName name="I.Compliance.P1GTPReductionPeriod" hidden="1">Compliance!$D$27</definedName>
    <definedName name="I.Compliance.P1ReductionPeriod" hidden="1">Compliance!$D$17</definedName>
    <definedName name="I.Compliance.P2aBaselineEmissionsIntensity" hidden="1">Compliance!$D$47</definedName>
    <definedName name="I.Compliance.P2aGTPBaselineEmissionsIntensity" hidden="1">Compliance!$D$57</definedName>
    <definedName name="I.Compliance.P2aGTPReductionPeriod" hidden="1">Compliance!$D$55</definedName>
    <definedName name="I.Compliance.P2aReductionPeriod" hidden="1">Compliance!$D$45</definedName>
    <definedName name="I.Compliance.P2bBaselineEmissionsIntensity" hidden="1">Compliance!$D$75</definedName>
    <definedName name="I.Compliance.P2bGTPBaselineEmissionsIntensity" hidden="1">Compliance!$D$85</definedName>
    <definedName name="I.Compliance.P2bGTPReductionPeriod" hidden="1">Compliance!$D$83</definedName>
    <definedName name="I.Compliance.P2bReductionPeriod" hidden="1">Compliance!$D$73</definedName>
    <definedName name="I.Compliance.P3BaselineEmissionsIntensity" hidden="1">Compliance!$D$103</definedName>
    <definedName name="I.Compliance.P3GTPBaselineEmissionsIntensity" hidden="1">Compliance!$D$113</definedName>
    <definedName name="I.Compliance.P3GTPReductionPeriod" hidden="1">Compliance!$D$111</definedName>
    <definedName name="I.Compliance.P3ReductionPeriod" hidden="1">Compliance!$D$101</definedName>
    <definedName name="I.Compliance.P4BaselineEmissionsIntensity" hidden="1">Compliance!$D$131</definedName>
    <definedName name="I.Compliance.P4GTPBaselineEmissionsIntensity" hidden="1">Compliance!$D$141</definedName>
    <definedName name="I.Compliance.P4GTPReductionPeriod" hidden="1">Compliance!$D$139</definedName>
    <definedName name="I.Compliance.P4ReductionPeriod" hidden="1">Compliance!$D$129</definedName>
    <definedName name="I.Declaration.Date" hidden="1">Declaration!$F$28</definedName>
    <definedName name="I.Declaration.Name" hidden="1">Declaration!$D$9</definedName>
    <definedName name="I.Developer.P1" hidden="1">Developer!$F$2212</definedName>
    <definedName name="I.Developer.P1C1" hidden="1">Developer!$F$2217</definedName>
    <definedName name="I.Developer.P1C1V2" hidden="1">Developer!$F$2221</definedName>
    <definedName name="I.Developer.P1C1V3" hidden="1">Developer!$F$2222</definedName>
    <definedName name="I.Developer.P1C1V4" hidden="1">Developer!$F$2223</definedName>
    <definedName name="I.Developer.P1C1V5" hidden="1">Developer!$F$2224</definedName>
    <definedName name="I.Developer.P1C1V6" hidden="1">Developer!$F$2225</definedName>
    <definedName name="I.Developer.P1C2" hidden="1">Developer!$F$2218</definedName>
    <definedName name="I.Developer.P1C3" hidden="1">Developer!$F$2219</definedName>
    <definedName name="I.Developer.P1C4" hidden="1">Developer!$F$2220</definedName>
    <definedName name="I.Developer.P2a" hidden="1">Developer!$F$2213</definedName>
    <definedName name="I.Developer.P2aC1" hidden="1">Developer!$F$2226</definedName>
    <definedName name="I.Developer.P2aC1V2" hidden="1">Developer!$F$2230</definedName>
    <definedName name="I.Developer.P2aC1V3" hidden="1">Developer!$F$2231</definedName>
    <definedName name="I.Developer.P2aC1V4" hidden="1">Developer!$F$2232</definedName>
    <definedName name="I.Developer.P2aC1V5" hidden="1">Developer!$F$2233</definedName>
    <definedName name="I.Developer.P2aC1V6" hidden="1">Developer!$F$2234</definedName>
    <definedName name="I.Developer.P2aC2" hidden="1">Developer!$F$2227</definedName>
    <definedName name="I.Developer.P2aC3" hidden="1">Developer!$F$2228</definedName>
    <definedName name="I.Developer.P2aC4" hidden="1">Developer!$F$2229</definedName>
    <definedName name="I.Developer.P2b" hidden="1">Developer!$F$2214</definedName>
    <definedName name="I.Developer.P2bC1" hidden="1">Developer!$F$2235</definedName>
    <definedName name="I.Developer.P2bC1V2" hidden="1">Developer!$F$2239</definedName>
    <definedName name="I.Developer.P2bC1V3" hidden="1">Developer!$F$2240</definedName>
    <definedName name="I.Developer.P2bC1V4" hidden="1">Developer!$F$2241</definedName>
    <definedName name="I.Developer.P2bC1V5" hidden="1">Developer!$F$2242</definedName>
    <definedName name="I.Developer.P2bC1V6" hidden="1">Developer!$F$2243</definedName>
    <definedName name="I.Developer.P2bC2" hidden="1">Developer!$F$2236</definedName>
    <definedName name="I.Developer.P2bC3" hidden="1">Developer!$F$2237</definedName>
    <definedName name="I.Developer.P2bC4" hidden="1">Developer!$F$2238</definedName>
    <definedName name="I.Developer.P3" hidden="1">Developer!$F$2215</definedName>
    <definedName name="I.Developer.P3C1" hidden="1">Developer!$F$2244</definedName>
    <definedName name="I.Developer.P3C1V2" hidden="1">Developer!$F$2248</definedName>
    <definedName name="I.Developer.P3C1V3" hidden="1">Developer!$F$2249</definedName>
    <definedName name="I.Developer.P3C1V4" hidden="1">Developer!$F$2250</definedName>
    <definedName name="I.Developer.P3C1V5" hidden="1">Developer!$F$2251</definedName>
    <definedName name="I.Developer.P3C1V6" hidden="1">Developer!$F$2252</definedName>
    <definedName name="I.Developer.P3C2" hidden="1">Developer!$F$2245</definedName>
    <definedName name="I.Developer.P3C3" hidden="1">Developer!$F$2246</definedName>
    <definedName name="I.Developer.P3C4" hidden="1">Developer!$F$2247</definedName>
    <definedName name="I.Developer.P4" hidden="1">Developer!$F$2216</definedName>
    <definedName name="I.Developer.P4C1" hidden="1">Developer!$F$2253</definedName>
    <definedName name="I.Developer.P4C1V2" hidden="1">Developer!$F$2257</definedName>
    <definedName name="I.Developer.P4C1V3" hidden="1">Developer!$F$2258</definedName>
    <definedName name="I.Developer.P4C1V4" hidden="1">Developer!$F$2259</definedName>
    <definedName name="I.Developer.P4C1V5" hidden="1">Developer!$F$2260</definedName>
    <definedName name="I.Developer.P4C1V6" hidden="1">Developer!$F$2261</definedName>
    <definedName name="I.Developer.P4C2" hidden="1">Developer!$F$2254</definedName>
    <definedName name="I.Developer.P4C3" hidden="1">Developer!$F$2255</definedName>
    <definedName name="I.Developer.P4C4" hidden="1">Developer!$F$2256</definedName>
    <definedName name="I.Drilling.P1C1" hidden="1">'Drilling Data'!$D$13:$D$15</definedName>
    <definedName name="I.Drilling.P1Depth" hidden="1">'Drilling Data'!$D$9</definedName>
    <definedName name="I.Drilling.P2aC1" hidden="1">'Drilling Data'!$D$25:$D$27</definedName>
    <definedName name="I.Drilling.P2aDepth" hidden="1">'Drilling Data'!$D$21</definedName>
    <definedName name="I.Drilling.P2bC1" hidden="1">'Drilling Data'!$D$37:$D$39</definedName>
    <definedName name="I.Drilling.P2bDepth" hidden="1">'Drilling Data'!$D$33</definedName>
    <definedName name="I.Drilling.P3C1" hidden="1">'Drilling Data'!$D$49:$D$51</definedName>
    <definedName name="I.Drilling.P3Depth" hidden="1">'Drilling Data'!$D$45</definedName>
    <definedName name="I.Drilling.P4C1" hidden="1">'Drilling Data'!$D$61:$D$63</definedName>
    <definedName name="I.Drilling.P4Depth" hidden="1">'Drilling Data'!$D$57</definedName>
    <definedName name="I.Electricity.P1C1" hidden="1">'Electricity Data'!$D$12:$D$20</definedName>
    <definedName name="I.Electricity.P1C2" hidden="1">'Electricity Data'!$D$24:$D$44</definedName>
    <definedName name="I.Electricity.P1C3" hidden="1">'Electricity Data'!$D$48:$D$52</definedName>
    <definedName name="I.Electricity.P1C4" hidden="1">'Electricity Data'!$D$58:$D$60</definedName>
    <definedName name="I.Electricity.P2aC1" hidden="1">'Electricity Data'!$D$66:$D$74</definedName>
    <definedName name="I.Electricity.P2aC2" hidden="1">'Electricity Data'!$D$78:$D$98</definedName>
    <definedName name="I.Electricity.P2aC3" hidden="1">'Electricity Data'!$D$102:$D$106</definedName>
    <definedName name="I.Electricity.P2aC4" hidden="1">'Electricity Data'!$D$112:$D$114</definedName>
    <definedName name="I.Electricity.P2bC1" hidden="1">'Electricity Data'!$D$120:$D$128</definedName>
    <definedName name="I.Electricity.P2bC2" hidden="1">'Electricity Data'!$D$132:$D$152</definedName>
    <definedName name="I.Electricity.P2bC3" hidden="1">'Electricity Data'!$D$156:$D$160</definedName>
    <definedName name="I.Electricity.P2bC4" hidden="1">'Electricity Data'!$D$166:$D$168</definedName>
    <definedName name="I.Electricity.P3C1" hidden="1">'Electricity Data'!$D$174:$D$182</definedName>
    <definedName name="I.Electricity.P3C2" hidden="1">'Electricity Data'!$D$186:$D$206</definedName>
    <definedName name="I.Electricity.P3C3" hidden="1">'Electricity Data'!$D$210:$D$214</definedName>
    <definedName name="I.Electricity.P3C4" hidden="1">'Electricity Data'!$D$220:$D$222</definedName>
    <definedName name="I.Electricity.P4C1" hidden="1">'Electricity Data'!$D$228:$D$236</definedName>
    <definedName name="I.Electricity.P4C2" hidden="1">'Electricity Data'!$D$240:$D$260</definedName>
    <definedName name="I.Electricity.P4C3" hidden="1">'Electricity Data'!$D$264:$D$268</definedName>
    <definedName name="I.Electricity.P4C4" hidden="1">'Electricity Data'!$D$274:$D$276</definedName>
    <definedName name="I.Facility.ComplianceYear" hidden="1">'Facility Information'!$C$13</definedName>
    <definedName name="I.Facility.EmitterName" hidden="1">'Facility Information'!$C$7</definedName>
    <definedName name="I.Facility.OBPSNumber" hidden="1">'Facility Information'!$E$10</definedName>
    <definedName name="I.Facility.StandardPart" hidden="1">'Facility Information'!$C$19</definedName>
    <definedName name="I.Gas.P1AssociatedGasEnergy" hidden="1">'Gas-to-Power Data'!$D$20:$D$69</definedName>
    <definedName name="I.Gas.P1C1E1" hidden="1">'Gas-to-Power Data'!$H$20:$H$69</definedName>
    <definedName name="I.Gas.P1C1E2" hidden="1">'Gas-to-Power Data'!$I$20:$I$69</definedName>
    <definedName name="I.Gas.P1C1E3" hidden="1">'Gas-to-Power Data'!$J$20:$J$69</definedName>
    <definedName name="I.Gas.P1C1V1" hidden="1">'Gas-to-Power Data'!$G$20:$G$69</definedName>
    <definedName name="I.Gas.P1Count" hidden="1">'Gas-to-Power Data'!$C$14</definedName>
    <definedName name="I.Gas.P1ElectricityGeneration" hidden="1">'Gas-to-Power Data'!$F$20:$F$69</definedName>
    <definedName name="I.Gas.P1TotalGasEnergy" hidden="1">'Gas-to-Power Data'!$E$20:$E$69</definedName>
    <definedName name="I.Gas.P2aAssociatedGasEnergy" hidden="1">'Gas-to-Power Data'!$D$83:$D$132</definedName>
    <definedName name="I.Gas.P2aC1E1" hidden="1">'Gas-to-Power Data'!$H$83:$H$132</definedName>
    <definedName name="I.Gas.P2aC1E2" hidden="1">'Gas-to-Power Data'!$I$83:$I$132</definedName>
    <definedName name="I.Gas.P2aC1E3" hidden="1">'Gas-to-Power Data'!$J$83:$J$132</definedName>
    <definedName name="I.Gas.P2aC1V1" hidden="1">'Gas-to-Power Data'!$G$83:$G$132</definedName>
    <definedName name="I.Gas.P2aCount" hidden="1">'Gas-to-Power Data'!$C$77</definedName>
    <definedName name="I.Gas.P2aElectricityGeneration" hidden="1">'Gas-to-Power Data'!$F$83:$F$132</definedName>
    <definedName name="I.Gas.P2aTotalGasEnergy" hidden="1">'Gas-to-Power Data'!$E$83:$E$132</definedName>
    <definedName name="I.Gas.P2bAssociatedGasEnergy" hidden="1">'Gas-to-Power Data'!$D$146:$D$195</definedName>
    <definedName name="I.Gas.P2bC1E1" hidden="1">'Gas-to-Power Data'!$H$146:$H$195</definedName>
    <definedName name="I.Gas.P2bC1E2" hidden="1">'Gas-to-Power Data'!$I$146:$I$195</definedName>
    <definedName name="I.Gas.P2bC1E3" hidden="1">'Gas-to-Power Data'!$J$146:$J$195</definedName>
    <definedName name="I.Gas.P2bC1V1" hidden="1">'Gas-to-Power Data'!$G$146:$G$195</definedName>
    <definedName name="I.Gas.P2bCount" hidden="1">'Gas-to-Power Data'!$C$140</definedName>
    <definedName name="I.Gas.P2bElectricityGeneration" hidden="1">'Gas-to-Power Data'!$F$146:$F$195</definedName>
    <definedName name="I.Gas.P2bTotalGasEnergy" hidden="1">'Gas-to-Power Data'!$E$146:$E$195</definedName>
    <definedName name="I.Gas.P3AssociatedGasEnergy" hidden="1">'Gas-to-Power Data'!$D$209:$D$258</definedName>
    <definedName name="I.Gas.P3C1E1" hidden="1">'Gas-to-Power Data'!$H$209:$H$258</definedName>
    <definedName name="I.Gas.P3C1E2" hidden="1">'Gas-to-Power Data'!$I$209:$I$258</definedName>
    <definedName name="I.Gas.P3C1E3" hidden="1">'Gas-to-Power Data'!$J$209:$J$258</definedName>
    <definedName name="I.Gas.P3C1V1" hidden="1">'Gas-to-Power Data'!$G$209:$G$258</definedName>
    <definedName name="I.Gas.P3Count" hidden="1">'Gas-to-Power Data'!$C$203</definedName>
    <definedName name="I.Gas.P3ElectricityGeneration" hidden="1">'Gas-to-Power Data'!$F$209:$F$258</definedName>
    <definedName name="I.Gas.P3TotalGasEnergy" hidden="1">'Gas-to-Power Data'!$E$209:$E$258</definedName>
    <definedName name="I.Gas.P4AssociatedGasEnergy" hidden="1">'Gas-to-Power Data'!$D$272:$D$321</definedName>
    <definedName name="I.Gas.P4C1E1" hidden="1">'Gas-to-Power Data'!$H$272:$H$321</definedName>
    <definedName name="I.Gas.P4C1E2" hidden="1">'Gas-to-Power Data'!$I$272:$I$321</definedName>
    <definedName name="I.Gas.P4C1E3" hidden="1">'Gas-to-Power Data'!$J$272:$J$321</definedName>
    <definedName name="I.Gas.P4C1V1" hidden="1">'Gas-to-Power Data'!$G$272:$G$321</definedName>
    <definedName name="I.Gas.P4Count" hidden="1">'Gas-to-Power Data'!$C$266</definedName>
    <definedName name="I.Gas.P4ElectricityGeneration" hidden="1">'Gas-to-Power Data'!$F$272:$F$321</definedName>
    <definedName name="I.Gas.P4TotalGasEnergy" hidden="1">'Gas-to-Power Data'!$E$272:$E$321</definedName>
    <definedName name="I.Product.P1Drilling" hidden="1">'Product Information'!$C$27</definedName>
    <definedName name="I.Product.P1Electricity" hidden="1">'Product Information'!$C$21</definedName>
    <definedName name="I.Product.P1GasToPower" hidden="1">'Product Information'!$C$24</definedName>
    <definedName name="I.Product.P2aDrilling" hidden="1">'Product Information'!$C$51</definedName>
    <definedName name="I.Product.P2aElectricity" hidden="1">'Product Information'!$C$45</definedName>
    <definedName name="I.Product.P2aGasToPower" hidden="1">'Product Information'!$C$48</definedName>
    <definedName name="I.Product.P2bDrilling" hidden="1">'Product Information'!$C$75</definedName>
    <definedName name="I.Product.P2bElectricity" hidden="1">'Product Information'!$C$69</definedName>
    <definedName name="I.Product.P2bGasToPower" hidden="1">'Product Information'!$C$72</definedName>
    <definedName name="I.Product.P3Drilling" hidden="1">'Product Information'!$C$99</definedName>
    <definedName name="I.Product.P3Electricity" hidden="1">'Product Information'!$C$93</definedName>
    <definedName name="I.Product.P3GasToPower" hidden="1">'Product Information'!$C$96</definedName>
    <definedName name="I.Product.P4Drilling" hidden="1">'Product Information'!$C$123</definedName>
    <definedName name="I.Product.P4Electricity" hidden="1">'Product Information'!$C$117</definedName>
    <definedName name="I.Product.P4GasToPower" hidden="1">'Product Information'!$C$120</definedName>
    <definedName name="I.Production.P1C1" hidden="1">'Production Data'!$D$13:$D$21</definedName>
    <definedName name="I.Production.P1C2" hidden="1">'Production Data'!$D$25:$D$45</definedName>
    <definedName name="I.Production.P1C3" hidden="1">'Production Data'!$D$49:$D$53</definedName>
    <definedName name="I.Production.P1C4" hidden="1">'Production Data'!$D$59:$D$61</definedName>
    <definedName name="I.Production.P1Quantity" hidden="1">'Production Data'!$D$9</definedName>
    <definedName name="I.Production.P2aC1" hidden="1">'Production Data'!$D$71:$D$79</definedName>
    <definedName name="I.Production.P2aC2" hidden="1">'Production Data'!$D$83:$D$103</definedName>
    <definedName name="I.Production.P2aC3" hidden="1">'Production Data'!$D$107:$D$111</definedName>
    <definedName name="I.Production.P2aC4" hidden="1">'Production Data'!$D$117:$D$119</definedName>
    <definedName name="I.Production.P2aQuantity" hidden="1">'Production Data'!$D$67</definedName>
    <definedName name="I.Production.P2bC1" hidden="1">'Production Data'!$D$129:$D$137</definedName>
    <definedName name="I.Production.P2bC2" hidden="1">'Production Data'!$D$141:$D$161</definedName>
    <definedName name="I.Production.P2bC3" hidden="1">'Production Data'!$D$165:$D$169</definedName>
    <definedName name="I.Production.P2bC4" hidden="1">'Production Data'!$D$175:$D$177</definedName>
    <definedName name="I.Production.P2bQuantity" hidden="1">'Production Data'!$D$125</definedName>
    <definedName name="I.Production.P3C1" hidden="1">'Production Data'!$D$187:$D$195</definedName>
    <definedName name="I.Production.P3C2" hidden="1">'Production Data'!$D$199:$D$219</definedName>
    <definedName name="I.Production.P3C3" hidden="1">'Production Data'!$D$223:$D$227</definedName>
    <definedName name="I.Production.P3C4" hidden="1">'Production Data'!$D$233:$D$235</definedName>
    <definedName name="I.Production.P3Quantity" hidden="1">'Production Data'!$D$183</definedName>
    <definedName name="I.Production.P4C1" hidden="1">'Production Data'!$D$245:$D$253</definedName>
    <definedName name="I.Production.P4C2" hidden="1">'Production Data'!$D$257:$D$277</definedName>
    <definedName name="I.Production.P4C3" hidden="1">'Production Data'!$D$281:$D$285</definedName>
    <definedName name="I.Production.P4C4" hidden="1">'Production Data'!$D$291:$D$293</definedName>
    <definedName name="I.Production.P4Quantity" hidden="1">'Production Data'!$D$241</definedName>
    <definedName name="R.Appendix.PrintArea" hidden="1">Appendix!$B$1:$F$30</definedName>
    <definedName name="R.Compliance.Notification" hidden="1">Compliance!$C$168</definedName>
    <definedName name="R.Compliance.PrintArea" hidden="1">Compliance!$B$1:$F$170</definedName>
    <definedName name="R.Compliance.Timestamp" hidden="1">Compliance!$C$164</definedName>
    <definedName name="R.Declaration.Notification" hidden="1">Declaration!$C$36</definedName>
    <definedName name="R.Declaration.PrintArea" hidden="1">Declaration!$B$1:$G$38</definedName>
    <definedName name="R.Declaration.Timestamp" hidden="1">Declaration!$C$31</definedName>
    <definedName name="R.Drilling.Notification" hidden="1">'Drilling Data'!$C$69</definedName>
    <definedName name="R.Drilling.PrintArea" hidden="1">'Drilling Data'!$B$1:$F$71</definedName>
    <definedName name="R.Drilling.Timestamp" hidden="1">'Drilling Data'!$C$65</definedName>
    <definedName name="R.Electricity.Notification" hidden="1">'Electricity Data'!$C$282</definedName>
    <definedName name="R.Electricity.PrintArea" hidden="1">'Electricity Data'!$B$1:$F$284</definedName>
    <definedName name="R.Electricity.Timestamp" hidden="1">'Electricity Data'!$C$278</definedName>
    <definedName name="R.Facility.Notification" hidden="1">'Facility Information'!$C$32</definedName>
    <definedName name="R.Facility.PrintArea" hidden="1">'Facility Information'!$B$1:$F$34</definedName>
    <definedName name="R.Facility.Timestamp" hidden="1">'Facility Information'!$C$28</definedName>
    <definedName name="R.Gas.Notification" hidden="1">'Gas-to-Power Data'!$C$327</definedName>
    <definedName name="R.Gas.P1RowNumber" hidden="1">'Gas-to-Power Data'!$C$20:$C$69</definedName>
    <definedName name="R.Gas.P2aRowNumber" hidden="1">'Gas-to-Power Data'!$C$83:$C$132</definedName>
    <definedName name="R.Gas.P2bRowNumber" hidden="1">'Gas-to-Power Data'!$C$146:$C$195</definedName>
    <definedName name="R.Gas.P3RowNumber" hidden="1">'Gas-to-Power Data'!$C$209:$C$258</definedName>
    <definedName name="R.Gas.P4RowNumber" hidden="1">'Gas-to-Power Data'!$C$272:$C$321</definedName>
    <definedName name="R.Gas.PrintArea" hidden="1">'Gas-to-Power Data'!$B$1:$K$329</definedName>
    <definedName name="R.Gas.Timestamp" hidden="1">'Gas-to-Power Data'!$C$323</definedName>
    <definedName name="R.Instructions.PrintArea" hidden="1">Instructions!$B$1:$F$82</definedName>
    <definedName name="R.Instructions.VersionDate" hidden="1">Instructions!$E$82</definedName>
    <definedName name="R.Instructions.VersionNumber" hidden="1">Instructions!$C$82</definedName>
    <definedName name="R.Product.Notification" hidden="1">'Product Information'!$C$129</definedName>
    <definedName name="R.Product.PrintArea" hidden="1">'Product Information'!$B$1:$F$131</definedName>
    <definedName name="R.Product.Timestamp" hidden="1">'Product Information'!$C$125</definedName>
    <definedName name="R.Production.Notification" hidden="1">'Production Data'!$C$299</definedName>
    <definedName name="R.Production.PrintArea" hidden="1">'Production Data'!$B$1:$F$301</definedName>
    <definedName name="R.Production.Timestamp" hidden="1">'Production Data'!$C$295</definedName>
    <definedName name="S.Compliance.Drilling" hidden="1">Compliance!$B$149:$F$155</definedName>
    <definedName name="S.Compliance.P1" hidden="1">Compliance!$B$9:$F$36</definedName>
    <definedName name="S.Compliance.P1Drilling" hidden="1">Compliance!$B$32:$F$36</definedName>
    <definedName name="S.Compliance.P1GasToPower" hidden="1">Compliance!$B$22:$F$31</definedName>
    <definedName name="S.Compliance.P2a" hidden="1">Compliance!$B$37:$F$64</definedName>
    <definedName name="S.Compliance.P2aDrilling" hidden="1">Compliance!$B$60:$F$64</definedName>
    <definedName name="S.Compliance.P2aGasToPower" hidden="1">Compliance!$B$50:$F$59</definedName>
    <definedName name="S.Compliance.P2b" hidden="1">Compliance!$B$65:$F$92</definedName>
    <definedName name="S.Compliance.P2bDrilling" hidden="1">Compliance!$B$88:$F$92</definedName>
    <definedName name="S.Compliance.P2bGasToPower" hidden="1">Compliance!$B$78:$F$87</definedName>
    <definedName name="S.Compliance.P3" hidden="1">Compliance!$B$93:$F$120</definedName>
    <definedName name="S.Compliance.P3Drilling" hidden="1">Compliance!$B$116:$F$120</definedName>
    <definedName name="S.Compliance.P3GasToPower" hidden="1">Compliance!$B$106:$F$115</definedName>
    <definedName name="S.Compliance.P4" hidden="1">Compliance!$B$121:$F$148</definedName>
    <definedName name="S.Compliance.P4Drilling" hidden="1">Compliance!$B$144:$F$148</definedName>
    <definedName name="S.Compliance.P4GasToPower" hidden="1">Compliance!$B$134:$F$143</definedName>
    <definedName name="S.Developer.Inputs" hidden="1">Developer!$B$4:$I$2261</definedName>
    <definedName name="S.Developer.LastEntry" hidden="1">Developer!$E$4:$E$2261</definedName>
    <definedName name="S.Developer.Lookups" hidden="1">Developer!$S$4:$T$62</definedName>
    <definedName name="S.Developer.Ranges" hidden="1">Developer!$N$4:$Q$36</definedName>
    <definedName name="S.Developer.Sections" hidden="1">Developer!$K$4:$L$99</definedName>
    <definedName name="S.Drilling.P1" hidden="1">'Drilling Data'!$B$5:$F$16</definedName>
    <definedName name="S.Drilling.P2a" hidden="1">'Drilling Data'!$B$17:$F$28</definedName>
    <definedName name="S.Drilling.P2b" hidden="1">'Drilling Data'!$B$29:$F$40</definedName>
    <definedName name="S.Drilling.P3" hidden="1">'Drilling Data'!$B$41:$F$52</definedName>
    <definedName name="S.Drilling.P4" hidden="1">'Drilling Data'!$B$53:$F$64</definedName>
    <definedName name="S.Electricity.P1" hidden="1">'Electricity Data'!$B$8:$F$61</definedName>
    <definedName name="S.Electricity.P1C1" hidden="1">'Electricity Data'!$B$10:$F$21</definedName>
    <definedName name="S.Electricity.P1C2" hidden="1">'Electricity Data'!$B$22:$F$45</definedName>
    <definedName name="S.Electricity.P1C3" hidden="1">'Electricity Data'!$B$46:$F$55</definedName>
    <definedName name="S.Electricity.P1C4" hidden="1">'Electricity Data'!$B$56:$F$61</definedName>
    <definedName name="S.Electricity.P2a" hidden="1">'Electricity Data'!$B$62:$F$115</definedName>
    <definedName name="S.Electricity.P2aC1" hidden="1">'Electricity Data'!$B$64:$F$75</definedName>
    <definedName name="S.Electricity.P2aC2" hidden="1">'Electricity Data'!$B$76:$F$99</definedName>
    <definedName name="S.Electricity.P2aC3" hidden="1">'Electricity Data'!$B$100:$F$109</definedName>
    <definedName name="S.Electricity.P2aC4" hidden="1">'Electricity Data'!$B$110:$F$115</definedName>
    <definedName name="S.Electricity.P2b" hidden="1">'Electricity Data'!$B$116:$F$169</definedName>
    <definedName name="S.Electricity.P2bC1" hidden="1">'Electricity Data'!$B$118:$F$129</definedName>
    <definedName name="S.Electricity.P2bC2" hidden="1">'Electricity Data'!$B$130:$F$153</definedName>
    <definedName name="S.Electricity.P2bC3" hidden="1">'Electricity Data'!$B$154:$F$163</definedName>
    <definedName name="S.Electricity.P2bC4" hidden="1">'Electricity Data'!$B$164:$F$169</definedName>
    <definedName name="S.Electricity.P3" hidden="1">'Electricity Data'!$B$170:$F$223</definedName>
    <definedName name="S.Electricity.P3C1" hidden="1">'Electricity Data'!$B$172:$F$183</definedName>
    <definedName name="S.Electricity.P3C2" hidden="1">'Electricity Data'!$B$184:$F$207</definedName>
    <definedName name="S.Electricity.P3C3" hidden="1">'Electricity Data'!$B$208:$F$217</definedName>
    <definedName name="S.Electricity.P3C4" hidden="1">'Electricity Data'!$B$218:$F$223</definedName>
    <definedName name="S.Electricity.P4" hidden="1">'Electricity Data'!$B$224:$F$277</definedName>
    <definedName name="S.Electricity.P4C1" hidden="1">'Electricity Data'!$B$226:$F$237</definedName>
    <definedName name="S.Electricity.P4C2" hidden="1">'Electricity Data'!$B$238:$F$261</definedName>
    <definedName name="S.Electricity.P4C3" hidden="1">'Electricity Data'!$B$262:$F$271</definedName>
    <definedName name="S.Electricity.P4C4" hidden="1">'Electricity Data'!$B$272:$F$277</definedName>
    <definedName name="S.Gas.P1" hidden="1">'Gas-to-Power Data'!$B$8:$K$70</definedName>
    <definedName name="S.Gas.P2a" hidden="1">'Gas-to-Power Data'!$B$71:$K$133</definedName>
    <definedName name="S.Gas.P2b" hidden="1">'Gas-to-Power Data'!$B$134:$K$196</definedName>
    <definedName name="S.Gas.P3" hidden="1">'Gas-to-Power Data'!$B$197:$K$259</definedName>
    <definedName name="S.Gas.P4" hidden="1">'Gas-to-Power Data'!$B$260:$K$322</definedName>
    <definedName name="S.Gas.TableP1" hidden="1">'Gas-to-Power Data'!$D$20:$J$69</definedName>
    <definedName name="S.Gas.TableP2a" hidden="1">'Gas-to-Power Data'!$D$83:$J$132</definedName>
    <definedName name="S.Gas.TableP2b" hidden="1">'Gas-to-Power Data'!$D$146:$J$195</definedName>
    <definedName name="S.Gas.TableP3" hidden="1">'Gas-to-Power Data'!$D$209:$J$258</definedName>
    <definedName name="S.Gas.TableP4" hidden="1">'Gas-to-Power Data'!$D$272:$J$321</definedName>
    <definedName name="S.Product.P1" hidden="1">'Product Information'!$B$5:$F$28</definedName>
    <definedName name="S.Product.P1FuelTypes" hidden="1">'Product Information'!$B$13:$F$19</definedName>
    <definedName name="S.Product.P2a" hidden="1">'Product Information'!$B$29:$F$52</definedName>
    <definedName name="S.Product.P2aFuelTypes" hidden="1">'Product Information'!$B$37:$F$43</definedName>
    <definedName name="S.Product.P2b" hidden="1">'Product Information'!$B$53:$F$76</definedName>
    <definedName name="S.Product.P2bFuelTypes" hidden="1">'Product Information'!$B$61:$F$67</definedName>
    <definedName name="S.Product.P3" hidden="1">'Product Information'!$B$77:$F$100</definedName>
    <definedName name="S.Product.P3FuelTypes" hidden="1">'Product Information'!$B$85:$F$91</definedName>
    <definedName name="S.Product.P4" hidden="1">'Product Information'!$B$101:$F$124</definedName>
    <definedName name="S.Product.P4FuelTypes" hidden="1">'Product Information'!$B$109:$F$115</definedName>
    <definedName name="S.Production.P1" hidden="1">'Production Data'!$B$5:$F$62</definedName>
    <definedName name="S.Production.P1C1" hidden="1">'Production Data'!$B$11:$F$22</definedName>
    <definedName name="S.Production.P1C2" hidden="1">'Production Data'!$B$23:$F$46</definedName>
    <definedName name="S.Production.P1C3" hidden="1">'Production Data'!$B$47:$F$56</definedName>
    <definedName name="S.Production.P1C4" hidden="1">'Production Data'!$B$57:$F$62</definedName>
    <definedName name="S.Production.P2a" hidden="1">'Production Data'!$B$63:$F$120</definedName>
    <definedName name="S.Production.P2aC1" hidden="1">'Production Data'!$B$69:$F$80</definedName>
    <definedName name="S.Production.P2aC2" hidden="1">'Production Data'!$B$81:$F$104</definedName>
    <definedName name="S.Production.P2aC3" hidden="1">'Production Data'!$B$105:$F$114</definedName>
    <definedName name="S.Production.P2aC4" hidden="1">'Production Data'!$B$115:$F$120</definedName>
    <definedName name="S.Production.P2b" hidden="1">'Production Data'!$B$121:$F$178</definedName>
    <definedName name="S.Production.P2bC1" hidden="1">'Production Data'!$B$127:$F$138</definedName>
    <definedName name="S.Production.P2bC2" hidden="1">'Production Data'!$B$139:$F$162</definedName>
    <definedName name="S.Production.P2bC3" hidden="1">'Production Data'!$B$163:$F$172</definedName>
    <definedName name="S.Production.P2bC4" hidden="1">'Production Data'!$B$173:$F$178</definedName>
    <definedName name="S.Production.P3" hidden="1">'Production Data'!$B$179:$F$236</definedName>
    <definedName name="S.Production.P3C1" hidden="1">'Production Data'!$B$185:$F$196</definedName>
    <definedName name="S.Production.P3C2" hidden="1">'Production Data'!$B$197:$F$220</definedName>
    <definedName name="S.Production.P3C3" hidden="1">'Production Data'!$B$221:$F$230</definedName>
    <definedName name="S.Production.P3C4" hidden="1">'Production Data'!$B$231:$F$236</definedName>
    <definedName name="S.Production.P4" hidden="1">'Production Data'!$B$237:$F$294</definedName>
    <definedName name="S.Production.P4C1" hidden="1">'Production Data'!$B$243:$F$254</definedName>
    <definedName name="S.Production.P4C2" hidden="1">'Production Data'!$B$255:$F$278</definedName>
    <definedName name="S.Production.P4C3" hidden="1">'Production Data'!$B$279:$F$288</definedName>
    <definedName name="S.Production.P4C4" hidden="1">'Production Data'!$B$289:$F$294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90" i="4" l="1"/>
  <c r="D280" i="4"/>
  <c r="D256" i="4"/>
  <c r="D244" i="4"/>
  <c r="D240" i="4"/>
  <c r="D232" i="4"/>
  <c r="D222" i="4"/>
  <c r="D198" i="4"/>
  <c r="D186" i="4"/>
  <c r="D182" i="4"/>
  <c r="D174" i="4"/>
  <c r="D164" i="4"/>
  <c r="D140" i="4"/>
  <c r="D128" i="4"/>
  <c r="D124" i="4"/>
  <c r="D116" i="4"/>
  <c r="D106" i="4"/>
  <c r="D82" i="4"/>
  <c r="D70" i="4"/>
  <c r="D66" i="4"/>
  <c r="D58" i="4"/>
  <c r="D48" i="4"/>
  <c r="D24" i="4"/>
  <c r="D12" i="4"/>
  <c r="D8" i="4"/>
  <c r="C263" i="6"/>
  <c r="C200" i="6"/>
  <c r="C137" i="6"/>
  <c r="C74" i="6"/>
  <c r="C11" i="6"/>
  <c r="D273" i="5"/>
  <c r="D263" i="5"/>
  <c r="D239" i="5"/>
  <c r="D227" i="5"/>
  <c r="D219" i="5"/>
  <c r="D209" i="5"/>
  <c r="D185" i="5"/>
  <c r="D173" i="5"/>
  <c r="D165" i="5"/>
  <c r="D155" i="5"/>
  <c r="D131" i="5"/>
  <c r="D119" i="5"/>
  <c r="D111" i="5"/>
  <c r="D101" i="5"/>
  <c r="D77" i="5"/>
  <c r="D65" i="5"/>
  <c r="D57" i="5"/>
  <c r="D47" i="5"/>
  <c r="D23" i="5"/>
  <c r="D11" i="5"/>
  <c r="D60" i="11"/>
  <c r="D56" i="11"/>
  <c r="D48" i="11"/>
  <c r="D44" i="11"/>
  <c r="D36" i="11"/>
  <c r="D32" i="11"/>
  <c r="D24" i="11"/>
  <c r="D20" i="11"/>
  <c r="D12" i="11"/>
  <c r="D8" i="11"/>
  <c r="D147" i="12"/>
  <c r="D146" i="12"/>
  <c r="D140" i="12"/>
  <c r="D142" i="12" s="1"/>
  <c r="D137" i="12"/>
  <c r="D138" i="12" s="1"/>
  <c r="D136" i="12" a="1"/>
  <c r="D136" i="12" s="1"/>
  <c r="D132" i="12"/>
  <c r="D130" i="12"/>
  <c r="D127" i="12"/>
  <c r="D126" i="12"/>
  <c r="D125" i="12"/>
  <c r="D119" i="12"/>
  <c r="D118" i="12"/>
  <c r="D112" i="12"/>
  <c r="D114" i="12" s="1"/>
  <c r="D109" i="12"/>
  <c r="D110" i="12" s="1"/>
  <c r="D108" i="12" a="1"/>
  <c r="D108" i="12" s="1"/>
  <c r="D102" i="12"/>
  <c r="D104" i="12" s="1"/>
  <c r="D99" i="12"/>
  <c r="D98" i="12"/>
  <c r="D97" i="12"/>
  <c r="D91" i="12"/>
  <c r="D90" i="12"/>
  <c r="D84" i="12"/>
  <c r="D86" i="12" s="1"/>
  <c r="D81" i="12"/>
  <c r="D82" i="12" s="1"/>
  <c r="D80" i="12" a="1"/>
  <c r="D80" i="12" s="1"/>
  <c r="D74" i="12"/>
  <c r="D76" i="12" s="1"/>
  <c r="D71" i="12"/>
  <c r="D70" i="12"/>
  <c r="D69" i="12"/>
  <c r="D63" i="12"/>
  <c r="D62" i="12"/>
  <c r="D58" i="12"/>
  <c r="D56" i="12"/>
  <c r="D53" i="12"/>
  <c r="D54" i="12" s="1"/>
  <c r="D52" i="12" a="1"/>
  <c r="D52" i="12" s="1"/>
  <c r="D46" i="12"/>
  <c r="D48" i="12" s="1"/>
  <c r="D43" i="12"/>
  <c r="D42" i="12"/>
  <c r="D41" i="12"/>
  <c r="D35" i="12"/>
  <c r="D34" i="12"/>
  <c r="D28" i="12"/>
  <c r="D30" i="12" s="1"/>
  <c r="D25" i="12"/>
  <c r="D26" i="12" s="1"/>
  <c r="D24" i="12" a="1"/>
  <c r="D24" i="12" s="1"/>
  <c r="D18" i="12"/>
  <c r="D20" i="12" s="1"/>
  <c r="D15" i="12"/>
  <c r="D14" i="12"/>
  <c r="D13" i="12"/>
  <c r="P5" i="10"/>
  <c r="P6" i="10"/>
  <c r="P8" i="10"/>
  <c r="P11" i="10"/>
  <c r="P14" i="10"/>
  <c r="P17" i="10"/>
  <c r="P25" i="10"/>
  <c r="P28" i="10"/>
  <c r="P31" i="10"/>
  <c r="P34" i="10"/>
  <c r="F4" i="10"/>
  <c r="H4" i="10"/>
  <c r="F5" i="10"/>
  <c r="H5" i="10"/>
  <c r="F6" i="10"/>
  <c r="H6" i="10"/>
  <c r="F7" i="10"/>
  <c r="H7" i="10"/>
  <c r="H8" i="10"/>
  <c r="H9" i="10"/>
  <c r="F10" i="10"/>
  <c r="H10" i="10"/>
  <c r="F11" i="10"/>
  <c r="H11" i="10"/>
  <c r="F12" i="10"/>
  <c r="H12" i="10"/>
  <c r="H13" i="10"/>
  <c r="F14" i="10"/>
  <c r="H14" i="10"/>
  <c r="F15" i="10"/>
  <c r="H15" i="10"/>
  <c r="F16" i="10"/>
  <c r="H16" i="10"/>
  <c r="H17" i="10"/>
  <c r="F18" i="10"/>
  <c r="H18" i="10"/>
  <c r="F19" i="10"/>
  <c r="H19" i="10"/>
  <c r="F20" i="10"/>
  <c r="H20" i="10"/>
  <c r="H21" i="10"/>
  <c r="F22" i="10"/>
  <c r="H22" i="10"/>
  <c r="F23" i="10"/>
  <c r="H23" i="10"/>
  <c r="F24" i="10"/>
  <c r="H24" i="10"/>
  <c r="H25" i="10"/>
  <c r="F26" i="10"/>
  <c r="H26" i="10"/>
  <c r="F27" i="10"/>
  <c r="H27" i="10"/>
  <c r="F28" i="10"/>
  <c r="H28" i="10"/>
  <c r="F29" i="10"/>
  <c r="H29" i="10"/>
  <c r="F30" i="10"/>
  <c r="H30" i="10"/>
  <c r="F31" i="10"/>
  <c r="H31" i="10"/>
  <c r="F32" i="10"/>
  <c r="H32" i="10"/>
  <c r="F33" i="10"/>
  <c r="H33" i="10"/>
  <c r="F34" i="10"/>
  <c r="H34" i="10"/>
  <c r="F35" i="10"/>
  <c r="H35" i="10"/>
  <c r="F36" i="10"/>
  <c r="H36" i="10"/>
  <c r="F37" i="10"/>
  <c r="H37" i="10"/>
  <c r="F38" i="10"/>
  <c r="H38" i="10"/>
  <c r="F39" i="10"/>
  <c r="H39" i="10"/>
  <c r="F40" i="10"/>
  <c r="H40" i="10"/>
  <c r="F41" i="10"/>
  <c r="H41" i="10"/>
  <c r="F42" i="10"/>
  <c r="H42" i="10"/>
  <c r="F43" i="10"/>
  <c r="H43" i="10"/>
  <c r="F44" i="10"/>
  <c r="H44" i="10"/>
  <c r="F45" i="10"/>
  <c r="H45" i="10"/>
  <c r="F46" i="10"/>
  <c r="H46" i="10"/>
  <c r="F47" i="10"/>
  <c r="H47" i="10"/>
  <c r="F48" i="10"/>
  <c r="H48" i="10"/>
  <c r="F49" i="10"/>
  <c r="H49" i="10"/>
  <c r="F50" i="10"/>
  <c r="H50" i="10"/>
  <c r="F51" i="10"/>
  <c r="H51" i="10"/>
  <c r="F52" i="10"/>
  <c r="H52" i="10"/>
  <c r="F53" i="10"/>
  <c r="H53" i="10"/>
  <c r="F54" i="10"/>
  <c r="H54" i="10"/>
  <c r="F55" i="10"/>
  <c r="H55" i="10"/>
  <c r="F56" i="10"/>
  <c r="H56" i="10"/>
  <c r="F57" i="10"/>
  <c r="H57" i="10"/>
  <c r="F58" i="10"/>
  <c r="H58" i="10"/>
  <c r="F59" i="10"/>
  <c r="H59" i="10"/>
  <c r="F60" i="10"/>
  <c r="H60" i="10"/>
  <c r="F61" i="10"/>
  <c r="H61" i="10"/>
  <c r="F62" i="10"/>
  <c r="H62" i="10"/>
  <c r="F63" i="10"/>
  <c r="H63" i="10"/>
  <c r="F64" i="10"/>
  <c r="H64" i="10"/>
  <c r="F65" i="10"/>
  <c r="H65" i="10"/>
  <c r="F66" i="10"/>
  <c r="H66" i="10"/>
  <c r="F67" i="10"/>
  <c r="H67" i="10"/>
  <c r="F68" i="10"/>
  <c r="H68" i="10"/>
  <c r="F69" i="10"/>
  <c r="H69" i="10"/>
  <c r="F70" i="10"/>
  <c r="H70" i="10"/>
  <c r="F71" i="10"/>
  <c r="H71" i="10"/>
  <c r="F72" i="10"/>
  <c r="H72" i="10"/>
  <c r="F73" i="10"/>
  <c r="H73" i="10"/>
  <c r="F74" i="10"/>
  <c r="H74" i="10"/>
  <c r="F75" i="10"/>
  <c r="H75" i="10"/>
  <c r="F76" i="10"/>
  <c r="H76" i="10"/>
  <c r="F77" i="10"/>
  <c r="H77" i="10"/>
  <c r="F78" i="10"/>
  <c r="H78" i="10"/>
  <c r="F79" i="10"/>
  <c r="H79" i="10"/>
  <c r="F80" i="10"/>
  <c r="H80" i="10"/>
  <c r="F81" i="10"/>
  <c r="H81" i="10"/>
  <c r="F82" i="10"/>
  <c r="H82" i="10"/>
  <c r="F83" i="10"/>
  <c r="H83" i="10"/>
  <c r="F84" i="10"/>
  <c r="H84" i="10"/>
  <c r="F85" i="10"/>
  <c r="H85" i="10"/>
  <c r="F86" i="10"/>
  <c r="H86" i="10"/>
  <c r="F87" i="10"/>
  <c r="H87" i="10"/>
  <c r="F88" i="10"/>
  <c r="H88" i="10"/>
  <c r="F89" i="10"/>
  <c r="H89" i="10"/>
  <c r="F90" i="10"/>
  <c r="H90" i="10"/>
  <c r="F91" i="10"/>
  <c r="H91" i="10"/>
  <c r="F92" i="10"/>
  <c r="H92" i="10"/>
  <c r="F93" i="10"/>
  <c r="H93" i="10"/>
  <c r="F94" i="10"/>
  <c r="H94" i="10"/>
  <c r="F95" i="10"/>
  <c r="H95" i="10"/>
  <c r="F96" i="10"/>
  <c r="H96" i="10"/>
  <c r="F97" i="10"/>
  <c r="H97" i="10"/>
  <c r="F98" i="10"/>
  <c r="H98" i="10"/>
  <c r="F99" i="10"/>
  <c r="H99" i="10"/>
  <c r="F100" i="10"/>
  <c r="H100" i="10"/>
  <c r="F101" i="10"/>
  <c r="H101" i="10"/>
  <c r="F102" i="10"/>
  <c r="H102" i="10"/>
  <c r="F103" i="10"/>
  <c r="H103" i="10"/>
  <c r="F104" i="10"/>
  <c r="H104" i="10"/>
  <c r="F105" i="10"/>
  <c r="H105" i="10"/>
  <c r="F106" i="10"/>
  <c r="H106" i="10"/>
  <c r="F107" i="10"/>
  <c r="H107" i="10"/>
  <c r="F108" i="10"/>
  <c r="H108" i="10"/>
  <c r="F109" i="10"/>
  <c r="H109" i="10"/>
  <c r="F110" i="10"/>
  <c r="H110" i="10"/>
  <c r="F111" i="10"/>
  <c r="H111" i="10"/>
  <c r="F112" i="10"/>
  <c r="H112" i="10"/>
  <c r="F113" i="10"/>
  <c r="H113" i="10"/>
  <c r="F114" i="10"/>
  <c r="H114" i="10"/>
  <c r="F115" i="10"/>
  <c r="H115" i="10"/>
  <c r="F116" i="10"/>
  <c r="H116" i="10"/>
  <c r="F117" i="10"/>
  <c r="H117" i="10"/>
  <c r="F118" i="10"/>
  <c r="H118" i="10"/>
  <c r="F119" i="10"/>
  <c r="H119" i="10"/>
  <c r="F120" i="10"/>
  <c r="H120" i="10"/>
  <c r="F121" i="10"/>
  <c r="H121" i="10"/>
  <c r="F122" i="10"/>
  <c r="H122" i="10"/>
  <c r="F123" i="10"/>
  <c r="H123" i="10"/>
  <c r="F124" i="10"/>
  <c r="H124" i="10"/>
  <c r="F125" i="10"/>
  <c r="H125" i="10"/>
  <c r="F126" i="10"/>
  <c r="H126" i="10"/>
  <c r="F127" i="10"/>
  <c r="H127" i="10"/>
  <c r="F128" i="10"/>
  <c r="H128" i="10"/>
  <c r="F129" i="10"/>
  <c r="H129" i="10"/>
  <c r="F130" i="10"/>
  <c r="H130" i="10"/>
  <c r="F131" i="10"/>
  <c r="H131" i="10"/>
  <c r="F132" i="10"/>
  <c r="H132" i="10"/>
  <c r="F133" i="10"/>
  <c r="H133" i="10"/>
  <c r="F134" i="10"/>
  <c r="H134" i="10"/>
  <c r="F135" i="10"/>
  <c r="H135" i="10"/>
  <c r="F136" i="10"/>
  <c r="H136" i="10"/>
  <c r="F137" i="10"/>
  <c r="H137" i="10"/>
  <c r="F138" i="10"/>
  <c r="H138" i="10"/>
  <c r="F139" i="10"/>
  <c r="H139" i="10"/>
  <c r="F140" i="10"/>
  <c r="H140" i="10"/>
  <c r="F141" i="10"/>
  <c r="H141" i="10"/>
  <c r="F142" i="10"/>
  <c r="H142" i="10"/>
  <c r="F143" i="10"/>
  <c r="H143" i="10"/>
  <c r="F144" i="10"/>
  <c r="H144" i="10"/>
  <c r="F145" i="10"/>
  <c r="H145" i="10"/>
  <c r="F146" i="10"/>
  <c r="H146" i="10"/>
  <c r="F147" i="10"/>
  <c r="H147" i="10"/>
  <c r="F148" i="10"/>
  <c r="H148" i="10"/>
  <c r="F149" i="10"/>
  <c r="H149" i="10"/>
  <c r="F150" i="10"/>
  <c r="H150" i="10"/>
  <c r="F151" i="10"/>
  <c r="H151" i="10"/>
  <c r="F152" i="10"/>
  <c r="H152" i="10"/>
  <c r="F153" i="10"/>
  <c r="H153" i="10"/>
  <c r="F154" i="10"/>
  <c r="H154" i="10"/>
  <c r="F155" i="10"/>
  <c r="H155" i="10"/>
  <c r="F156" i="10"/>
  <c r="H156" i="10"/>
  <c r="F157" i="10"/>
  <c r="H157" i="10"/>
  <c r="F158" i="10"/>
  <c r="H158" i="10"/>
  <c r="F159" i="10"/>
  <c r="H159" i="10"/>
  <c r="F160" i="10"/>
  <c r="H160" i="10"/>
  <c r="F161" i="10"/>
  <c r="H161" i="10"/>
  <c r="F162" i="10"/>
  <c r="H162" i="10"/>
  <c r="F163" i="10"/>
  <c r="H163" i="10"/>
  <c r="F164" i="10"/>
  <c r="H164" i="10"/>
  <c r="F165" i="10"/>
  <c r="H165" i="10"/>
  <c r="F166" i="10"/>
  <c r="H166" i="10"/>
  <c r="F167" i="10"/>
  <c r="H167" i="10"/>
  <c r="F168" i="10"/>
  <c r="H168" i="10"/>
  <c r="F169" i="10"/>
  <c r="H169" i="10"/>
  <c r="F170" i="10"/>
  <c r="H170" i="10"/>
  <c r="F171" i="10"/>
  <c r="H171" i="10"/>
  <c r="F172" i="10"/>
  <c r="H172" i="10"/>
  <c r="F173" i="10"/>
  <c r="H173" i="10"/>
  <c r="F174" i="10"/>
  <c r="H174" i="10"/>
  <c r="F175" i="10"/>
  <c r="H175" i="10"/>
  <c r="F176" i="10"/>
  <c r="H176" i="10"/>
  <c r="F177" i="10"/>
  <c r="H177" i="10"/>
  <c r="F178" i="10"/>
  <c r="H178" i="10"/>
  <c r="F179" i="10"/>
  <c r="H179" i="10"/>
  <c r="F180" i="10"/>
  <c r="H180" i="10"/>
  <c r="F181" i="10"/>
  <c r="H181" i="10"/>
  <c r="F182" i="10"/>
  <c r="H182" i="10"/>
  <c r="F183" i="10"/>
  <c r="H183" i="10"/>
  <c r="F184" i="10"/>
  <c r="H184" i="10"/>
  <c r="F185" i="10"/>
  <c r="H185" i="10"/>
  <c r="F186" i="10"/>
  <c r="H186" i="10"/>
  <c r="F187" i="10"/>
  <c r="H187" i="10"/>
  <c r="F188" i="10"/>
  <c r="H188" i="10"/>
  <c r="F189" i="10"/>
  <c r="H189" i="10"/>
  <c r="F190" i="10"/>
  <c r="H190" i="10"/>
  <c r="F191" i="10"/>
  <c r="H191" i="10"/>
  <c r="F192" i="10"/>
  <c r="H192" i="10"/>
  <c r="F193" i="10"/>
  <c r="H193" i="10"/>
  <c r="F194" i="10"/>
  <c r="H194" i="10"/>
  <c r="F195" i="10"/>
  <c r="H195" i="10"/>
  <c r="F196" i="10"/>
  <c r="H196" i="10"/>
  <c r="F197" i="10"/>
  <c r="H197" i="10"/>
  <c r="F198" i="10"/>
  <c r="H198" i="10"/>
  <c r="F199" i="10"/>
  <c r="H199" i="10"/>
  <c r="F200" i="10"/>
  <c r="H200" i="10"/>
  <c r="F201" i="10"/>
  <c r="H201" i="10"/>
  <c r="F202" i="10"/>
  <c r="H202" i="10"/>
  <c r="F203" i="10"/>
  <c r="H203" i="10"/>
  <c r="F204" i="10"/>
  <c r="H204" i="10"/>
  <c r="F205" i="10"/>
  <c r="H205" i="10"/>
  <c r="F206" i="10"/>
  <c r="H206" i="10"/>
  <c r="F207" i="10"/>
  <c r="H207" i="10"/>
  <c r="F208" i="10"/>
  <c r="H208" i="10"/>
  <c r="F209" i="10"/>
  <c r="H209" i="10"/>
  <c r="F210" i="10"/>
  <c r="H210" i="10"/>
  <c r="F211" i="10"/>
  <c r="H211" i="10"/>
  <c r="F212" i="10"/>
  <c r="H212" i="10"/>
  <c r="F213" i="10"/>
  <c r="H213" i="10"/>
  <c r="F214" i="10"/>
  <c r="H214" i="10"/>
  <c r="F215" i="10"/>
  <c r="H215" i="10"/>
  <c r="F216" i="10"/>
  <c r="H216" i="10"/>
  <c r="F217" i="10"/>
  <c r="H217" i="10"/>
  <c r="F218" i="10"/>
  <c r="H218" i="10"/>
  <c r="F219" i="10"/>
  <c r="H219" i="10"/>
  <c r="F220" i="10"/>
  <c r="H220" i="10"/>
  <c r="F221" i="10"/>
  <c r="H221" i="10"/>
  <c r="F222" i="10"/>
  <c r="H222" i="10"/>
  <c r="F223" i="10"/>
  <c r="H223" i="10"/>
  <c r="F224" i="10"/>
  <c r="H224" i="10"/>
  <c r="F225" i="10"/>
  <c r="H225" i="10"/>
  <c r="F226" i="10"/>
  <c r="H226" i="10"/>
  <c r="F227" i="10"/>
  <c r="H227" i="10"/>
  <c r="F228" i="10"/>
  <c r="H228" i="10"/>
  <c r="F229" i="10"/>
  <c r="H229" i="10"/>
  <c r="F230" i="10"/>
  <c r="H230" i="10"/>
  <c r="F231" i="10"/>
  <c r="H231" i="10"/>
  <c r="F232" i="10"/>
  <c r="H232" i="10"/>
  <c r="F233" i="10"/>
  <c r="H233" i="10"/>
  <c r="F234" i="10"/>
  <c r="H234" i="10"/>
  <c r="F235" i="10"/>
  <c r="H235" i="10"/>
  <c r="F236" i="10"/>
  <c r="H236" i="10"/>
  <c r="F237" i="10"/>
  <c r="H237" i="10"/>
  <c r="F238" i="10"/>
  <c r="H238" i="10"/>
  <c r="F239" i="10"/>
  <c r="H239" i="10"/>
  <c r="F240" i="10"/>
  <c r="H240" i="10"/>
  <c r="F241" i="10"/>
  <c r="H241" i="10"/>
  <c r="F242" i="10"/>
  <c r="H242" i="10"/>
  <c r="F243" i="10"/>
  <c r="H243" i="10"/>
  <c r="F244" i="10"/>
  <c r="H244" i="10"/>
  <c r="F245" i="10"/>
  <c r="H245" i="10"/>
  <c r="F246" i="10"/>
  <c r="H246" i="10"/>
  <c r="F247" i="10"/>
  <c r="H247" i="10"/>
  <c r="F248" i="10"/>
  <c r="H248" i="10"/>
  <c r="F249" i="10"/>
  <c r="H249" i="10"/>
  <c r="F250" i="10"/>
  <c r="H250" i="10"/>
  <c r="F251" i="10"/>
  <c r="H251" i="10"/>
  <c r="F252" i="10"/>
  <c r="H252" i="10"/>
  <c r="F253" i="10"/>
  <c r="H253" i="10"/>
  <c r="F254" i="10"/>
  <c r="H254" i="10"/>
  <c r="F255" i="10"/>
  <c r="H255" i="10"/>
  <c r="F256" i="10"/>
  <c r="H256" i="10"/>
  <c r="F257" i="10"/>
  <c r="H257" i="10"/>
  <c r="F258" i="10"/>
  <c r="H258" i="10"/>
  <c r="F259" i="10"/>
  <c r="H259" i="10"/>
  <c r="F260" i="10"/>
  <c r="H260" i="10"/>
  <c r="F261" i="10"/>
  <c r="H261" i="10"/>
  <c r="F262" i="10"/>
  <c r="H262" i="10"/>
  <c r="F263" i="10"/>
  <c r="H263" i="10"/>
  <c r="F264" i="10"/>
  <c r="H264" i="10"/>
  <c r="F265" i="10"/>
  <c r="H265" i="10"/>
  <c r="F266" i="10"/>
  <c r="H266" i="10"/>
  <c r="F267" i="10"/>
  <c r="H267" i="10"/>
  <c r="F268" i="10"/>
  <c r="H268" i="10"/>
  <c r="F269" i="10"/>
  <c r="H269" i="10"/>
  <c r="F270" i="10"/>
  <c r="H270" i="10"/>
  <c r="F271" i="10"/>
  <c r="H271" i="10"/>
  <c r="F272" i="10"/>
  <c r="H272" i="10"/>
  <c r="F273" i="10"/>
  <c r="H273" i="10"/>
  <c r="F274" i="10"/>
  <c r="H274" i="10"/>
  <c r="F275" i="10"/>
  <c r="H275" i="10"/>
  <c r="F276" i="10"/>
  <c r="H276" i="10"/>
  <c r="F277" i="10"/>
  <c r="H277" i="10"/>
  <c r="F278" i="10"/>
  <c r="H278" i="10"/>
  <c r="F279" i="10"/>
  <c r="H279" i="10"/>
  <c r="F280" i="10"/>
  <c r="H280" i="10"/>
  <c r="F281" i="10"/>
  <c r="H281" i="10"/>
  <c r="F282" i="10"/>
  <c r="H282" i="10"/>
  <c r="F283" i="10"/>
  <c r="H283" i="10"/>
  <c r="F284" i="10"/>
  <c r="H284" i="10"/>
  <c r="F285" i="10"/>
  <c r="H285" i="10"/>
  <c r="F286" i="10"/>
  <c r="H286" i="10"/>
  <c r="F287" i="10"/>
  <c r="H287" i="10"/>
  <c r="F288" i="10"/>
  <c r="H288" i="10"/>
  <c r="F289" i="10"/>
  <c r="H289" i="10"/>
  <c r="F290" i="10"/>
  <c r="H290" i="10"/>
  <c r="F291" i="10"/>
  <c r="H291" i="10"/>
  <c r="F292" i="10"/>
  <c r="H292" i="10"/>
  <c r="F293" i="10"/>
  <c r="H293" i="10"/>
  <c r="F294" i="10"/>
  <c r="H294" i="10"/>
  <c r="F295" i="10"/>
  <c r="H295" i="10"/>
  <c r="F296" i="10"/>
  <c r="H296" i="10"/>
  <c r="F297" i="10"/>
  <c r="H297" i="10"/>
  <c r="F298" i="10"/>
  <c r="H298" i="10"/>
  <c r="F299" i="10"/>
  <c r="H299" i="10"/>
  <c r="F300" i="10"/>
  <c r="H300" i="10"/>
  <c r="F301" i="10"/>
  <c r="H301" i="10"/>
  <c r="F302" i="10"/>
  <c r="H302" i="10"/>
  <c r="F303" i="10"/>
  <c r="H303" i="10"/>
  <c r="F304" i="10"/>
  <c r="H304" i="10"/>
  <c r="F305" i="10"/>
  <c r="H305" i="10"/>
  <c r="F306" i="10"/>
  <c r="H306" i="10"/>
  <c r="F307" i="10"/>
  <c r="H307" i="10"/>
  <c r="F308" i="10"/>
  <c r="H308" i="10"/>
  <c r="F309" i="10"/>
  <c r="H309" i="10"/>
  <c r="F310" i="10"/>
  <c r="H310" i="10"/>
  <c r="F311" i="10"/>
  <c r="H311" i="10"/>
  <c r="F312" i="10"/>
  <c r="H312" i="10"/>
  <c r="F313" i="10"/>
  <c r="H313" i="10"/>
  <c r="F314" i="10"/>
  <c r="H314" i="10"/>
  <c r="F315" i="10"/>
  <c r="H315" i="10"/>
  <c r="F316" i="10"/>
  <c r="H316" i="10"/>
  <c r="F317" i="10"/>
  <c r="H317" i="10"/>
  <c r="F318" i="10"/>
  <c r="H318" i="10"/>
  <c r="F319" i="10"/>
  <c r="H319" i="10"/>
  <c r="F320" i="10"/>
  <c r="H320" i="10"/>
  <c r="F321" i="10"/>
  <c r="H321" i="10"/>
  <c r="F322" i="10"/>
  <c r="H322" i="10"/>
  <c r="F323" i="10"/>
  <c r="H323" i="10"/>
  <c r="F324" i="10"/>
  <c r="H324" i="10"/>
  <c r="F325" i="10"/>
  <c r="H325" i="10"/>
  <c r="F326" i="10"/>
  <c r="H326" i="10"/>
  <c r="F327" i="10"/>
  <c r="H327" i="10"/>
  <c r="F328" i="10"/>
  <c r="H328" i="10"/>
  <c r="F329" i="10"/>
  <c r="H329" i="10"/>
  <c r="F330" i="10"/>
  <c r="H330" i="10"/>
  <c r="F331" i="10"/>
  <c r="H331" i="10"/>
  <c r="F332" i="10"/>
  <c r="H332" i="10"/>
  <c r="F333" i="10"/>
  <c r="H333" i="10"/>
  <c r="F334" i="10"/>
  <c r="H334" i="10"/>
  <c r="F335" i="10"/>
  <c r="H335" i="10"/>
  <c r="F336" i="10"/>
  <c r="H336" i="10"/>
  <c r="F337" i="10"/>
  <c r="H337" i="10"/>
  <c r="F338" i="10"/>
  <c r="H338" i="10"/>
  <c r="F339" i="10"/>
  <c r="H339" i="10"/>
  <c r="F340" i="10"/>
  <c r="H340" i="10"/>
  <c r="F341" i="10"/>
  <c r="H341" i="10"/>
  <c r="F342" i="10"/>
  <c r="H342" i="10"/>
  <c r="F343" i="10"/>
  <c r="H343" i="10"/>
  <c r="F344" i="10"/>
  <c r="H344" i="10"/>
  <c r="F345" i="10"/>
  <c r="H345" i="10"/>
  <c r="F346" i="10"/>
  <c r="H346" i="10"/>
  <c r="F347" i="10"/>
  <c r="H347" i="10"/>
  <c r="F348" i="10"/>
  <c r="H348" i="10"/>
  <c r="F349" i="10"/>
  <c r="H349" i="10"/>
  <c r="F350" i="10"/>
  <c r="H350" i="10"/>
  <c r="F351" i="10"/>
  <c r="H351" i="10"/>
  <c r="F352" i="10"/>
  <c r="H352" i="10"/>
  <c r="F353" i="10"/>
  <c r="H353" i="10"/>
  <c r="F354" i="10"/>
  <c r="H354" i="10"/>
  <c r="F355" i="10"/>
  <c r="H355" i="10"/>
  <c r="F356" i="10"/>
  <c r="H356" i="10"/>
  <c r="F357" i="10"/>
  <c r="H357" i="10"/>
  <c r="F358" i="10"/>
  <c r="H358" i="10"/>
  <c r="F359" i="10"/>
  <c r="H359" i="10"/>
  <c r="F360" i="10"/>
  <c r="H360" i="10"/>
  <c r="F361" i="10"/>
  <c r="H361" i="10"/>
  <c r="F362" i="10"/>
  <c r="H362" i="10"/>
  <c r="F363" i="10"/>
  <c r="H363" i="10"/>
  <c r="F364" i="10"/>
  <c r="H364" i="10"/>
  <c r="F365" i="10"/>
  <c r="H365" i="10"/>
  <c r="F366" i="10"/>
  <c r="H366" i="10"/>
  <c r="F367" i="10"/>
  <c r="H367" i="10"/>
  <c r="F368" i="10"/>
  <c r="H368" i="10"/>
  <c r="F369" i="10"/>
  <c r="H369" i="10"/>
  <c r="F370" i="10"/>
  <c r="H370" i="10"/>
  <c r="F371" i="10"/>
  <c r="H371" i="10"/>
  <c r="F372" i="10"/>
  <c r="H372" i="10"/>
  <c r="F373" i="10"/>
  <c r="H373" i="10"/>
  <c r="F374" i="10"/>
  <c r="H374" i="10"/>
  <c r="F375" i="10"/>
  <c r="H375" i="10"/>
  <c r="F376" i="10"/>
  <c r="H376" i="10"/>
  <c r="F377" i="10"/>
  <c r="H377" i="10"/>
  <c r="F378" i="10"/>
  <c r="H378" i="10"/>
  <c r="F379" i="10"/>
  <c r="H379" i="10"/>
  <c r="F380" i="10"/>
  <c r="H380" i="10"/>
  <c r="F381" i="10"/>
  <c r="H381" i="10"/>
  <c r="F382" i="10"/>
  <c r="H382" i="10"/>
  <c r="F383" i="10"/>
  <c r="H383" i="10"/>
  <c r="F384" i="10"/>
  <c r="H384" i="10"/>
  <c r="F385" i="10"/>
  <c r="H385" i="10"/>
  <c r="F386" i="10"/>
  <c r="H386" i="10"/>
  <c r="F387" i="10"/>
  <c r="H387" i="10"/>
  <c r="F388" i="10"/>
  <c r="H388" i="10"/>
  <c r="F389" i="10"/>
  <c r="H389" i="10"/>
  <c r="F390" i="10"/>
  <c r="H390" i="10"/>
  <c r="F391" i="10"/>
  <c r="H391" i="10"/>
  <c r="F392" i="10"/>
  <c r="H392" i="10"/>
  <c r="F393" i="10"/>
  <c r="H393" i="10"/>
  <c r="F394" i="10"/>
  <c r="H394" i="10"/>
  <c r="F395" i="10"/>
  <c r="H395" i="10"/>
  <c r="F396" i="10"/>
  <c r="H396" i="10"/>
  <c r="F397" i="10"/>
  <c r="H397" i="10"/>
  <c r="F398" i="10"/>
  <c r="H398" i="10"/>
  <c r="F399" i="10"/>
  <c r="H399" i="10"/>
  <c r="F400" i="10"/>
  <c r="H400" i="10"/>
  <c r="F401" i="10"/>
  <c r="H401" i="10"/>
  <c r="F402" i="10"/>
  <c r="H402" i="10"/>
  <c r="F403" i="10"/>
  <c r="H403" i="10"/>
  <c r="F404" i="10"/>
  <c r="H404" i="10"/>
  <c r="F405" i="10"/>
  <c r="H405" i="10"/>
  <c r="F406" i="10"/>
  <c r="H406" i="10"/>
  <c r="F407" i="10"/>
  <c r="H407" i="10"/>
  <c r="F408" i="10"/>
  <c r="H408" i="10"/>
  <c r="F409" i="10"/>
  <c r="H409" i="10"/>
  <c r="F410" i="10"/>
  <c r="H410" i="10"/>
  <c r="F411" i="10"/>
  <c r="H411" i="10"/>
  <c r="F412" i="10"/>
  <c r="H412" i="10"/>
  <c r="F413" i="10"/>
  <c r="H413" i="10"/>
  <c r="F414" i="10"/>
  <c r="H414" i="10"/>
  <c r="F415" i="10"/>
  <c r="H415" i="10"/>
  <c r="F416" i="10"/>
  <c r="H416" i="10"/>
  <c r="F417" i="10"/>
  <c r="H417" i="10"/>
  <c r="F418" i="10"/>
  <c r="H418" i="10"/>
  <c r="F419" i="10"/>
  <c r="H419" i="10"/>
  <c r="F420" i="10"/>
  <c r="H420" i="10"/>
  <c r="F421" i="10"/>
  <c r="H421" i="10"/>
  <c r="F422" i="10"/>
  <c r="H422" i="10"/>
  <c r="F423" i="10"/>
  <c r="H423" i="10"/>
  <c r="F424" i="10"/>
  <c r="H424" i="10"/>
  <c r="F425" i="10"/>
  <c r="H425" i="10"/>
  <c r="F426" i="10"/>
  <c r="H426" i="10"/>
  <c r="F427" i="10"/>
  <c r="H427" i="10"/>
  <c r="F428" i="10"/>
  <c r="H428" i="10"/>
  <c r="F429" i="10"/>
  <c r="H429" i="10"/>
  <c r="F430" i="10"/>
  <c r="H430" i="10"/>
  <c r="F431" i="10"/>
  <c r="H431" i="10"/>
  <c r="F432" i="10"/>
  <c r="H432" i="10"/>
  <c r="F433" i="10"/>
  <c r="H433" i="10"/>
  <c r="F434" i="10"/>
  <c r="H434" i="10"/>
  <c r="F435" i="10"/>
  <c r="H435" i="10"/>
  <c r="F436" i="10"/>
  <c r="H436" i="10"/>
  <c r="F437" i="10"/>
  <c r="H437" i="10"/>
  <c r="F438" i="10"/>
  <c r="H438" i="10"/>
  <c r="F439" i="10"/>
  <c r="H439" i="10"/>
  <c r="F440" i="10"/>
  <c r="H440" i="10"/>
  <c r="F441" i="10"/>
  <c r="H441" i="10"/>
  <c r="F442" i="10"/>
  <c r="H442" i="10"/>
  <c r="F443" i="10"/>
  <c r="H443" i="10"/>
  <c r="F444" i="10"/>
  <c r="H444" i="10"/>
  <c r="F445" i="10"/>
  <c r="H445" i="10"/>
  <c r="F446" i="10"/>
  <c r="H446" i="10"/>
  <c r="F447" i="10"/>
  <c r="H447" i="10"/>
  <c r="F448" i="10"/>
  <c r="H448" i="10"/>
  <c r="F449" i="10"/>
  <c r="H449" i="10"/>
  <c r="F450" i="10"/>
  <c r="H450" i="10"/>
  <c r="F451" i="10"/>
  <c r="H451" i="10"/>
  <c r="F452" i="10"/>
  <c r="H452" i="10"/>
  <c r="F453" i="10"/>
  <c r="H453" i="10"/>
  <c r="F454" i="10"/>
  <c r="H454" i="10"/>
  <c r="F455" i="10"/>
  <c r="H455" i="10"/>
  <c r="F456" i="10"/>
  <c r="H456" i="10"/>
  <c r="F457" i="10"/>
  <c r="H457" i="10"/>
  <c r="F458" i="10"/>
  <c r="H458" i="10"/>
  <c r="F459" i="10"/>
  <c r="H459" i="10"/>
  <c r="F460" i="10"/>
  <c r="H460" i="10"/>
  <c r="F461" i="10"/>
  <c r="H461" i="10"/>
  <c r="F462" i="10"/>
  <c r="H462" i="10"/>
  <c r="F463" i="10"/>
  <c r="H463" i="10"/>
  <c r="F464" i="10"/>
  <c r="H464" i="10"/>
  <c r="F465" i="10"/>
  <c r="H465" i="10"/>
  <c r="F466" i="10"/>
  <c r="H466" i="10"/>
  <c r="F467" i="10"/>
  <c r="H467" i="10"/>
  <c r="F468" i="10"/>
  <c r="H468" i="10"/>
  <c r="F469" i="10"/>
  <c r="H469" i="10"/>
  <c r="F470" i="10"/>
  <c r="H470" i="10"/>
  <c r="F471" i="10"/>
  <c r="H471" i="10"/>
  <c r="F472" i="10"/>
  <c r="H472" i="10"/>
  <c r="F473" i="10"/>
  <c r="H473" i="10"/>
  <c r="F474" i="10"/>
  <c r="H474" i="10"/>
  <c r="F475" i="10"/>
  <c r="H475" i="10"/>
  <c r="F476" i="10"/>
  <c r="H476" i="10"/>
  <c r="F477" i="10"/>
  <c r="H477" i="10"/>
  <c r="F478" i="10"/>
  <c r="H478" i="10"/>
  <c r="F479" i="10"/>
  <c r="H479" i="10"/>
  <c r="F480" i="10"/>
  <c r="H480" i="10"/>
  <c r="F481" i="10"/>
  <c r="H481" i="10"/>
  <c r="F482" i="10"/>
  <c r="H482" i="10"/>
  <c r="F483" i="10"/>
  <c r="H483" i="10"/>
  <c r="F484" i="10"/>
  <c r="H484" i="10"/>
  <c r="F485" i="10"/>
  <c r="H485" i="10"/>
  <c r="F486" i="10"/>
  <c r="H486" i="10"/>
  <c r="F487" i="10"/>
  <c r="H487" i="10"/>
  <c r="F488" i="10"/>
  <c r="H488" i="10"/>
  <c r="F489" i="10"/>
  <c r="H489" i="10"/>
  <c r="F490" i="10"/>
  <c r="H490" i="10"/>
  <c r="F491" i="10"/>
  <c r="H491" i="10"/>
  <c r="F492" i="10"/>
  <c r="H492" i="10"/>
  <c r="F493" i="10"/>
  <c r="H493" i="10"/>
  <c r="F494" i="10"/>
  <c r="H494" i="10"/>
  <c r="F495" i="10"/>
  <c r="H495" i="10"/>
  <c r="F496" i="10"/>
  <c r="H496" i="10"/>
  <c r="F497" i="10"/>
  <c r="H497" i="10"/>
  <c r="F498" i="10"/>
  <c r="H498" i="10"/>
  <c r="F499" i="10"/>
  <c r="H499" i="10"/>
  <c r="F500" i="10"/>
  <c r="H500" i="10"/>
  <c r="F501" i="10"/>
  <c r="H501" i="10"/>
  <c r="F502" i="10"/>
  <c r="H502" i="10"/>
  <c r="F503" i="10"/>
  <c r="H503" i="10"/>
  <c r="F504" i="10"/>
  <c r="H504" i="10"/>
  <c r="F505" i="10"/>
  <c r="H505" i="10"/>
  <c r="F506" i="10"/>
  <c r="H506" i="10"/>
  <c r="F507" i="10"/>
  <c r="H507" i="10"/>
  <c r="F508" i="10"/>
  <c r="H508" i="10"/>
  <c r="F509" i="10"/>
  <c r="H509" i="10"/>
  <c r="F510" i="10"/>
  <c r="H510" i="10"/>
  <c r="F511" i="10"/>
  <c r="H511" i="10"/>
  <c r="F512" i="10"/>
  <c r="H512" i="10"/>
  <c r="F513" i="10"/>
  <c r="H513" i="10"/>
  <c r="F514" i="10"/>
  <c r="H514" i="10"/>
  <c r="F515" i="10"/>
  <c r="H515" i="10"/>
  <c r="F516" i="10"/>
  <c r="H516" i="10"/>
  <c r="F517" i="10"/>
  <c r="H517" i="10"/>
  <c r="F518" i="10"/>
  <c r="H518" i="10"/>
  <c r="F519" i="10"/>
  <c r="H519" i="10"/>
  <c r="F520" i="10"/>
  <c r="H520" i="10"/>
  <c r="F521" i="10"/>
  <c r="H521" i="10"/>
  <c r="F522" i="10"/>
  <c r="H522" i="10"/>
  <c r="F523" i="10"/>
  <c r="H523" i="10"/>
  <c r="F524" i="10"/>
  <c r="H524" i="10"/>
  <c r="F525" i="10"/>
  <c r="H525" i="10"/>
  <c r="F526" i="10"/>
  <c r="H526" i="10"/>
  <c r="F527" i="10"/>
  <c r="H527" i="10"/>
  <c r="F528" i="10"/>
  <c r="H528" i="10"/>
  <c r="F529" i="10"/>
  <c r="H529" i="10"/>
  <c r="F530" i="10"/>
  <c r="H530" i="10"/>
  <c r="F531" i="10"/>
  <c r="H531" i="10"/>
  <c r="F532" i="10"/>
  <c r="H532" i="10"/>
  <c r="F533" i="10"/>
  <c r="H533" i="10"/>
  <c r="F534" i="10"/>
  <c r="H534" i="10"/>
  <c r="F535" i="10"/>
  <c r="H535" i="10"/>
  <c r="F536" i="10"/>
  <c r="H536" i="10"/>
  <c r="F537" i="10"/>
  <c r="H537" i="10"/>
  <c r="F538" i="10"/>
  <c r="H538" i="10"/>
  <c r="F539" i="10"/>
  <c r="H539" i="10"/>
  <c r="F540" i="10"/>
  <c r="H540" i="10"/>
  <c r="F541" i="10"/>
  <c r="H541" i="10"/>
  <c r="F542" i="10"/>
  <c r="H542" i="10"/>
  <c r="F543" i="10"/>
  <c r="H543" i="10"/>
  <c r="F544" i="10"/>
  <c r="H544" i="10"/>
  <c r="F545" i="10"/>
  <c r="H545" i="10"/>
  <c r="F546" i="10"/>
  <c r="H546" i="10"/>
  <c r="F547" i="10"/>
  <c r="H547" i="10"/>
  <c r="F548" i="10"/>
  <c r="H548" i="10"/>
  <c r="F549" i="10"/>
  <c r="H549" i="10"/>
  <c r="F550" i="10"/>
  <c r="H550" i="10"/>
  <c r="F551" i="10"/>
  <c r="H551" i="10"/>
  <c r="F552" i="10"/>
  <c r="H552" i="10"/>
  <c r="F553" i="10"/>
  <c r="H553" i="10"/>
  <c r="F554" i="10"/>
  <c r="H554" i="10"/>
  <c r="F555" i="10"/>
  <c r="H555" i="10"/>
  <c r="F556" i="10"/>
  <c r="H556" i="10"/>
  <c r="F557" i="10"/>
  <c r="H557" i="10"/>
  <c r="F558" i="10"/>
  <c r="H558" i="10"/>
  <c r="F559" i="10"/>
  <c r="H559" i="10"/>
  <c r="F560" i="10"/>
  <c r="H560" i="10"/>
  <c r="F561" i="10"/>
  <c r="H561" i="10"/>
  <c r="F562" i="10"/>
  <c r="H562" i="10"/>
  <c r="F563" i="10"/>
  <c r="H563" i="10"/>
  <c r="F564" i="10"/>
  <c r="H564" i="10"/>
  <c r="F565" i="10"/>
  <c r="H565" i="10"/>
  <c r="F566" i="10"/>
  <c r="H566" i="10"/>
  <c r="F567" i="10"/>
  <c r="H567" i="10"/>
  <c r="F568" i="10"/>
  <c r="H568" i="10"/>
  <c r="F569" i="10"/>
  <c r="H569" i="10"/>
  <c r="F570" i="10"/>
  <c r="H570" i="10"/>
  <c r="F571" i="10"/>
  <c r="H571" i="10"/>
  <c r="F572" i="10"/>
  <c r="H572" i="10"/>
  <c r="F573" i="10"/>
  <c r="H573" i="10"/>
  <c r="F574" i="10"/>
  <c r="H574" i="10"/>
  <c r="F575" i="10"/>
  <c r="H575" i="10"/>
  <c r="F576" i="10"/>
  <c r="H576" i="10"/>
  <c r="F577" i="10"/>
  <c r="H577" i="10"/>
  <c r="F578" i="10"/>
  <c r="H578" i="10"/>
  <c r="F579" i="10"/>
  <c r="H579" i="10"/>
  <c r="F580" i="10"/>
  <c r="H580" i="10"/>
  <c r="F581" i="10"/>
  <c r="H581" i="10"/>
  <c r="F582" i="10"/>
  <c r="H582" i="10"/>
  <c r="F583" i="10"/>
  <c r="H583" i="10"/>
  <c r="F584" i="10"/>
  <c r="H584" i="10"/>
  <c r="F585" i="10"/>
  <c r="H585" i="10"/>
  <c r="F586" i="10"/>
  <c r="H586" i="10"/>
  <c r="F587" i="10"/>
  <c r="H587" i="10"/>
  <c r="F588" i="10"/>
  <c r="H588" i="10"/>
  <c r="F589" i="10"/>
  <c r="H589" i="10"/>
  <c r="F590" i="10"/>
  <c r="H590" i="10"/>
  <c r="F591" i="10"/>
  <c r="H591" i="10"/>
  <c r="F592" i="10"/>
  <c r="H592" i="10"/>
  <c r="F593" i="10"/>
  <c r="H593" i="10"/>
  <c r="F594" i="10"/>
  <c r="H594" i="10"/>
  <c r="F595" i="10"/>
  <c r="H595" i="10"/>
  <c r="F596" i="10"/>
  <c r="H596" i="10"/>
  <c r="F597" i="10"/>
  <c r="H597" i="10"/>
  <c r="F598" i="10"/>
  <c r="H598" i="10"/>
  <c r="F599" i="10"/>
  <c r="H599" i="10"/>
  <c r="F600" i="10"/>
  <c r="H600" i="10"/>
  <c r="F601" i="10"/>
  <c r="H601" i="10"/>
  <c r="F602" i="10"/>
  <c r="H602" i="10"/>
  <c r="F603" i="10"/>
  <c r="H603" i="10"/>
  <c r="F604" i="10"/>
  <c r="H604" i="10"/>
  <c r="F605" i="10"/>
  <c r="H605" i="10"/>
  <c r="F606" i="10"/>
  <c r="H606" i="10"/>
  <c r="F607" i="10"/>
  <c r="H607" i="10"/>
  <c r="F608" i="10"/>
  <c r="H608" i="10"/>
  <c r="F609" i="10"/>
  <c r="H609" i="10"/>
  <c r="F610" i="10"/>
  <c r="H610" i="10"/>
  <c r="F611" i="10"/>
  <c r="H611" i="10"/>
  <c r="F612" i="10"/>
  <c r="H612" i="10"/>
  <c r="F613" i="10"/>
  <c r="H613" i="10"/>
  <c r="F614" i="10"/>
  <c r="H614" i="10"/>
  <c r="F615" i="10"/>
  <c r="H615" i="10"/>
  <c r="F616" i="10"/>
  <c r="H616" i="10"/>
  <c r="F617" i="10"/>
  <c r="H617" i="10"/>
  <c r="F618" i="10"/>
  <c r="H618" i="10"/>
  <c r="F619" i="10"/>
  <c r="H619" i="10"/>
  <c r="F620" i="10"/>
  <c r="H620" i="10"/>
  <c r="F621" i="10"/>
  <c r="H621" i="10"/>
  <c r="F622" i="10"/>
  <c r="H622" i="10"/>
  <c r="F623" i="10"/>
  <c r="H623" i="10"/>
  <c r="F624" i="10"/>
  <c r="H624" i="10"/>
  <c r="F625" i="10"/>
  <c r="H625" i="10"/>
  <c r="F626" i="10"/>
  <c r="H626" i="10"/>
  <c r="F627" i="10"/>
  <c r="H627" i="10"/>
  <c r="F628" i="10"/>
  <c r="H628" i="10"/>
  <c r="F629" i="10"/>
  <c r="H629" i="10"/>
  <c r="F630" i="10"/>
  <c r="H630" i="10"/>
  <c r="F631" i="10"/>
  <c r="H631" i="10"/>
  <c r="F632" i="10"/>
  <c r="H632" i="10"/>
  <c r="F633" i="10"/>
  <c r="H633" i="10"/>
  <c r="F634" i="10"/>
  <c r="H634" i="10"/>
  <c r="F635" i="10"/>
  <c r="H635" i="10"/>
  <c r="F636" i="10"/>
  <c r="H636" i="10"/>
  <c r="F637" i="10"/>
  <c r="H637" i="10"/>
  <c r="F638" i="10"/>
  <c r="H638" i="10"/>
  <c r="F639" i="10"/>
  <c r="H639" i="10"/>
  <c r="F640" i="10"/>
  <c r="H640" i="10"/>
  <c r="F641" i="10"/>
  <c r="H641" i="10"/>
  <c r="F642" i="10"/>
  <c r="H642" i="10"/>
  <c r="F643" i="10"/>
  <c r="H643" i="10"/>
  <c r="F644" i="10"/>
  <c r="H644" i="10"/>
  <c r="F645" i="10"/>
  <c r="H645" i="10"/>
  <c r="F646" i="10"/>
  <c r="H646" i="10"/>
  <c r="F647" i="10"/>
  <c r="H647" i="10"/>
  <c r="F648" i="10"/>
  <c r="H648" i="10"/>
  <c r="F649" i="10"/>
  <c r="H649" i="10"/>
  <c r="F650" i="10"/>
  <c r="H650" i="10"/>
  <c r="F651" i="10"/>
  <c r="H651" i="10"/>
  <c r="F652" i="10"/>
  <c r="H652" i="10"/>
  <c r="F653" i="10"/>
  <c r="H653" i="10"/>
  <c r="F654" i="10"/>
  <c r="H654" i="10"/>
  <c r="F655" i="10"/>
  <c r="H655" i="10"/>
  <c r="F656" i="10"/>
  <c r="H656" i="10"/>
  <c r="F657" i="10"/>
  <c r="H657" i="10"/>
  <c r="F658" i="10"/>
  <c r="H658" i="10"/>
  <c r="F659" i="10"/>
  <c r="H659" i="10"/>
  <c r="F660" i="10"/>
  <c r="H660" i="10"/>
  <c r="F661" i="10"/>
  <c r="H661" i="10"/>
  <c r="F662" i="10"/>
  <c r="H662" i="10"/>
  <c r="F663" i="10"/>
  <c r="H663" i="10"/>
  <c r="F664" i="10"/>
  <c r="H664" i="10"/>
  <c r="F665" i="10"/>
  <c r="H665" i="10"/>
  <c r="F666" i="10"/>
  <c r="H666" i="10"/>
  <c r="F667" i="10"/>
  <c r="H667" i="10"/>
  <c r="F668" i="10"/>
  <c r="H668" i="10"/>
  <c r="F669" i="10"/>
  <c r="H669" i="10"/>
  <c r="F670" i="10"/>
  <c r="H670" i="10"/>
  <c r="F671" i="10"/>
  <c r="H671" i="10"/>
  <c r="F672" i="10"/>
  <c r="H672" i="10"/>
  <c r="F673" i="10"/>
  <c r="H673" i="10"/>
  <c r="F674" i="10"/>
  <c r="H674" i="10"/>
  <c r="F675" i="10"/>
  <c r="H675" i="10"/>
  <c r="F676" i="10"/>
  <c r="H676" i="10"/>
  <c r="F677" i="10"/>
  <c r="H677" i="10"/>
  <c r="F678" i="10"/>
  <c r="H678" i="10"/>
  <c r="F679" i="10"/>
  <c r="H679" i="10"/>
  <c r="F680" i="10"/>
  <c r="H680" i="10"/>
  <c r="F681" i="10"/>
  <c r="H681" i="10"/>
  <c r="F682" i="10"/>
  <c r="H682" i="10"/>
  <c r="F683" i="10"/>
  <c r="H683" i="10"/>
  <c r="F684" i="10"/>
  <c r="H684" i="10"/>
  <c r="F685" i="10"/>
  <c r="H685" i="10"/>
  <c r="F686" i="10"/>
  <c r="H686" i="10"/>
  <c r="F687" i="10"/>
  <c r="H687" i="10"/>
  <c r="F688" i="10"/>
  <c r="H688" i="10"/>
  <c r="F689" i="10"/>
  <c r="H689" i="10"/>
  <c r="F690" i="10"/>
  <c r="H690" i="10"/>
  <c r="F691" i="10"/>
  <c r="H691" i="10"/>
  <c r="F692" i="10"/>
  <c r="H692" i="10"/>
  <c r="F693" i="10"/>
  <c r="H693" i="10"/>
  <c r="F694" i="10"/>
  <c r="H694" i="10"/>
  <c r="F695" i="10"/>
  <c r="H695" i="10"/>
  <c r="F696" i="10"/>
  <c r="H696" i="10"/>
  <c r="F697" i="10"/>
  <c r="H697" i="10"/>
  <c r="F698" i="10"/>
  <c r="H698" i="10"/>
  <c r="F699" i="10"/>
  <c r="H699" i="10"/>
  <c r="F700" i="10"/>
  <c r="H700" i="10"/>
  <c r="F701" i="10"/>
  <c r="H701" i="10"/>
  <c r="F702" i="10"/>
  <c r="H702" i="10"/>
  <c r="F703" i="10"/>
  <c r="H703" i="10"/>
  <c r="F704" i="10"/>
  <c r="H704" i="10"/>
  <c r="F705" i="10"/>
  <c r="H705" i="10"/>
  <c r="F706" i="10"/>
  <c r="H706" i="10"/>
  <c r="F707" i="10"/>
  <c r="H707" i="10"/>
  <c r="F708" i="10"/>
  <c r="H708" i="10"/>
  <c r="F709" i="10"/>
  <c r="H709" i="10"/>
  <c r="F710" i="10"/>
  <c r="H710" i="10"/>
  <c r="F711" i="10"/>
  <c r="H711" i="10"/>
  <c r="F712" i="10"/>
  <c r="H712" i="10"/>
  <c r="F713" i="10"/>
  <c r="H713" i="10"/>
  <c r="F714" i="10"/>
  <c r="H714" i="10"/>
  <c r="F715" i="10"/>
  <c r="H715" i="10"/>
  <c r="F716" i="10"/>
  <c r="H716" i="10"/>
  <c r="F717" i="10"/>
  <c r="H717" i="10"/>
  <c r="F718" i="10"/>
  <c r="H718" i="10"/>
  <c r="F719" i="10"/>
  <c r="H719" i="10"/>
  <c r="F720" i="10"/>
  <c r="H720" i="10"/>
  <c r="F721" i="10"/>
  <c r="H721" i="10"/>
  <c r="F722" i="10"/>
  <c r="H722" i="10"/>
  <c r="F723" i="10"/>
  <c r="H723" i="10"/>
  <c r="F724" i="10"/>
  <c r="H724" i="10"/>
  <c r="F725" i="10"/>
  <c r="H725" i="10"/>
  <c r="F726" i="10"/>
  <c r="H726" i="10"/>
  <c r="F727" i="10"/>
  <c r="H727" i="10"/>
  <c r="F728" i="10"/>
  <c r="H728" i="10"/>
  <c r="F729" i="10"/>
  <c r="H729" i="10"/>
  <c r="F730" i="10"/>
  <c r="H730" i="10"/>
  <c r="F731" i="10"/>
  <c r="H731" i="10"/>
  <c r="F732" i="10"/>
  <c r="H732" i="10"/>
  <c r="F733" i="10"/>
  <c r="H733" i="10"/>
  <c r="F734" i="10"/>
  <c r="H734" i="10"/>
  <c r="F735" i="10"/>
  <c r="H735" i="10"/>
  <c r="F736" i="10"/>
  <c r="H736" i="10"/>
  <c r="F737" i="10"/>
  <c r="H737" i="10"/>
  <c r="F738" i="10"/>
  <c r="H738" i="10"/>
  <c r="F739" i="10"/>
  <c r="H739" i="10"/>
  <c r="F740" i="10"/>
  <c r="H740" i="10"/>
  <c r="F741" i="10"/>
  <c r="H741" i="10"/>
  <c r="F742" i="10"/>
  <c r="H742" i="10"/>
  <c r="F743" i="10"/>
  <c r="H743" i="10"/>
  <c r="F744" i="10"/>
  <c r="H744" i="10"/>
  <c r="F745" i="10"/>
  <c r="H745" i="10"/>
  <c r="F746" i="10"/>
  <c r="H746" i="10"/>
  <c r="F747" i="10"/>
  <c r="H747" i="10"/>
  <c r="F748" i="10"/>
  <c r="H748" i="10"/>
  <c r="F749" i="10"/>
  <c r="H749" i="10"/>
  <c r="F750" i="10"/>
  <c r="H750" i="10"/>
  <c r="F751" i="10"/>
  <c r="H751" i="10"/>
  <c r="F752" i="10"/>
  <c r="H752" i="10"/>
  <c r="F753" i="10"/>
  <c r="H753" i="10"/>
  <c r="F754" i="10"/>
  <c r="H754" i="10"/>
  <c r="F755" i="10"/>
  <c r="H755" i="10"/>
  <c r="F756" i="10"/>
  <c r="H756" i="10"/>
  <c r="F757" i="10"/>
  <c r="H757" i="10"/>
  <c r="F758" i="10"/>
  <c r="H758" i="10"/>
  <c r="F759" i="10"/>
  <c r="H759" i="10"/>
  <c r="F760" i="10"/>
  <c r="H760" i="10"/>
  <c r="F761" i="10"/>
  <c r="H761" i="10"/>
  <c r="F762" i="10"/>
  <c r="H762" i="10"/>
  <c r="F763" i="10"/>
  <c r="H763" i="10"/>
  <c r="F764" i="10"/>
  <c r="H764" i="10"/>
  <c r="F765" i="10"/>
  <c r="H765" i="10"/>
  <c r="F766" i="10"/>
  <c r="H766" i="10"/>
  <c r="F767" i="10"/>
  <c r="H767" i="10"/>
  <c r="F768" i="10"/>
  <c r="H768" i="10"/>
  <c r="F769" i="10"/>
  <c r="H769" i="10"/>
  <c r="F770" i="10"/>
  <c r="H770" i="10"/>
  <c r="F771" i="10"/>
  <c r="H771" i="10"/>
  <c r="F772" i="10"/>
  <c r="H772" i="10"/>
  <c r="F773" i="10"/>
  <c r="H773" i="10"/>
  <c r="F774" i="10"/>
  <c r="H774" i="10"/>
  <c r="F775" i="10"/>
  <c r="H775" i="10"/>
  <c r="F776" i="10"/>
  <c r="H776" i="10"/>
  <c r="F777" i="10"/>
  <c r="H777" i="10"/>
  <c r="F778" i="10"/>
  <c r="H778" i="10"/>
  <c r="F779" i="10"/>
  <c r="H779" i="10"/>
  <c r="F780" i="10"/>
  <c r="H780" i="10"/>
  <c r="F781" i="10"/>
  <c r="H781" i="10"/>
  <c r="F782" i="10"/>
  <c r="H782" i="10"/>
  <c r="F783" i="10"/>
  <c r="H783" i="10"/>
  <c r="F784" i="10"/>
  <c r="H784" i="10"/>
  <c r="F785" i="10"/>
  <c r="H785" i="10"/>
  <c r="F786" i="10"/>
  <c r="H786" i="10"/>
  <c r="F787" i="10"/>
  <c r="H787" i="10"/>
  <c r="F788" i="10"/>
  <c r="H788" i="10"/>
  <c r="F789" i="10"/>
  <c r="H789" i="10"/>
  <c r="F790" i="10"/>
  <c r="H790" i="10"/>
  <c r="F791" i="10"/>
  <c r="H791" i="10"/>
  <c r="F792" i="10"/>
  <c r="H792" i="10"/>
  <c r="F793" i="10"/>
  <c r="H793" i="10"/>
  <c r="F794" i="10"/>
  <c r="H794" i="10"/>
  <c r="F795" i="10"/>
  <c r="H795" i="10"/>
  <c r="F796" i="10"/>
  <c r="H796" i="10"/>
  <c r="F797" i="10"/>
  <c r="H797" i="10"/>
  <c r="F798" i="10"/>
  <c r="H798" i="10"/>
  <c r="F799" i="10"/>
  <c r="H799" i="10"/>
  <c r="F800" i="10"/>
  <c r="H800" i="10"/>
  <c r="F801" i="10"/>
  <c r="H801" i="10"/>
  <c r="F802" i="10"/>
  <c r="H802" i="10"/>
  <c r="F803" i="10"/>
  <c r="H803" i="10"/>
  <c r="F804" i="10"/>
  <c r="H804" i="10"/>
  <c r="F805" i="10"/>
  <c r="H805" i="10"/>
  <c r="F806" i="10"/>
  <c r="H806" i="10"/>
  <c r="F807" i="10"/>
  <c r="H807" i="10"/>
  <c r="F808" i="10"/>
  <c r="H808" i="10"/>
  <c r="F809" i="10"/>
  <c r="H809" i="10"/>
  <c r="F810" i="10"/>
  <c r="H810" i="10"/>
  <c r="F811" i="10"/>
  <c r="H811" i="10"/>
  <c r="F812" i="10"/>
  <c r="H812" i="10"/>
  <c r="F813" i="10"/>
  <c r="H813" i="10"/>
  <c r="F814" i="10"/>
  <c r="H814" i="10"/>
  <c r="F815" i="10"/>
  <c r="H815" i="10"/>
  <c r="F816" i="10"/>
  <c r="H816" i="10"/>
  <c r="F817" i="10"/>
  <c r="H817" i="10"/>
  <c r="F818" i="10"/>
  <c r="H818" i="10"/>
  <c r="F819" i="10"/>
  <c r="H819" i="10"/>
  <c r="F820" i="10"/>
  <c r="H820" i="10"/>
  <c r="F821" i="10"/>
  <c r="H821" i="10"/>
  <c r="F822" i="10"/>
  <c r="H822" i="10"/>
  <c r="F823" i="10"/>
  <c r="H823" i="10"/>
  <c r="F824" i="10"/>
  <c r="H824" i="10"/>
  <c r="F825" i="10"/>
  <c r="H825" i="10"/>
  <c r="F826" i="10"/>
  <c r="H826" i="10"/>
  <c r="F827" i="10"/>
  <c r="H827" i="10"/>
  <c r="F828" i="10"/>
  <c r="H828" i="10"/>
  <c r="F829" i="10"/>
  <c r="H829" i="10"/>
  <c r="F830" i="10"/>
  <c r="H830" i="10"/>
  <c r="F831" i="10"/>
  <c r="H831" i="10"/>
  <c r="F832" i="10"/>
  <c r="H832" i="10"/>
  <c r="F833" i="10"/>
  <c r="H833" i="10"/>
  <c r="F834" i="10"/>
  <c r="H834" i="10"/>
  <c r="F835" i="10"/>
  <c r="H835" i="10"/>
  <c r="F836" i="10"/>
  <c r="H836" i="10"/>
  <c r="F837" i="10"/>
  <c r="H837" i="10"/>
  <c r="F838" i="10"/>
  <c r="H838" i="10"/>
  <c r="F839" i="10"/>
  <c r="H839" i="10"/>
  <c r="F840" i="10"/>
  <c r="H840" i="10"/>
  <c r="F841" i="10"/>
  <c r="H841" i="10"/>
  <c r="F842" i="10"/>
  <c r="H842" i="10"/>
  <c r="F843" i="10"/>
  <c r="H843" i="10"/>
  <c r="F844" i="10"/>
  <c r="H844" i="10"/>
  <c r="F845" i="10"/>
  <c r="H845" i="10"/>
  <c r="F846" i="10"/>
  <c r="H846" i="10"/>
  <c r="F847" i="10"/>
  <c r="H847" i="10"/>
  <c r="F848" i="10"/>
  <c r="H848" i="10"/>
  <c r="F849" i="10"/>
  <c r="H849" i="10"/>
  <c r="F850" i="10"/>
  <c r="H850" i="10"/>
  <c r="F851" i="10"/>
  <c r="H851" i="10"/>
  <c r="F852" i="10"/>
  <c r="H852" i="10"/>
  <c r="F853" i="10"/>
  <c r="H853" i="10"/>
  <c r="F854" i="10"/>
  <c r="H854" i="10"/>
  <c r="F855" i="10"/>
  <c r="H855" i="10"/>
  <c r="F856" i="10"/>
  <c r="H856" i="10"/>
  <c r="F857" i="10"/>
  <c r="H857" i="10"/>
  <c r="F858" i="10"/>
  <c r="H858" i="10"/>
  <c r="F859" i="10"/>
  <c r="H859" i="10"/>
  <c r="F860" i="10"/>
  <c r="H860" i="10"/>
  <c r="F861" i="10"/>
  <c r="H861" i="10"/>
  <c r="F862" i="10"/>
  <c r="H862" i="10"/>
  <c r="F863" i="10"/>
  <c r="H863" i="10"/>
  <c r="F864" i="10"/>
  <c r="H864" i="10"/>
  <c r="F865" i="10"/>
  <c r="H865" i="10"/>
  <c r="F866" i="10"/>
  <c r="H866" i="10"/>
  <c r="F867" i="10"/>
  <c r="H867" i="10"/>
  <c r="F868" i="10"/>
  <c r="H868" i="10"/>
  <c r="F869" i="10"/>
  <c r="H869" i="10"/>
  <c r="F870" i="10"/>
  <c r="H870" i="10"/>
  <c r="F871" i="10"/>
  <c r="H871" i="10"/>
  <c r="F872" i="10"/>
  <c r="H872" i="10"/>
  <c r="F873" i="10"/>
  <c r="H873" i="10"/>
  <c r="F874" i="10"/>
  <c r="H874" i="10"/>
  <c r="F875" i="10"/>
  <c r="H875" i="10"/>
  <c r="F876" i="10"/>
  <c r="H876" i="10"/>
  <c r="F877" i="10"/>
  <c r="H877" i="10"/>
  <c r="F878" i="10"/>
  <c r="H878" i="10"/>
  <c r="F879" i="10"/>
  <c r="H879" i="10"/>
  <c r="F880" i="10"/>
  <c r="H880" i="10"/>
  <c r="F881" i="10"/>
  <c r="H881" i="10"/>
  <c r="F882" i="10"/>
  <c r="H882" i="10"/>
  <c r="F883" i="10"/>
  <c r="H883" i="10"/>
  <c r="F884" i="10"/>
  <c r="H884" i="10"/>
  <c r="F885" i="10"/>
  <c r="H885" i="10"/>
  <c r="F886" i="10"/>
  <c r="H886" i="10"/>
  <c r="F887" i="10"/>
  <c r="H887" i="10"/>
  <c r="F888" i="10"/>
  <c r="H888" i="10"/>
  <c r="F889" i="10"/>
  <c r="H889" i="10"/>
  <c r="F890" i="10"/>
  <c r="H890" i="10"/>
  <c r="F891" i="10"/>
  <c r="H891" i="10"/>
  <c r="F892" i="10"/>
  <c r="H892" i="10"/>
  <c r="F893" i="10"/>
  <c r="H893" i="10"/>
  <c r="F894" i="10"/>
  <c r="H894" i="10"/>
  <c r="F895" i="10"/>
  <c r="H895" i="10"/>
  <c r="F896" i="10"/>
  <c r="H896" i="10"/>
  <c r="F897" i="10"/>
  <c r="H897" i="10"/>
  <c r="F898" i="10"/>
  <c r="H898" i="10"/>
  <c r="F899" i="10"/>
  <c r="H899" i="10"/>
  <c r="F900" i="10"/>
  <c r="H900" i="10"/>
  <c r="F901" i="10"/>
  <c r="H901" i="10"/>
  <c r="F902" i="10"/>
  <c r="H902" i="10"/>
  <c r="F903" i="10"/>
  <c r="H903" i="10"/>
  <c r="F904" i="10"/>
  <c r="H904" i="10"/>
  <c r="F905" i="10"/>
  <c r="H905" i="10"/>
  <c r="F906" i="10"/>
  <c r="H906" i="10"/>
  <c r="F907" i="10"/>
  <c r="H907" i="10"/>
  <c r="F908" i="10"/>
  <c r="H908" i="10"/>
  <c r="F909" i="10"/>
  <c r="H909" i="10"/>
  <c r="F910" i="10"/>
  <c r="H910" i="10"/>
  <c r="F911" i="10"/>
  <c r="H911" i="10"/>
  <c r="F912" i="10"/>
  <c r="H912" i="10"/>
  <c r="F913" i="10"/>
  <c r="H913" i="10"/>
  <c r="F914" i="10"/>
  <c r="H914" i="10"/>
  <c r="F915" i="10"/>
  <c r="H915" i="10"/>
  <c r="F916" i="10"/>
  <c r="H916" i="10"/>
  <c r="F917" i="10"/>
  <c r="H917" i="10"/>
  <c r="F918" i="10"/>
  <c r="H918" i="10"/>
  <c r="F919" i="10"/>
  <c r="H919" i="10"/>
  <c r="F920" i="10"/>
  <c r="H920" i="10"/>
  <c r="F921" i="10"/>
  <c r="H921" i="10"/>
  <c r="F922" i="10"/>
  <c r="H922" i="10"/>
  <c r="F923" i="10"/>
  <c r="H923" i="10"/>
  <c r="F924" i="10"/>
  <c r="H924" i="10"/>
  <c r="F925" i="10"/>
  <c r="H925" i="10"/>
  <c r="F926" i="10"/>
  <c r="H926" i="10"/>
  <c r="F927" i="10"/>
  <c r="H927" i="10"/>
  <c r="F928" i="10"/>
  <c r="H928" i="10"/>
  <c r="F929" i="10"/>
  <c r="H929" i="10"/>
  <c r="F930" i="10"/>
  <c r="H930" i="10"/>
  <c r="F931" i="10"/>
  <c r="H931" i="10"/>
  <c r="F932" i="10"/>
  <c r="H932" i="10"/>
  <c r="F933" i="10"/>
  <c r="H933" i="10"/>
  <c r="F934" i="10"/>
  <c r="H934" i="10"/>
  <c r="F935" i="10"/>
  <c r="H935" i="10"/>
  <c r="F936" i="10"/>
  <c r="H936" i="10"/>
  <c r="F937" i="10"/>
  <c r="H937" i="10"/>
  <c r="F938" i="10"/>
  <c r="H938" i="10"/>
  <c r="F939" i="10"/>
  <c r="H939" i="10"/>
  <c r="F940" i="10"/>
  <c r="H940" i="10"/>
  <c r="F941" i="10"/>
  <c r="H941" i="10"/>
  <c r="F942" i="10"/>
  <c r="H942" i="10"/>
  <c r="F943" i="10"/>
  <c r="H943" i="10"/>
  <c r="F944" i="10"/>
  <c r="H944" i="10"/>
  <c r="F945" i="10"/>
  <c r="H945" i="10"/>
  <c r="F946" i="10"/>
  <c r="H946" i="10"/>
  <c r="F947" i="10"/>
  <c r="H947" i="10"/>
  <c r="F948" i="10"/>
  <c r="H948" i="10"/>
  <c r="F949" i="10"/>
  <c r="H949" i="10"/>
  <c r="F950" i="10"/>
  <c r="H950" i="10"/>
  <c r="F951" i="10"/>
  <c r="H951" i="10"/>
  <c r="F952" i="10"/>
  <c r="H952" i="10"/>
  <c r="F953" i="10"/>
  <c r="H953" i="10"/>
  <c r="F954" i="10"/>
  <c r="H954" i="10"/>
  <c r="F955" i="10"/>
  <c r="H955" i="10"/>
  <c r="F956" i="10"/>
  <c r="H956" i="10"/>
  <c r="F957" i="10"/>
  <c r="H957" i="10"/>
  <c r="F958" i="10"/>
  <c r="H958" i="10"/>
  <c r="F959" i="10"/>
  <c r="H959" i="10"/>
  <c r="F960" i="10"/>
  <c r="H960" i="10"/>
  <c r="F961" i="10"/>
  <c r="H961" i="10"/>
  <c r="F962" i="10"/>
  <c r="H962" i="10"/>
  <c r="F963" i="10"/>
  <c r="H963" i="10"/>
  <c r="F964" i="10"/>
  <c r="H964" i="10"/>
  <c r="F965" i="10"/>
  <c r="H965" i="10"/>
  <c r="F966" i="10"/>
  <c r="H966" i="10"/>
  <c r="F967" i="10"/>
  <c r="H967" i="10"/>
  <c r="F968" i="10"/>
  <c r="H968" i="10"/>
  <c r="F969" i="10"/>
  <c r="H969" i="10"/>
  <c r="F970" i="10"/>
  <c r="H970" i="10"/>
  <c r="F971" i="10"/>
  <c r="H971" i="10"/>
  <c r="F972" i="10"/>
  <c r="H972" i="10"/>
  <c r="F973" i="10"/>
  <c r="H973" i="10"/>
  <c r="F974" i="10"/>
  <c r="H974" i="10"/>
  <c r="F975" i="10"/>
  <c r="H975" i="10"/>
  <c r="F976" i="10"/>
  <c r="H976" i="10"/>
  <c r="F977" i="10"/>
  <c r="H977" i="10"/>
  <c r="F978" i="10"/>
  <c r="H978" i="10"/>
  <c r="F979" i="10"/>
  <c r="H979" i="10"/>
  <c r="F980" i="10"/>
  <c r="H980" i="10"/>
  <c r="F981" i="10"/>
  <c r="H981" i="10"/>
  <c r="F982" i="10"/>
  <c r="H982" i="10"/>
  <c r="F983" i="10"/>
  <c r="H983" i="10"/>
  <c r="F984" i="10"/>
  <c r="H984" i="10"/>
  <c r="F985" i="10"/>
  <c r="H985" i="10"/>
  <c r="F986" i="10"/>
  <c r="H986" i="10"/>
  <c r="F987" i="10"/>
  <c r="H987" i="10"/>
  <c r="F988" i="10"/>
  <c r="H988" i="10"/>
  <c r="F989" i="10"/>
  <c r="H989" i="10"/>
  <c r="F990" i="10"/>
  <c r="H990" i="10"/>
  <c r="F991" i="10"/>
  <c r="H991" i="10"/>
  <c r="F992" i="10"/>
  <c r="H992" i="10"/>
  <c r="F993" i="10"/>
  <c r="H993" i="10"/>
  <c r="F994" i="10"/>
  <c r="H994" i="10"/>
  <c r="F995" i="10"/>
  <c r="H995" i="10"/>
  <c r="F996" i="10"/>
  <c r="H996" i="10"/>
  <c r="F997" i="10"/>
  <c r="H997" i="10"/>
  <c r="F998" i="10"/>
  <c r="H998" i="10"/>
  <c r="F999" i="10"/>
  <c r="H999" i="10"/>
  <c r="F1000" i="10"/>
  <c r="H1000" i="10"/>
  <c r="F1001" i="10"/>
  <c r="H1001" i="10"/>
  <c r="F1002" i="10"/>
  <c r="H1002" i="10"/>
  <c r="F1003" i="10"/>
  <c r="H1003" i="10"/>
  <c r="F1004" i="10"/>
  <c r="H1004" i="10"/>
  <c r="F1005" i="10"/>
  <c r="H1005" i="10"/>
  <c r="F1006" i="10"/>
  <c r="H1006" i="10"/>
  <c r="F1007" i="10"/>
  <c r="H1007" i="10"/>
  <c r="F1008" i="10"/>
  <c r="H1008" i="10"/>
  <c r="F1009" i="10"/>
  <c r="H1009" i="10"/>
  <c r="F1010" i="10"/>
  <c r="H1010" i="10"/>
  <c r="F1011" i="10"/>
  <c r="H1011" i="10"/>
  <c r="F1012" i="10"/>
  <c r="H1012" i="10"/>
  <c r="F1013" i="10"/>
  <c r="H1013" i="10"/>
  <c r="F1014" i="10"/>
  <c r="H1014" i="10"/>
  <c r="F1015" i="10"/>
  <c r="H1015" i="10"/>
  <c r="F1016" i="10"/>
  <c r="H1016" i="10"/>
  <c r="F1017" i="10"/>
  <c r="H1017" i="10"/>
  <c r="F1018" i="10"/>
  <c r="H1018" i="10"/>
  <c r="F1019" i="10"/>
  <c r="H1019" i="10"/>
  <c r="F1020" i="10"/>
  <c r="H1020" i="10"/>
  <c r="F1021" i="10"/>
  <c r="H1021" i="10"/>
  <c r="F1022" i="10"/>
  <c r="H1022" i="10"/>
  <c r="F1023" i="10"/>
  <c r="H1023" i="10"/>
  <c r="F1024" i="10"/>
  <c r="H1024" i="10"/>
  <c r="F1025" i="10"/>
  <c r="H1025" i="10"/>
  <c r="F1026" i="10"/>
  <c r="H1026" i="10"/>
  <c r="F1027" i="10"/>
  <c r="H1027" i="10"/>
  <c r="F1028" i="10"/>
  <c r="H1028" i="10"/>
  <c r="F1029" i="10"/>
  <c r="H1029" i="10"/>
  <c r="F1030" i="10"/>
  <c r="H1030" i="10"/>
  <c r="F1031" i="10"/>
  <c r="H1031" i="10"/>
  <c r="F1032" i="10"/>
  <c r="H1032" i="10"/>
  <c r="F1033" i="10"/>
  <c r="H1033" i="10"/>
  <c r="F1034" i="10"/>
  <c r="H1034" i="10"/>
  <c r="F1035" i="10"/>
  <c r="H1035" i="10"/>
  <c r="F1036" i="10"/>
  <c r="H1036" i="10"/>
  <c r="F1037" i="10"/>
  <c r="H1037" i="10"/>
  <c r="F1038" i="10"/>
  <c r="H1038" i="10"/>
  <c r="F1039" i="10"/>
  <c r="H1039" i="10"/>
  <c r="F1040" i="10"/>
  <c r="H1040" i="10"/>
  <c r="F1041" i="10"/>
  <c r="H1041" i="10"/>
  <c r="F1042" i="10"/>
  <c r="H1042" i="10"/>
  <c r="F1043" i="10"/>
  <c r="H1043" i="10"/>
  <c r="F1044" i="10"/>
  <c r="H1044" i="10"/>
  <c r="F1045" i="10"/>
  <c r="H1045" i="10"/>
  <c r="F1046" i="10"/>
  <c r="H1046" i="10"/>
  <c r="F1047" i="10"/>
  <c r="H1047" i="10"/>
  <c r="F1048" i="10"/>
  <c r="H1048" i="10"/>
  <c r="F1049" i="10"/>
  <c r="H1049" i="10"/>
  <c r="F1050" i="10"/>
  <c r="H1050" i="10"/>
  <c r="F1051" i="10"/>
  <c r="H1051" i="10"/>
  <c r="F1052" i="10"/>
  <c r="H1052" i="10"/>
  <c r="F1053" i="10"/>
  <c r="H1053" i="10"/>
  <c r="F1054" i="10"/>
  <c r="H1054" i="10"/>
  <c r="F1055" i="10"/>
  <c r="H1055" i="10"/>
  <c r="F1056" i="10"/>
  <c r="H1056" i="10"/>
  <c r="F1057" i="10"/>
  <c r="H1057" i="10"/>
  <c r="F1058" i="10"/>
  <c r="H1058" i="10"/>
  <c r="F1059" i="10"/>
  <c r="H1059" i="10"/>
  <c r="F1060" i="10"/>
  <c r="H1060" i="10"/>
  <c r="F1061" i="10"/>
  <c r="H1061" i="10"/>
  <c r="F1062" i="10"/>
  <c r="H1062" i="10"/>
  <c r="F1063" i="10"/>
  <c r="H1063" i="10"/>
  <c r="F1064" i="10"/>
  <c r="H1064" i="10"/>
  <c r="F1065" i="10"/>
  <c r="H1065" i="10"/>
  <c r="F1066" i="10"/>
  <c r="H1066" i="10"/>
  <c r="F1067" i="10"/>
  <c r="H1067" i="10"/>
  <c r="F1068" i="10"/>
  <c r="H1068" i="10"/>
  <c r="F1069" i="10"/>
  <c r="H1069" i="10"/>
  <c r="F1070" i="10"/>
  <c r="H1070" i="10"/>
  <c r="F1071" i="10"/>
  <c r="H1071" i="10"/>
  <c r="F1072" i="10"/>
  <c r="H1072" i="10"/>
  <c r="F1073" i="10"/>
  <c r="H1073" i="10"/>
  <c r="F1074" i="10"/>
  <c r="H1074" i="10"/>
  <c r="F1075" i="10"/>
  <c r="H1075" i="10"/>
  <c r="F1076" i="10"/>
  <c r="H1076" i="10"/>
  <c r="F1077" i="10"/>
  <c r="H1077" i="10"/>
  <c r="F1078" i="10"/>
  <c r="H1078" i="10"/>
  <c r="F1079" i="10"/>
  <c r="H1079" i="10"/>
  <c r="F1080" i="10"/>
  <c r="H1080" i="10"/>
  <c r="F1081" i="10"/>
  <c r="H1081" i="10"/>
  <c r="F1082" i="10"/>
  <c r="H1082" i="10"/>
  <c r="F1083" i="10"/>
  <c r="H1083" i="10"/>
  <c r="F1084" i="10"/>
  <c r="H1084" i="10"/>
  <c r="F1085" i="10"/>
  <c r="H1085" i="10"/>
  <c r="F1086" i="10"/>
  <c r="H1086" i="10"/>
  <c r="F1087" i="10"/>
  <c r="H1087" i="10"/>
  <c r="F1088" i="10"/>
  <c r="H1088" i="10"/>
  <c r="F1089" i="10"/>
  <c r="H1089" i="10"/>
  <c r="F1090" i="10"/>
  <c r="H1090" i="10"/>
  <c r="F1091" i="10"/>
  <c r="H1091" i="10"/>
  <c r="F1092" i="10"/>
  <c r="H1092" i="10"/>
  <c r="F1093" i="10"/>
  <c r="H1093" i="10"/>
  <c r="F1094" i="10"/>
  <c r="H1094" i="10"/>
  <c r="F1095" i="10"/>
  <c r="H1095" i="10"/>
  <c r="F1096" i="10"/>
  <c r="H1096" i="10"/>
  <c r="F1097" i="10"/>
  <c r="H1097" i="10"/>
  <c r="F1098" i="10"/>
  <c r="H1098" i="10"/>
  <c r="F1099" i="10"/>
  <c r="H1099" i="10"/>
  <c r="F1100" i="10"/>
  <c r="H1100" i="10"/>
  <c r="F1101" i="10"/>
  <c r="H1101" i="10"/>
  <c r="F1102" i="10"/>
  <c r="H1102" i="10"/>
  <c r="F1103" i="10"/>
  <c r="H1103" i="10"/>
  <c r="F1104" i="10"/>
  <c r="H1104" i="10"/>
  <c r="F1105" i="10"/>
  <c r="H1105" i="10"/>
  <c r="F1106" i="10"/>
  <c r="H1106" i="10"/>
  <c r="F1107" i="10"/>
  <c r="H1107" i="10"/>
  <c r="F1108" i="10"/>
  <c r="H1108" i="10"/>
  <c r="F1109" i="10"/>
  <c r="H1109" i="10"/>
  <c r="F1110" i="10"/>
  <c r="H1110" i="10"/>
  <c r="F1111" i="10"/>
  <c r="H1111" i="10"/>
  <c r="F1112" i="10"/>
  <c r="H1112" i="10"/>
  <c r="F1113" i="10"/>
  <c r="H1113" i="10"/>
  <c r="F1114" i="10"/>
  <c r="H1114" i="10"/>
  <c r="F1115" i="10"/>
  <c r="H1115" i="10"/>
  <c r="F1116" i="10"/>
  <c r="H1116" i="10"/>
  <c r="F1117" i="10"/>
  <c r="H1117" i="10"/>
  <c r="F1118" i="10"/>
  <c r="H1118" i="10"/>
  <c r="F1119" i="10"/>
  <c r="H1119" i="10"/>
  <c r="F1120" i="10"/>
  <c r="H1120" i="10"/>
  <c r="F1121" i="10"/>
  <c r="H1121" i="10"/>
  <c r="F1122" i="10"/>
  <c r="H1122" i="10"/>
  <c r="F1123" i="10"/>
  <c r="H1123" i="10"/>
  <c r="F1124" i="10"/>
  <c r="H1124" i="10"/>
  <c r="F1125" i="10"/>
  <c r="H1125" i="10"/>
  <c r="F1126" i="10"/>
  <c r="H1126" i="10"/>
  <c r="F1127" i="10"/>
  <c r="H1127" i="10"/>
  <c r="F1128" i="10"/>
  <c r="H1128" i="10"/>
  <c r="F1129" i="10"/>
  <c r="H1129" i="10"/>
  <c r="F1130" i="10"/>
  <c r="H1130" i="10"/>
  <c r="F1131" i="10"/>
  <c r="H1131" i="10"/>
  <c r="F1132" i="10"/>
  <c r="H1132" i="10"/>
  <c r="F1133" i="10"/>
  <c r="H1133" i="10"/>
  <c r="F1134" i="10"/>
  <c r="H1134" i="10"/>
  <c r="F1135" i="10"/>
  <c r="H1135" i="10"/>
  <c r="F1136" i="10"/>
  <c r="H1136" i="10"/>
  <c r="F1137" i="10"/>
  <c r="H1137" i="10"/>
  <c r="F1138" i="10"/>
  <c r="H1138" i="10"/>
  <c r="F1139" i="10"/>
  <c r="H1139" i="10"/>
  <c r="F1140" i="10"/>
  <c r="H1140" i="10"/>
  <c r="F1141" i="10"/>
  <c r="H1141" i="10"/>
  <c r="F1142" i="10"/>
  <c r="H1142" i="10"/>
  <c r="F1143" i="10"/>
  <c r="H1143" i="10"/>
  <c r="F1144" i="10"/>
  <c r="H1144" i="10"/>
  <c r="F1145" i="10"/>
  <c r="H1145" i="10"/>
  <c r="F1146" i="10"/>
  <c r="H1146" i="10"/>
  <c r="F1147" i="10"/>
  <c r="H1147" i="10"/>
  <c r="F1148" i="10"/>
  <c r="H1148" i="10"/>
  <c r="F1149" i="10"/>
  <c r="H1149" i="10"/>
  <c r="F1150" i="10"/>
  <c r="H1150" i="10"/>
  <c r="F1151" i="10"/>
  <c r="H1151" i="10"/>
  <c r="F1152" i="10"/>
  <c r="H1152" i="10"/>
  <c r="F1153" i="10"/>
  <c r="H1153" i="10"/>
  <c r="F1154" i="10"/>
  <c r="H1154" i="10"/>
  <c r="F1155" i="10"/>
  <c r="H1155" i="10"/>
  <c r="F1156" i="10"/>
  <c r="H1156" i="10"/>
  <c r="F1157" i="10"/>
  <c r="H1157" i="10"/>
  <c r="F1158" i="10"/>
  <c r="H1158" i="10"/>
  <c r="F1159" i="10"/>
  <c r="H1159" i="10"/>
  <c r="F1160" i="10"/>
  <c r="H1160" i="10"/>
  <c r="F1161" i="10"/>
  <c r="H1161" i="10"/>
  <c r="F1162" i="10"/>
  <c r="H1162" i="10"/>
  <c r="F1163" i="10"/>
  <c r="H1163" i="10"/>
  <c r="F1164" i="10"/>
  <c r="H1164" i="10"/>
  <c r="F1165" i="10"/>
  <c r="H1165" i="10"/>
  <c r="F1166" i="10"/>
  <c r="H1166" i="10"/>
  <c r="F1167" i="10"/>
  <c r="H1167" i="10"/>
  <c r="F1168" i="10"/>
  <c r="H1168" i="10"/>
  <c r="F1169" i="10"/>
  <c r="H1169" i="10"/>
  <c r="F1170" i="10"/>
  <c r="H1170" i="10"/>
  <c r="F1171" i="10"/>
  <c r="H1171" i="10"/>
  <c r="F1172" i="10"/>
  <c r="H1172" i="10"/>
  <c r="F1173" i="10"/>
  <c r="H1173" i="10"/>
  <c r="F1174" i="10"/>
  <c r="H1174" i="10"/>
  <c r="F1175" i="10"/>
  <c r="H1175" i="10"/>
  <c r="F1176" i="10"/>
  <c r="H1176" i="10"/>
  <c r="F1177" i="10"/>
  <c r="H1177" i="10"/>
  <c r="F1178" i="10"/>
  <c r="H1178" i="10"/>
  <c r="F1179" i="10"/>
  <c r="H1179" i="10"/>
  <c r="F1180" i="10"/>
  <c r="H1180" i="10"/>
  <c r="F1181" i="10"/>
  <c r="H1181" i="10"/>
  <c r="F1182" i="10"/>
  <c r="H1182" i="10"/>
  <c r="F1183" i="10"/>
  <c r="H1183" i="10"/>
  <c r="F1184" i="10"/>
  <c r="H1184" i="10"/>
  <c r="F1185" i="10"/>
  <c r="H1185" i="10"/>
  <c r="F1186" i="10"/>
  <c r="H1186" i="10"/>
  <c r="F1187" i="10"/>
  <c r="H1187" i="10"/>
  <c r="F1188" i="10"/>
  <c r="H1188" i="10"/>
  <c r="F1189" i="10"/>
  <c r="H1189" i="10"/>
  <c r="F1190" i="10"/>
  <c r="H1190" i="10"/>
  <c r="F1191" i="10"/>
  <c r="H1191" i="10"/>
  <c r="F1192" i="10"/>
  <c r="H1192" i="10"/>
  <c r="F1193" i="10"/>
  <c r="H1193" i="10"/>
  <c r="F1194" i="10"/>
  <c r="H1194" i="10"/>
  <c r="F1195" i="10"/>
  <c r="H1195" i="10"/>
  <c r="F1196" i="10"/>
  <c r="H1196" i="10"/>
  <c r="F1197" i="10"/>
  <c r="H1197" i="10"/>
  <c r="F1198" i="10"/>
  <c r="H1198" i="10"/>
  <c r="F1199" i="10"/>
  <c r="H1199" i="10"/>
  <c r="F1200" i="10"/>
  <c r="H1200" i="10"/>
  <c r="F1201" i="10"/>
  <c r="H1201" i="10"/>
  <c r="F1202" i="10"/>
  <c r="H1202" i="10"/>
  <c r="F1203" i="10"/>
  <c r="H1203" i="10"/>
  <c r="F1204" i="10"/>
  <c r="H1204" i="10"/>
  <c r="F1205" i="10"/>
  <c r="H1205" i="10"/>
  <c r="F1206" i="10"/>
  <c r="H1206" i="10"/>
  <c r="F1207" i="10"/>
  <c r="H1207" i="10"/>
  <c r="F1208" i="10"/>
  <c r="H1208" i="10"/>
  <c r="F1209" i="10"/>
  <c r="H1209" i="10"/>
  <c r="F1210" i="10"/>
  <c r="H1210" i="10"/>
  <c r="F1211" i="10"/>
  <c r="H1211" i="10"/>
  <c r="F1212" i="10"/>
  <c r="H1212" i="10"/>
  <c r="F1213" i="10"/>
  <c r="H1213" i="10"/>
  <c r="F1214" i="10"/>
  <c r="H1214" i="10"/>
  <c r="F1215" i="10"/>
  <c r="H1215" i="10"/>
  <c r="F1216" i="10"/>
  <c r="H1216" i="10"/>
  <c r="F1217" i="10"/>
  <c r="H1217" i="10"/>
  <c r="F1218" i="10"/>
  <c r="H1218" i="10"/>
  <c r="F1219" i="10"/>
  <c r="H1219" i="10"/>
  <c r="F1220" i="10"/>
  <c r="H1220" i="10"/>
  <c r="F1221" i="10"/>
  <c r="H1221" i="10"/>
  <c r="F1222" i="10"/>
  <c r="H1222" i="10"/>
  <c r="F1223" i="10"/>
  <c r="H1223" i="10"/>
  <c r="F1224" i="10"/>
  <c r="H1224" i="10"/>
  <c r="F1225" i="10"/>
  <c r="H1225" i="10"/>
  <c r="F1226" i="10"/>
  <c r="H1226" i="10"/>
  <c r="F1227" i="10"/>
  <c r="H1227" i="10"/>
  <c r="F1228" i="10"/>
  <c r="H1228" i="10"/>
  <c r="F1229" i="10"/>
  <c r="H1229" i="10"/>
  <c r="F1230" i="10"/>
  <c r="H1230" i="10"/>
  <c r="F1231" i="10"/>
  <c r="H1231" i="10"/>
  <c r="F1232" i="10"/>
  <c r="H1232" i="10"/>
  <c r="F1233" i="10"/>
  <c r="H1233" i="10"/>
  <c r="F1234" i="10"/>
  <c r="H1234" i="10"/>
  <c r="F1235" i="10"/>
  <c r="H1235" i="10"/>
  <c r="F1236" i="10"/>
  <c r="H1236" i="10"/>
  <c r="F1237" i="10"/>
  <c r="H1237" i="10"/>
  <c r="F1238" i="10"/>
  <c r="H1238" i="10"/>
  <c r="F1239" i="10"/>
  <c r="H1239" i="10"/>
  <c r="F1240" i="10"/>
  <c r="H1240" i="10"/>
  <c r="F1241" i="10"/>
  <c r="H1241" i="10"/>
  <c r="F1242" i="10"/>
  <c r="H1242" i="10"/>
  <c r="F1243" i="10"/>
  <c r="H1243" i="10"/>
  <c r="F1244" i="10"/>
  <c r="H1244" i="10"/>
  <c r="F1245" i="10"/>
  <c r="H1245" i="10"/>
  <c r="F1246" i="10"/>
  <c r="H1246" i="10"/>
  <c r="F1247" i="10"/>
  <c r="H1247" i="10"/>
  <c r="F1248" i="10"/>
  <c r="H1248" i="10"/>
  <c r="F1249" i="10"/>
  <c r="H1249" i="10"/>
  <c r="F1250" i="10"/>
  <c r="H1250" i="10"/>
  <c r="F1251" i="10"/>
  <c r="H1251" i="10"/>
  <c r="F1252" i="10"/>
  <c r="H1252" i="10"/>
  <c r="F1253" i="10"/>
  <c r="H1253" i="10"/>
  <c r="F1254" i="10"/>
  <c r="H1254" i="10"/>
  <c r="F1255" i="10"/>
  <c r="H1255" i="10"/>
  <c r="F1256" i="10"/>
  <c r="H1256" i="10"/>
  <c r="F1257" i="10"/>
  <c r="H1257" i="10"/>
  <c r="F1258" i="10"/>
  <c r="H1258" i="10"/>
  <c r="F1259" i="10"/>
  <c r="H1259" i="10"/>
  <c r="F1260" i="10"/>
  <c r="H1260" i="10"/>
  <c r="F1261" i="10"/>
  <c r="H1261" i="10"/>
  <c r="F1262" i="10"/>
  <c r="H1262" i="10"/>
  <c r="F1263" i="10"/>
  <c r="H1263" i="10"/>
  <c r="F1264" i="10"/>
  <c r="H1264" i="10"/>
  <c r="F1265" i="10"/>
  <c r="H1265" i="10"/>
  <c r="F1266" i="10"/>
  <c r="H1266" i="10"/>
  <c r="F1267" i="10"/>
  <c r="H1267" i="10"/>
  <c r="F1268" i="10"/>
  <c r="H1268" i="10"/>
  <c r="F1269" i="10"/>
  <c r="H1269" i="10"/>
  <c r="F1270" i="10"/>
  <c r="H1270" i="10"/>
  <c r="F1271" i="10"/>
  <c r="H1271" i="10"/>
  <c r="F1272" i="10"/>
  <c r="H1272" i="10"/>
  <c r="F1273" i="10"/>
  <c r="H1273" i="10"/>
  <c r="F1274" i="10"/>
  <c r="H1274" i="10"/>
  <c r="F1275" i="10"/>
  <c r="H1275" i="10"/>
  <c r="F1276" i="10"/>
  <c r="H1276" i="10"/>
  <c r="F1277" i="10"/>
  <c r="H1277" i="10"/>
  <c r="F1278" i="10"/>
  <c r="H1278" i="10"/>
  <c r="F1279" i="10"/>
  <c r="H1279" i="10"/>
  <c r="F1280" i="10"/>
  <c r="H1280" i="10"/>
  <c r="F1281" i="10"/>
  <c r="H1281" i="10"/>
  <c r="F1282" i="10"/>
  <c r="H1282" i="10"/>
  <c r="F1283" i="10"/>
  <c r="H1283" i="10"/>
  <c r="F1284" i="10"/>
  <c r="H1284" i="10"/>
  <c r="F1285" i="10"/>
  <c r="H1285" i="10"/>
  <c r="F1286" i="10"/>
  <c r="H1286" i="10"/>
  <c r="F1287" i="10"/>
  <c r="H1287" i="10"/>
  <c r="F1288" i="10"/>
  <c r="H1288" i="10"/>
  <c r="F1289" i="10"/>
  <c r="H1289" i="10"/>
  <c r="F1290" i="10"/>
  <c r="H1290" i="10"/>
  <c r="F1291" i="10"/>
  <c r="H1291" i="10"/>
  <c r="F1292" i="10"/>
  <c r="H1292" i="10"/>
  <c r="F1293" i="10"/>
  <c r="H1293" i="10"/>
  <c r="F1294" i="10"/>
  <c r="H1294" i="10"/>
  <c r="F1295" i="10"/>
  <c r="H1295" i="10"/>
  <c r="F1296" i="10"/>
  <c r="H1296" i="10"/>
  <c r="F1297" i="10"/>
  <c r="H1297" i="10"/>
  <c r="F1298" i="10"/>
  <c r="H1298" i="10"/>
  <c r="F1299" i="10"/>
  <c r="H1299" i="10"/>
  <c r="F1300" i="10"/>
  <c r="H1300" i="10"/>
  <c r="F1301" i="10"/>
  <c r="H1301" i="10"/>
  <c r="F1302" i="10"/>
  <c r="H1302" i="10"/>
  <c r="F1303" i="10"/>
  <c r="H1303" i="10"/>
  <c r="F1304" i="10"/>
  <c r="H1304" i="10"/>
  <c r="F1305" i="10"/>
  <c r="H1305" i="10"/>
  <c r="F1306" i="10"/>
  <c r="H1306" i="10"/>
  <c r="F1307" i="10"/>
  <c r="H1307" i="10"/>
  <c r="F1308" i="10"/>
  <c r="H1308" i="10"/>
  <c r="F1309" i="10"/>
  <c r="H1309" i="10"/>
  <c r="F1310" i="10"/>
  <c r="H1310" i="10"/>
  <c r="F1311" i="10"/>
  <c r="H1311" i="10"/>
  <c r="F1312" i="10"/>
  <c r="H1312" i="10"/>
  <c r="F1313" i="10"/>
  <c r="H1313" i="10"/>
  <c r="F1314" i="10"/>
  <c r="H1314" i="10"/>
  <c r="F1315" i="10"/>
  <c r="H1315" i="10"/>
  <c r="F1316" i="10"/>
  <c r="H1316" i="10"/>
  <c r="F1317" i="10"/>
  <c r="H1317" i="10"/>
  <c r="F1318" i="10"/>
  <c r="H1318" i="10"/>
  <c r="F1319" i="10"/>
  <c r="H1319" i="10"/>
  <c r="F1320" i="10"/>
  <c r="H1320" i="10"/>
  <c r="F1321" i="10"/>
  <c r="H1321" i="10"/>
  <c r="F1322" i="10"/>
  <c r="H1322" i="10"/>
  <c r="F1323" i="10"/>
  <c r="H1323" i="10"/>
  <c r="F1324" i="10"/>
  <c r="H1324" i="10"/>
  <c r="F1325" i="10"/>
  <c r="H1325" i="10"/>
  <c r="F1326" i="10"/>
  <c r="H1326" i="10"/>
  <c r="F1327" i="10"/>
  <c r="H1327" i="10"/>
  <c r="F1328" i="10"/>
  <c r="H1328" i="10"/>
  <c r="F1329" i="10"/>
  <c r="H1329" i="10"/>
  <c r="F1330" i="10"/>
  <c r="H1330" i="10"/>
  <c r="F1331" i="10"/>
  <c r="H1331" i="10"/>
  <c r="F1332" i="10"/>
  <c r="H1332" i="10"/>
  <c r="F1333" i="10"/>
  <c r="H1333" i="10"/>
  <c r="F1334" i="10"/>
  <c r="H1334" i="10"/>
  <c r="F1335" i="10"/>
  <c r="H1335" i="10"/>
  <c r="F1336" i="10"/>
  <c r="H1336" i="10"/>
  <c r="F1337" i="10"/>
  <c r="H1337" i="10"/>
  <c r="F1338" i="10"/>
  <c r="H1338" i="10"/>
  <c r="F1339" i="10"/>
  <c r="H1339" i="10"/>
  <c r="F1340" i="10"/>
  <c r="H1340" i="10"/>
  <c r="F1341" i="10"/>
  <c r="H1341" i="10"/>
  <c r="F1342" i="10"/>
  <c r="H1342" i="10"/>
  <c r="F1343" i="10"/>
  <c r="H1343" i="10"/>
  <c r="F1344" i="10"/>
  <c r="H1344" i="10"/>
  <c r="F1345" i="10"/>
  <c r="H1345" i="10"/>
  <c r="F1346" i="10"/>
  <c r="H1346" i="10"/>
  <c r="F1347" i="10"/>
  <c r="H1347" i="10"/>
  <c r="F1348" i="10"/>
  <c r="H1348" i="10"/>
  <c r="F1349" i="10"/>
  <c r="H1349" i="10"/>
  <c r="F1350" i="10"/>
  <c r="H1350" i="10"/>
  <c r="F1351" i="10"/>
  <c r="H1351" i="10"/>
  <c r="F1352" i="10"/>
  <c r="H1352" i="10"/>
  <c r="F1353" i="10"/>
  <c r="H1353" i="10"/>
  <c r="F1354" i="10"/>
  <c r="H1354" i="10"/>
  <c r="F1355" i="10"/>
  <c r="H1355" i="10"/>
  <c r="F1356" i="10"/>
  <c r="H1356" i="10"/>
  <c r="F1357" i="10"/>
  <c r="H1357" i="10"/>
  <c r="F1358" i="10"/>
  <c r="H1358" i="10"/>
  <c r="F1359" i="10"/>
  <c r="H1359" i="10"/>
  <c r="F1360" i="10"/>
  <c r="H1360" i="10"/>
  <c r="F1361" i="10"/>
  <c r="H1361" i="10"/>
  <c r="F1362" i="10"/>
  <c r="H1362" i="10"/>
  <c r="F1363" i="10"/>
  <c r="H1363" i="10"/>
  <c r="F1364" i="10"/>
  <c r="H1364" i="10"/>
  <c r="F1365" i="10"/>
  <c r="H1365" i="10"/>
  <c r="F1366" i="10"/>
  <c r="H1366" i="10"/>
  <c r="F1367" i="10"/>
  <c r="H1367" i="10"/>
  <c r="F1368" i="10"/>
  <c r="H1368" i="10"/>
  <c r="F1369" i="10"/>
  <c r="H1369" i="10"/>
  <c r="F1370" i="10"/>
  <c r="H1370" i="10"/>
  <c r="F1371" i="10"/>
  <c r="H1371" i="10"/>
  <c r="F1372" i="10"/>
  <c r="H1372" i="10"/>
  <c r="F1373" i="10"/>
  <c r="H1373" i="10"/>
  <c r="F1374" i="10"/>
  <c r="H1374" i="10"/>
  <c r="F1375" i="10"/>
  <c r="H1375" i="10"/>
  <c r="F1376" i="10"/>
  <c r="H1376" i="10"/>
  <c r="F1377" i="10"/>
  <c r="H1377" i="10"/>
  <c r="F1378" i="10"/>
  <c r="H1378" i="10"/>
  <c r="F1379" i="10"/>
  <c r="H1379" i="10"/>
  <c r="F1380" i="10"/>
  <c r="H1380" i="10"/>
  <c r="F1381" i="10"/>
  <c r="H1381" i="10"/>
  <c r="F1382" i="10"/>
  <c r="H1382" i="10"/>
  <c r="F1383" i="10"/>
  <c r="H1383" i="10"/>
  <c r="F1384" i="10"/>
  <c r="H1384" i="10"/>
  <c r="F1385" i="10"/>
  <c r="H1385" i="10"/>
  <c r="F1386" i="10"/>
  <c r="H1386" i="10"/>
  <c r="F1387" i="10"/>
  <c r="H1387" i="10"/>
  <c r="F1388" i="10"/>
  <c r="H1388" i="10"/>
  <c r="F1389" i="10"/>
  <c r="H1389" i="10"/>
  <c r="F1390" i="10"/>
  <c r="H1390" i="10"/>
  <c r="F1391" i="10"/>
  <c r="H1391" i="10"/>
  <c r="F1392" i="10"/>
  <c r="H1392" i="10"/>
  <c r="F1393" i="10"/>
  <c r="H1393" i="10"/>
  <c r="F1394" i="10"/>
  <c r="H1394" i="10"/>
  <c r="F1395" i="10"/>
  <c r="H1395" i="10"/>
  <c r="F1396" i="10"/>
  <c r="H1396" i="10"/>
  <c r="F1397" i="10"/>
  <c r="H1397" i="10"/>
  <c r="F1398" i="10"/>
  <c r="H1398" i="10"/>
  <c r="F1399" i="10"/>
  <c r="H1399" i="10"/>
  <c r="F1400" i="10"/>
  <c r="H1400" i="10"/>
  <c r="F1401" i="10"/>
  <c r="H1401" i="10"/>
  <c r="F1402" i="10"/>
  <c r="H1402" i="10"/>
  <c r="F1403" i="10"/>
  <c r="H1403" i="10"/>
  <c r="F1404" i="10"/>
  <c r="H1404" i="10"/>
  <c r="F1405" i="10"/>
  <c r="H1405" i="10"/>
  <c r="F1406" i="10"/>
  <c r="H1406" i="10"/>
  <c r="F1407" i="10"/>
  <c r="H1407" i="10"/>
  <c r="F1408" i="10"/>
  <c r="H1408" i="10"/>
  <c r="F1409" i="10"/>
  <c r="H1409" i="10"/>
  <c r="F1410" i="10"/>
  <c r="H1410" i="10"/>
  <c r="F1411" i="10"/>
  <c r="H1411" i="10"/>
  <c r="F1412" i="10"/>
  <c r="H1412" i="10"/>
  <c r="F1413" i="10"/>
  <c r="H1413" i="10"/>
  <c r="F1414" i="10"/>
  <c r="H1414" i="10"/>
  <c r="F1415" i="10"/>
  <c r="H1415" i="10"/>
  <c r="F1416" i="10"/>
  <c r="H1416" i="10"/>
  <c r="F1417" i="10"/>
  <c r="H1417" i="10"/>
  <c r="F1418" i="10"/>
  <c r="H1418" i="10"/>
  <c r="F1419" i="10"/>
  <c r="H1419" i="10"/>
  <c r="F1420" i="10"/>
  <c r="H1420" i="10"/>
  <c r="F1421" i="10"/>
  <c r="H1421" i="10"/>
  <c r="F1422" i="10"/>
  <c r="H1422" i="10"/>
  <c r="F1423" i="10"/>
  <c r="H1423" i="10"/>
  <c r="F1424" i="10"/>
  <c r="H1424" i="10"/>
  <c r="F1425" i="10"/>
  <c r="H1425" i="10"/>
  <c r="F1426" i="10"/>
  <c r="H1426" i="10"/>
  <c r="F1427" i="10"/>
  <c r="H1427" i="10"/>
  <c r="F1428" i="10"/>
  <c r="H1428" i="10"/>
  <c r="F1429" i="10"/>
  <c r="H1429" i="10"/>
  <c r="F1430" i="10"/>
  <c r="H1430" i="10"/>
  <c r="F1431" i="10"/>
  <c r="H1431" i="10"/>
  <c r="F1432" i="10"/>
  <c r="H1432" i="10"/>
  <c r="F1433" i="10"/>
  <c r="H1433" i="10"/>
  <c r="F1434" i="10"/>
  <c r="H1434" i="10"/>
  <c r="F1435" i="10"/>
  <c r="H1435" i="10"/>
  <c r="F1436" i="10"/>
  <c r="H1436" i="10"/>
  <c r="F1437" i="10"/>
  <c r="H1437" i="10"/>
  <c r="F1438" i="10"/>
  <c r="H1438" i="10"/>
  <c r="F1439" i="10"/>
  <c r="H1439" i="10"/>
  <c r="F1440" i="10"/>
  <c r="H1440" i="10"/>
  <c r="F1441" i="10"/>
  <c r="H1441" i="10"/>
  <c r="F1442" i="10"/>
  <c r="H1442" i="10"/>
  <c r="F1443" i="10"/>
  <c r="H1443" i="10"/>
  <c r="F1444" i="10"/>
  <c r="H1444" i="10"/>
  <c r="F1445" i="10"/>
  <c r="H1445" i="10"/>
  <c r="F1446" i="10"/>
  <c r="H1446" i="10"/>
  <c r="F1447" i="10"/>
  <c r="H1447" i="10"/>
  <c r="F1448" i="10"/>
  <c r="H1448" i="10"/>
  <c r="F1449" i="10"/>
  <c r="H1449" i="10"/>
  <c r="F1450" i="10"/>
  <c r="H1450" i="10"/>
  <c r="F1451" i="10"/>
  <c r="H1451" i="10"/>
  <c r="F1452" i="10"/>
  <c r="H1452" i="10"/>
  <c r="F1453" i="10"/>
  <c r="H1453" i="10"/>
  <c r="F1454" i="10"/>
  <c r="H1454" i="10"/>
  <c r="F1455" i="10"/>
  <c r="H1455" i="10"/>
  <c r="F1456" i="10"/>
  <c r="H1456" i="10"/>
  <c r="F1457" i="10"/>
  <c r="H1457" i="10"/>
  <c r="F1458" i="10"/>
  <c r="H1458" i="10"/>
  <c r="F1459" i="10"/>
  <c r="H1459" i="10"/>
  <c r="F1460" i="10"/>
  <c r="H1460" i="10"/>
  <c r="F1461" i="10"/>
  <c r="H1461" i="10"/>
  <c r="F1462" i="10"/>
  <c r="H1462" i="10"/>
  <c r="F1463" i="10"/>
  <c r="H1463" i="10"/>
  <c r="F1464" i="10"/>
  <c r="H1464" i="10"/>
  <c r="F1465" i="10"/>
  <c r="H1465" i="10"/>
  <c r="F1466" i="10"/>
  <c r="H1466" i="10"/>
  <c r="F1467" i="10"/>
  <c r="H1467" i="10"/>
  <c r="F1468" i="10"/>
  <c r="H1468" i="10"/>
  <c r="F1469" i="10"/>
  <c r="H1469" i="10"/>
  <c r="F1470" i="10"/>
  <c r="H1470" i="10"/>
  <c r="F1471" i="10"/>
  <c r="H1471" i="10"/>
  <c r="F1472" i="10"/>
  <c r="H1472" i="10"/>
  <c r="F1473" i="10"/>
  <c r="H1473" i="10"/>
  <c r="F1474" i="10"/>
  <c r="H1474" i="10"/>
  <c r="F1475" i="10"/>
  <c r="H1475" i="10"/>
  <c r="F1476" i="10"/>
  <c r="H1476" i="10"/>
  <c r="F1477" i="10"/>
  <c r="H1477" i="10"/>
  <c r="F1478" i="10"/>
  <c r="H1478" i="10"/>
  <c r="F1479" i="10"/>
  <c r="H1479" i="10"/>
  <c r="F1480" i="10"/>
  <c r="H1480" i="10"/>
  <c r="F1481" i="10"/>
  <c r="H1481" i="10"/>
  <c r="F1482" i="10"/>
  <c r="H1482" i="10"/>
  <c r="F1483" i="10"/>
  <c r="H1483" i="10"/>
  <c r="F1484" i="10"/>
  <c r="H1484" i="10"/>
  <c r="F1485" i="10"/>
  <c r="H1485" i="10"/>
  <c r="F1486" i="10"/>
  <c r="H1486" i="10"/>
  <c r="F1487" i="10"/>
  <c r="H1487" i="10"/>
  <c r="F1488" i="10"/>
  <c r="H1488" i="10"/>
  <c r="F1489" i="10"/>
  <c r="H1489" i="10"/>
  <c r="F1490" i="10"/>
  <c r="H1490" i="10"/>
  <c r="F1491" i="10"/>
  <c r="H1491" i="10"/>
  <c r="F1492" i="10"/>
  <c r="H1492" i="10"/>
  <c r="F1493" i="10"/>
  <c r="H1493" i="10"/>
  <c r="F1494" i="10"/>
  <c r="H1494" i="10"/>
  <c r="F1495" i="10"/>
  <c r="H1495" i="10"/>
  <c r="F1496" i="10"/>
  <c r="H1496" i="10"/>
  <c r="F1497" i="10"/>
  <c r="H1497" i="10"/>
  <c r="F1498" i="10"/>
  <c r="H1498" i="10"/>
  <c r="F1499" i="10"/>
  <c r="H1499" i="10"/>
  <c r="F1500" i="10"/>
  <c r="H1500" i="10"/>
  <c r="F1501" i="10"/>
  <c r="H1501" i="10"/>
  <c r="F1502" i="10"/>
  <c r="H1502" i="10"/>
  <c r="F1503" i="10"/>
  <c r="H1503" i="10"/>
  <c r="F1504" i="10"/>
  <c r="H1504" i="10"/>
  <c r="F1505" i="10"/>
  <c r="H1505" i="10"/>
  <c r="F1506" i="10"/>
  <c r="H1506" i="10"/>
  <c r="F1507" i="10"/>
  <c r="H1507" i="10"/>
  <c r="F1508" i="10"/>
  <c r="H1508" i="10"/>
  <c r="F1509" i="10"/>
  <c r="H1509" i="10"/>
  <c r="F1510" i="10"/>
  <c r="H1510" i="10"/>
  <c r="F1511" i="10"/>
  <c r="H1511" i="10"/>
  <c r="F1512" i="10"/>
  <c r="H1512" i="10"/>
  <c r="F1513" i="10"/>
  <c r="H1513" i="10"/>
  <c r="F1514" i="10"/>
  <c r="H1514" i="10"/>
  <c r="F1515" i="10"/>
  <c r="H1515" i="10"/>
  <c r="F1516" i="10"/>
  <c r="H1516" i="10"/>
  <c r="F1517" i="10"/>
  <c r="H1517" i="10"/>
  <c r="F1518" i="10"/>
  <c r="H1518" i="10"/>
  <c r="F1519" i="10"/>
  <c r="H1519" i="10"/>
  <c r="F1520" i="10"/>
  <c r="H1520" i="10"/>
  <c r="F1521" i="10"/>
  <c r="H1521" i="10"/>
  <c r="F1522" i="10"/>
  <c r="H1522" i="10"/>
  <c r="F1523" i="10"/>
  <c r="H1523" i="10"/>
  <c r="F1524" i="10"/>
  <c r="H1524" i="10"/>
  <c r="F1525" i="10"/>
  <c r="H1525" i="10"/>
  <c r="F1526" i="10"/>
  <c r="H1526" i="10"/>
  <c r="F1527" i="10"/>
  <c r="H1527" i="10"/>
  <c r="F1528" i="10"/>
  <c r="H1528" i="10"/>
  <c r="F1529" i="10"/>
  <c r="H1529" i="10"/>
  <c r="F1530" i="10"/>
  <c r="H1530" i="10"/>
  <c r="F1531" i="10"/>
  <c r="H1531" i="10"/>
  <c r="F1532" i="10"/>
  <c r="H1532" i="10"/>
  <c r="F1533" i="10"/>
  <c r="H1533" i="10"/>
  <c r="F1534" i="10"/>
  <c r="H1534" i="10"/>
  <c r="F1535" i="10"/>
  <c r="H1535" i="10"/>
  <c r="F1536" i="10"/>
  <c r="H1536" i="10"/>
  <c r="F1537" i="10"/>
  <c r="H1537" i="10"/>
  <c r="F1538" i="10"/>
  <c r="H1538" i="10"/>
  <c r="F1539" i="10"/>
  <c r="H1539" i="10"/>
  <c r="F1540" i="10"/>
  <c r="H1540" i="10"/>
  <c r="F1541" i="10"/>
  <c r="H1541" i="10"/>
  <c r="F1542" i="10"/>
  <c r="H1542" i="10"/>
  <c r="F1543" i="10"/>
  <c r="H1543" i="10"/>
  <c r="F1544" i="10"/>
  <c r="H1544" i="10"/>
  <c r="F1545" i="10"/>
  <c r="H1545" i="10"/>
  <c r="F1546" i="10"/>
  <c r="H1546" i="10"/>
  <c r="F1547" i="10"/>
  <c r="H1547" i="10"/>
  <c r="F1548" i="10"/>
  <c r="H1548" i="10"/>
  <c r="F1549" i="10"/>
  <c r="H1549" i="10"/>
  <c r="F1550" i="10"/>
  <c r="H1550" i="10"/>
  <c r="F1551" i="10"/>
  <c r="H1551" i="10"/>
  <c r="F1552" i="10"/>
  <c r="H1552" i="10"/>
  <c r="F1553" i="10"/>
  <c r="H1553" i="10"/>
  <c r="F1554" i="10"/>
  <c r="H1554" i="10"/>
  <c r="F1555" i="10"/>
  <c r="H1555" i="10"/>
  <c r="F1556" i="10"/>
  <c r="H1556" i="10"/>
  <c r="F1557" i="10"/>
  <c r="H1557" i="10"/>
  <c r="F1558" i="10"/>
  <c r="H1558" i="10"/>
  <c r="F1559" i="10"/>
  <c r="H1559" i="10"/>
  <c r="F1560" i="10"/>
  <c r="H1560" i="10"/>
  <c r="F1561" i="10"/>
  <c r="H1561" i="10"/>
  <c r="F1562" i="10"/>
  <c r="H1562" i="10"/>
  <c r="F1563" i="10"/>
  <c r="H1563" i="10"/>
  <c r="F1564" i="10"/>
  <c r="H1564" i="10"/>
  <c r="F1565" i="10"/>
  <c r="H1565" i="10"/>
  <c r="F1566" i="10"/>
  <c r="H1566" i="10"/>
  <c r="F1567" i="10"/>
  <c r="H1567" i="10"/>
  <c r="F1568" i="10"/>
  <c r="H1568" i="10"/>
  <c r="F1569" i="10"/>
  <c r="H1569" i="10"/>
  <c r="F1570" i="10"/>
  <c r="H1570" i="10"/>
  <c r="F1571" i="10"/>
  <c r="H1571" i="10"/>
  <c r="F1572" i="10"/>
  <c r="H1572" i="10"/>
  <c r="F1573" i="10"/>
  <c r="H1573" i="10"/>
  <c r="F1574" i="10"/>
  <c r="H1574" i="10"/>
  <c r="F1575" i="10"/>
  <c r="H1575" i="10"/>
  <c r="F1576" i="10"/>
  <c r="H1576" i="10"/>
  <c r="F1577" i="10"/>
  <c r="H1577" i="10"/>
  <c r="F1578" i="10"/>
  <c r="H1578" i="10"/>
  <c r="F1579" i="10"/>
  <c r="H1579" i="10"/>
  <c r="F1580" i="10"/>
  <c r="H1580" i="10"/>
  <c r="F1581" i="10"/>
  <c r="H1581" i="10"/>
  <c r="F1582" i="10"/>
  <c r="H1582" i="10"/>
  <c r="F1583" i="10"/>
  <c r="H1583" i="10"/>
  <c r="F1584" i="10"/>
  <c r="H1584" i="10"/>
  <c r="F1585" i="10"/>
  <c r="H1585" i="10"/>
  <c r="F1586" i="10"/>
  <c r="H1586" i="10"/>
  <c r="F1587" i="10"/>
  <c r="H1587" i="10"/>
  <c r="F1588" i="10"/>
  <c r="H1588" i="10"/>
  <c r="F1589" i="10"/>
  <c r="H1589" i="10"/>
  <c r="F1590" i="10"/>
  <c r="H1590" i="10"/>
  <c r="F1591" i="10"/>
  <c r="H1591" i="10"/>
  <c r="F1592" i="10"/>
  <c r="H1592" i="10"/>
  <c r="F1593" i="10"/>
  <c r="H1593" i="10"/>
  <c r="F1594" i="10"/>
  <c r="H1594" i="10"/>
  <c r="F1595" i="10"/>
  <c r="H1595" i="10"/>
  <c r="F1596" i="10"/>
  <c r="H1596" i="10"/>
  <c r="F1597" i="10"/>
  <c r="H1597" i="10"/>
  <c r="F1598" i="10"/>
  <c r="H1598" i="10"/>
  <c r="F1599" i="10"/>
  <c r="H1599" i="10"/>
  <c r="F1600" i="10"/>
  <c r="H1600" i="10"/>
  <c r="F1601" i="10"/>
  <c r="H1601" i="10"/>
  <c r="F1602" i="10"/>
  <c r="H1602" i="10"/>
  <c r="F1603" i="10"/>
  <c r="H1603" i="10"/>
  <c r="F1604" i="10"/>
  <c r="H1604" i="10"/>
  <c r="F1605" i="10"/>
  <c r="H1605" i="10"/>
  <c r="F1606" i="10"/>
  <c r="H1606" i="10"/>
  <c r="F1607" i="10"/>
  <c r="H1607" i="10"/>
  <c r="F1608" i="10"/>
  <c r="H1608" i="10"/>
  <c r="F1609" i="10"/>
  <c r="H1609" i="10"/>
  <c r="F1610" i="10"/>
  <c r="H1610" i="10"/>
  <c r="F1611" i="10"/>
  <c r="H1611" i="10"/>
  <c r="F1612" i="10"/>
  <c r="H1612" i="10"/>
  <c r="F1613" i="10"/>
  <c r="H1613" i="10"/>
  <c r="F1614" i="10"/>
  <c r="H1614" i="10"/>
  <c r="F1615" i="10"/>
  <c r="H1615" i="10"/>
  <c r="F1616" i="10"/>
  <c r="H1616" i="10"/>
  <c r="F1617" i="10"/>
  <c r="H1617" i="10"/>
  <c r="F1618" i="10"/>
  <c r="H1618" i="10"/>
  <c r="F1619" i="10"/>
  <c r="H1619" i="10"/>
  <c r="F1620" i="10"/>
  <c r="H1620" i="10"/>
  <c r="F1621" i="10"/>
  <c r="H1621" i="10"/>
  <c r="F1622" i="10"/>
  <c r="H1622" i="10"/>
  <c r="F1623" i="10"/>
  <c r="H1623" i="10"/>
  <c r="F1624" i="10"/>
  <c r="H1624" i="10"/>
  <c r="F1625" i="10"/>
  <c r="H1625" i="10"/>
  <c r="F1626" i="10"/>
  <c r="H1626" i="10"/>
  <c r="F1627" i="10"/>
  <c r="H1627" i="10"/>
  <c r="F1628" i="10"/>
  <c r="H1628" i="10"/>
  <c r="F1629" i="10"/>
  <c r="H1629" i="10"/>
  <c r="F1630" i="10"/>
  <c r="H1630" i="10"/>
  <c r="F1631" i="10"/>
  <c r="H1631" i="10"/>
  <c r="F1632" i="10"/>
  <c r="H1632" i="10"/>
  <c r="F1633" i="10"/>
  <c r="H1633" i="10"/>
  <c r="F1634" i="10"/>
  <c r="H1634" i="10"/>
  <c r="F1635" i="10"/>
  <c r="H1635" i="10"/>
  <c r="F1636" i="10"/>
  <c r="H1636" i="10"/>
  <c r="F1637" i="10"/>
  <c r="H1637" i="10"/>
  <c r="F1638" i="10"/>
  <c r="H1638" i="10"/>
  <c r="F1639" i="10"/>
  <c r="H1639" i="10"/>
  <c r="F1640" i="10"/>
  <c r="H1640" i="10"/>
  <c r="F1641" i="10"/>
  <c r="H1641" i="10"/>
  <c r="F1642" i="10"/>
  <c r="H1642" i="10"/>
  <c r="F1643" i="10"/>
  <c r="H1643" i="10"/>
  <c r="F1644" i="10"/>
  <c r="H1644" i="10"/>
  <c r="F1645" i="10"/>
  <c r="H1645" i="10"/>
  <c r="F1646" i="10"/>
  <c r="H1646" i="10"/>
  <c r="F1647" i="10"/>
  <c r="H1647" i="10"/>
  <c r="F1648" i="10"/>
  <c r="H1648" i="10"/>
  <c r="F1649" i="10"/>
  <c r="H1649" i="10"/>
  <c r="F1650" i="10"/>
  <c r="H1650" i="10"/>
  <c r="F1651" i="10"/>
  <c r="H1651" i="10"/>
  <c r="F1652" i="10"/>
  <c r="H1652" i="10"/>
  <c r="F1653" i="10"/>
  <c r="H1653" i="10"/>
  <c r="F1654" i="10"/>
  <c r="H1654" i="10"/>
  <c r="F1655" i="10"/>
  <c r="H1655" i="10"/>
  <c r="F1656" i="10"/>
  <c r="H1656" i="10"/>
  <c r="F1657" i="10"/>
  <c r="H1657" i="10"/>
  <c r="F1658" i="10"/>
  <c r="H1658" i="10"/>
  <c r="F1659" i="10"/>
  <c r="H1659" i="10"/>
  <c r="F1660" i="10"/>
  <c r="H1660" i="10"/>
  <c r="F1661" i="10"/>
  <c r="H1661" i="10"/>
  <c r="F1662" i="10"/>
  <c r="H1662" i="10"/>
  <c r="F1663" i="10"/>
  <c r="H1663" i="10"/>
  <c r="F1664" i="10"/>
  <c r="H1664" i="10"/>
  <c r="F1665" i="10"/>
  <c r="H1665" i="10"/>
  <c r="F1666" i="10"/>
  <c r="H1666" i="10"/>
  <c r="F1667" i="10"/>
  <c r="H1667" i="10"/>
  <c r="F1668" i="10"/>
  <c r="H1668" i="10"/>
  <c r="F1669" i="10"/>
  <c r="H1669" i="10"/>
  <c r="F1670" i="10"/>
  <c r="H1670" i="10"/>
  <c r="F1671" i="10"/>
  <c r="H1671" i="10"/>
  <c r="F1672" i="10"/>
  <c r="H1672" i="10"/>
  <c r="F1673" i="10"/>
  <c r="H1673" i="10"/>
  <c r="F1674" i="10"/>
  <c r="H1674" i="10"/>
  <c r="F1675" i="10"/>
  <c r="H1675" i="10"/>
  <c r="F1676" i="10"/>
  <c r="H1676" i="10"/>
  <c r="F1677" i="10"/>
  <c r="H1677" i="10"/>
  <c r="F1678" i="10"/>
  <c r="H1678" i="10"/>
  <c r="F1679" i="10"/>
  <c r="H1679" i="10"/>
  <c r="F1680" i="10"/>
  <c r="H1680" i="10"/>
  <c r="F1681" i="10"/>
  <c r="H1681" i="10"/>
  <c r="F1682" i="10"/>
  <c r="H1682" i="10"/>
  <c r="F1683" i="10"/>
  <c r="H1683" i="10"/>
  <c r="F1684" i="10"/>
  <c r="H1684" i="10"/>
  <c r="F1685" i="10"/>
  <c r="H1685" i="10"/>
  <c r="F1686" i="10"/>
  <c r="H1686" i="10"/>
  <c r="F1687" i="10"/>
  <c r="H1687" i="10"/>
  <c r="F1688" i="10"/>
  <c r="H1688" i="10"/>
  <c r="F1689" i="10"/>
  <c r="H1689" i="10"/>
  <c r="F1690" i="10"/>
  <c r="H1690" i="10"/>
  <c r="F1691" i="10"/>
  <c r="H1691" i="10"/>
  <c r="F1692" i="10"/>
  <c r="H1692" i="10"/>
  <c r="F1693" i="10"/>
  <c r="H1693" i="10"/>
  <c r="F1694" i="10"/>
  <c r="H1694" i="10"/>
  <c r="F1695" i="10"/>
  <c r="H1695" i="10"/>
  <c r="F1696" i="10"/>
  <c r="H1696" i="10"/>
  <c r="F1697" i="10"/>
  <c r="H1697" i="10"/>
  <c r="F1698" i="10"/>
  <c r="H1698" i="10"/>
  <c r="F1699" i="10"/>
  <c r="H1699" i="10"/>
  <c r="F1700" i="10"/>
  <c r="H1700" i="10"/>
  <c r="F1701" i="10"/>
  <c r="H1701" i="10"/>
  <c r="F1702" i="10"/>
  <c r="H1702" i="10"/>
  <c r="F1703" i="10"/>
  <c r="H1703" i="10"/>
  <c r="F1704" i="10"/>
  <c r="H1704" i="10"/>
  <c r="F1705" i="10"/>
  <c r="H1705" i="10"/>
  <c r="F1706" i="10"/>
  <c r="H1706" i="10"/>
  <c r="F1707" i="10"/>
  <c r="H1707" i="10"/>
  <c r="F1708" i="10"/>
  <c r="H1708" i="10"/>
  <c r="F1709" i="10"/>
  <c r="H1709" i="10"/>
  <c r="F1710" i="10"/>
  <c r="H1710" i="10"/>
  <c r="F1711" i="10"/>
  <c r="H1711" i="10"/>
  <c r="F1712" i="10"/>
  <c r="H1712" i="10"/>
  <c r="F1713" i="10"/>
  <c r="H1713" i="10"/>
  <c r="F1714" i="10"/>
  <c r="H1714" i="10"/>
  <c r="F1715" i="10"/>
  <c r="H1715" i="10"/>
  <c r="F1716" i="10"/>
  <c r="H1716" i="10"/>
  <c r="F1717" i="10"/>
  <c r="H1717" i="10"/>
  <c r="F1718" i="10"/>
  <c r="H1718" i="10"/>
  <c r="F1719" i="10"/>
  <c r="H1719" i="10"/>
  <c r="F1720" i="10"/>
  <c r="H1720" i="10"/>
  <c r="F1721" i="10"/>
  <c r="H1721" i="10"/>
  <c r="F1722" i="10"/>
  <c r="H1722" i="10"/>
  <c r="F1723" i="10"/>
  <c r="H1723" i="10"/>
  <c r="F1724" i="10"/>
  <c r="H1724" i="10"/>
  <c r="F1725" i="10"/>
  <c r="H1725" i="10"/>
  <c r="F1726" i="10"/>
  <c r="H1726" i="10"/>
  <c r="F1727" i="10"/>
  <c r="H1727" i="10"/>
  <c r="F1728" i="10"/>
  <c r="H1728" i="10"/>
  <c r="F1729" i="10"/>
  <c r="H1729" i="10"/>
  <c r="F1730" i="10"/>
  <c r="H1730" i="10"/>
  <c r="F1731" i="10"/>
  <c r="H1731" i="10"/>
  <c r="F1732" i="10"/>
  <c r="H1732" i="10"/>
  <c r="F1733" i="10"/>
  <c r="H1733" i="10"/>
  <c r="F1734" i="10"/>
  <c r="H1734" i="10"/>
  <c r="F1735" i="10"/>
  <c r="H1735" i="10"/>
  <c r="F1736" i="10"/>
  <c r="H1736" i="10"/>
  <c r="F1737" i="10"/>
  <c r="H1737" i="10"/>
  <c r="F1738" i="10"/>
  <c r="H1738" i="10"/>
  <c r="F1739" i="10"/>
  <c r="H1739" i="10"/>
  <c r="F1740" i="10"/>
  <c r="H1740" i="10"/>
  <c r="F1741" i="10"/>
  <c r="H1741" i="10"/>
  <c r="F1742" i="10"/>
  <c r="H1742" i="10"/>
  <c r="F1743" i="10"/>
  <c r="H1743" i="10"/>
  <c r="F1744" i="10"/>
  <c r="H1744" i="10"/>
  <c r="F1745" i="10"/>
  <c r="H1745" i="10"/>
  <c r="F1746" i="10"/>
  <c r="H1746" i="10"/>
  <c r="F1747" i="10"/>
  <c r="H1747" i="10"/>
  <c r="F1748" i="10"/>
  <c r="H1748" i="10"/>
  <c r="F1749" i="10"/>
  <c r="H1749" i="10"/>
  <c r="F1750" i="10"/>
  <c r="H1750" i="10"/>
  <c r="F1751" i="10"/>
  <c r="H1751" i="10"/>
  <c r="F1752" i="10"/>
  <c r="H1752" i="10"/>
  <c r="F1753" i="10"/>
  <c r="H1753" i="10"/>
  <c r="F1754" i="10"/>
  <c r="H1754" i="10"/>
  <c r="F1755" i="10"/>
  <c r="H1755" i="10"/>
  <c r="F1756" i="10"/>
  <c r="H1756" i="10"/>
  <c r="F1757" i="10"/>
  <c r="H1757" i="10"/>
  <c r="F1758" i="10"/>
  <c r="H1758" i="10"/>
  <c r="F1759" i="10"/>
  <c r="H1759" i="10"/>
  <c r="F1760" i="10"/>
  <c r="H1760" i="10"/>
  <c r="F1761" i="10"/>
  <c r="H1761" i="10"/>
  <c r="F1762" i="10"/>
  <c r="H1762" i="10"/>
  <c r="F1763" i="10"/>
  <c r="H1763" i="10"/>
  <c r="F1764" i="10"/>
  <c r="H1764" i="10"/>
  <c r="F1765" i="10"/>
  <c r="H1765" i="10"/>
  <c r="F1766" i="10"/>
  <c r="H1766" i="10"/>
  <c r="F1767" i="10"/>
  <c r="H1767" i="10"/>
  <c r="F1768" i="10"/>
  <c r="H1768" i="10"/>
  <c r="F1769" i="10"/>
  <c r="H1769" i="10"/>
  <c r="F1770" i="10"/>
  <c r="H1770" i="10"/>
  <c r="F1771" i="10"/>
  <c r="H1771" i="10"/>
  <c r="F1772" i="10"/>
  <c r="H1772" i="10"/>
  <c r="F1773" i="10"/>
  <c r="H1773" i="10"/>
  <c r="F1774" i="10"/>
  <c r="H1774" i="10"/>
  <c r="F1775" i="10"/>
  <c r="H1775" i="10"/>
  <c r="F1776" i="10"/>
  <c r="H1776" i="10"/>
  <c r="F1777" i="10"/>
  <c r="H1777" i="10"/>
  <c r="F1778" i="10"/>
  <c r="H1778" i="10"/>
  <c r="F1779" i="10"/>
  <c r="H1779" i="10"/>
  <c r="F1780" i="10"/>
  <c r="H1780" i="10"/>
  <c r="F1781" i="10"/>
  <c r="H1781" i="10"/>
  <c r="F1782" i="10"/>
  <c r="H1782" i="10"/>
  <c r="F1783" i="10"/>
  <c r="H1783" i="10"/>
  <c r="F1784" i="10"/>
  <c r="H1784" i="10"/>
  <c r="F1785" i="10"/>
  <c r="H1785" i="10"/>
  <c r="F1786" i="10"/>
  <c r="H1786" i="10"/>
  <c r="F1787" i="10"/>
  <c r="H1787" i="10"/>
  <c r="F1788" i="10"/>
  <c r="H1788" i="10"/>
  <c r="F1789" i="10"/>
  <c r="H1789" i="10"/>
  <c r="F1790" i="10"/>
  <c r="H1790" i="10"/>
  <c r="F1791" i="10"/>
  <c r="H1791" i="10"/>
  <c r="F1792" i="10"/>
  <c r="H1792" i="10"/>
  <c r="F1793" i="10"/>
  <c r="H1793" i="10"/>
  <c r="F1794" i="10"/>
  <c r="H1794" i="10"/>
  <c r="F1795" i="10"/>
  <c r="H1795" i="10"/>
  <c r="F1796" i="10"/>
  <c r="H1796" i="10"/>
  <c r="F1797" i="10"/>
  <c r="H1797" i="10"/>
  <c r="F1798" i="10"/>
  <c r="H1798" i="10"/>
  <c r="F1799" i="10"/>
  <c r="H1799" i="10"/>
  <c r="F1800" i="10"/>
  <c r="H1800" i="10"/>
  <c r="F1801" i="10"/>
  <c r="H1801" i="10"/>
  <c r="F1802" i="10"/>
  <c r="H1802" i="10"/>
  <c r="F1803" i="10"/>
  <c r="H1803" i="10"/>
  <c r="F1804" i="10"/>
  <c r="H1804" i="10"/>
  <c r="F1805" i="10"/>
  <c r="H1805" i="10"/>
  <c r="F1806" i="10"/>
  <c r="H1806" i="10"/>
  <c r="F1807" i="10"/>
  <c r="H1807" i="10"/>
  <c r="F1808" i="10"/>
  <c r="H1808" i="10"/>
  <c r="F1809" i="10"/>
  <c r="H1809" i="10"/>
  <c r="F1810" i="10"/>
  <c r="H1810" i="10"/>
  <c r="F1811" i="10"/>
  <c r="H1811" i="10"/>
  <c r="F1812" i="10"/>
  <c r="H1812" i="10"/>
  <c r="F1813" i="10"/>
  <c r="H1813" i="10"/>
  <c r="F1814" i="10"/>
  <c r="H1814" i="10"/>
  <c r="F1815" i="10"/>
  <c r="H1815" i="10"/>
  <c r="F1816" i="10"/>
  <c r="H1816" i="10"/>
  <c r="F1817" i="10"/>
  <c r="H1817" i="10"/>
  <c r="F1818" i="10"/>
  <c r="H1818" i="10"/>
  <c r="F1819" i="10"/>
  <c r="H1819" i="10"/>
  <c r="F1820" i="10"/>
  <c r="H1820" i="10"/>
  <c r="F1821" i="10"/>
  <c r="H1821" i="10"/>
  <c r="F1822" i="10"/>
  <c r="H1822" i="10"/>
  <c r="F1823" i="10"/>
  <c r="H1823" i="10"/>
  <c r="F1824" i="10"/>
  <c r="H1824" i="10"/>
  <c r="F1825" i="10"/>
  <c r="H1825" i="10"/>
  <c r="F1826" i="10"/>
  <c r="H1826" i="10"/>
  <c r="F1827" i="10"/>
  <c r="H1827" i="10"/>
  <c r="F1828" i="10"/>
  <c r="H1828" i="10"/>
  <c r="F1829" i="10"/>
  <c r="H1829" i="10"/>
  <c r="F1830" i="10"/>
  <c r="H1830" i="10"/>
  <c r="F1831" i="10"/>
  <c r="H1831" i="10"/>
  <c r="F1832" i="10"/>
  <c r="H1832" i="10"/>
  <c r="F1833" i="10"/>
  <c r="H1833" i="10"/>
  <c r="F1834" i="10"/>
  <c r="H1834" i="10"/>
  <c r="F1835" i="10"/>
  <c r="H1835" i="10"/>
  <c r="F1836" i="10"/>
  <c r="H1836" i="10"/>
  <c r="F1837" i="10"/>
  <c r="H1837" i="10"/>
  <c r="F1838" i="10"/>
  <c r="H1838" i="10"/>
  <c r="F1839" i="10"/>
  <c r="H1839" i="10"/>
  <c r="F1840" i="10"/>
  <c r="H1840" i="10"/>
  <c r="F1841" i="10"/>
  <c r="H1841" i="10"/>
  <c r="F1842" i="10"/>
  <c r="H1842" i="10"/>
  <c r="F1843" i="10"/>
  <c r="H1843" i="10"/>
  <c r="F1844" i="10"/>
  <c r="H1844" i="10"/>
  <c r="F1845" i="10"/>
  <c r="H1845" i="10"/>
  <c r="F1846" i="10"/>
  <c r="H1846" i="10"/>
  <c r="F1847" i="10"/>
  <c r="H1847" i="10"/>
  <c r="F1848" i="10"/>
  <c r="H1848" i="10"/>
  <c r="F1849" i="10"/>
  <c r="H1849" i="10"/>
  <c r="F1850" i="10"/>
  <c r="H1850" i="10"/>
  <c r="F1851" i="10"/>
  <c r="H1851" i="10"/>
  <c r="F1852" i="10"/>
  <c r="H1852" i="10"/>
  <c r="F1853" i="10"/>
  <c r="H1853" i="10"/>
  <c r="F1854" i="10"/>
  <c r="H1854" i="10"/>
  <c r="F1855" i="10"/>
  <c r="H1855" i="10"/>
  <c r="F1856" i="10"/>
  <c r="H1856" i="10"/>
  <c r="F1857" i="10"/>
  <c r="H1857" i="10"/>
  <c r="F1858" i="10"/>
  <c r="H1858" i="10"/>
  <c r="F1859" i="10"/>
  <c r="H1859" i="10"/>
  <c r="F1860" i="10"/>
  <c r="H1860" i="10"/>
  <c r="F1861" i="10"/>
  <c r="H1861" i="10"/>
  <c r="F1862" i="10"/>
  <c r="H1862" i="10"/>
  <c r="F1863" i="10"/>
  <c r="H1863" i="10"/>
  <c r="F1864" i="10"/>
  <c r="H1864" i="10"/>
  <c r="F1865" i="10"/>
  <c r="H1865" i="10"/>
  <c r="F1866" i="10"/>
  <c r="H1866" i="10"/>
  <c r="F1867" i="10"/>
  <c r="H1867" i="10"/>
  <c r="F1868" i="10"/>
  <c r="H1868" i="10"/>
  <c r="F1869" i="10"/>
  <c r="H1869" i="10"/>
  <c r="F1870" i="10"/>
  <c r="H1870" i="10"/>
  <c r="F1871" i="10"/>
  <c r="H1871" i="10"/>
  <c r="F1872" i="10"/>
  <c r="H1872" i="10"/>
  <c r="F1873" i="10"/>
  <c r="H1873" i="10"/>
  <c r="F1874" i="10"/>
  <c r="H1874" i="10"/>
  <c r="F1875" i="10"/>
  <c r="H1875" i="10"/>
  <c r="F1876" i="10"/>
  <c r="H1876" i="10"/>
  <c r="F1877" i="10"/>
  <c r="H1877" i="10"/>
  <c r="F1878" i="10"/>
  <c r="H1878" i="10"/>
  <c r="F1879" i="10"/>
  <c r="H1879" i="10"/>
  <c r="F1880" i="10"/>
  <c r="H1880" i="10"/>
  <c r="F1881" i="10"/>
  <c r="H1881" i="10"/>
  <c r="F1882" i="10"/>
  <c r="H1882" i="10"/>
  <c r="F1883" i="10"/>
  <c r="H1883" i="10"/>
  <c r="F1884" i="10"/>
  <c r="H1884" i="10"/>
  <c r="F1885" i="10"/>
  <c r="H1885" i="10"/>
  <c r="F1886" i="10"/>
  <c r="H1886" i="10"/>
  <c r="F1887" i="10"/>
  <c r="H1887" i="10"/>
  <c r="F1888" i="10"/>
  <c r="H1888" i="10"/>
  <c r="F1889" i="10"/>
  <c r="H1889" i="10"/>
  <c r="F1890" i="10"/>
  <c r="H1890" i="10"/>
  <c r="F1891" i="10"/>
  <c r="H1891" i="10"/>
  <c r="F1892" i="10"/>
  <c r="H1892" i="10"/>
  <c r="F1893" i="10"/>
  <c r="H1893" i="10"/>
  <c r="F1894" i="10"/>
  <c r="H1894" i="10"/>
  <c r="F1895" i="10"/>
  <c r="H1895" i="10"/>
  <c r="F1896" i="10"/>
  <c r="H1896" i="10"/>
  <c r="F1897" i="10"/>
  <c r="H1897" i="10"/>
  <c r="F1898" i="10"/>
  <c r="H1898" i="10"/>
  <c r="F1899" i="10"/>
  <c r="H1899" i="10"/>
  <c r="F1900" i="10"/>
  <c r="H1900" i="10"/>
  <c r="F1901" i="10"/>
  <c r="H1901" i="10"/>
  <c r="F1902" i="10"/>
  <c r="H1902" i="10"/>
  <c r="F1903" i="10"/>
  <c r="H1903" i="10"/>
  <c r="F1904" i="10"/>
  <c r="H1904" i="10"/>
  <c r="F1905" i="10"/>
  <c r="H1905" i="10"/>
  <c r="F1906" i="10"/>
  <c r="H1906" i="10"/>
  <c r="F1907" i="10"/>
  <c r="H1907" i="10"/>
  <c r="F1908" i="10"/>
  <c r="H1908" i="10"/>
  <c r="F1909" i="10"/>
  <c r="H1909" i="10"/>
  <c r="F1910" i="10"/>
  <c r="H1910" i="10"/>
  <c r="F1911" i="10"/>
  <c r="H1911" i="10"/>
  <c r="F1912" i="10"/>
  <c r="H1912" i="10"/>
  <c r="F1913" i="10"/>
  <c r="H1913" i="10"/>
  <c r="F1914" i="10"/>
  <c r="H1914" i="10"/>
  <c r="F1915" i="10"/>
  <c r="H1915" i="10"/>
  <c r="F1916" i="10"/>
  <c r="H1916" i="10"/>
  <c r="F1917" i="10"/>
  <c r="H1917" i="10"/>
  <c r="F1918" i="10"/>
  <c r="H1918" i="10"/>
  <c r="F1919" i="10"/>
  <c r="H1919" i="10"/>
  <c r="F1920" i="10"/>
  <c r="H1920" i="10"/>
  <c r="F1921" i="10"/>
  <c r="H1921" i="10"/>
  <c r="F1922" i="10"/>
  <c r="H1922" i="10"/>
  <c r="F1923" i="10"/>
  <c r="H1923" i="10"/>
  <c r="F1924" i="10"/>
  <c r="H1924" i="10"/>
  <c r="F1925" i="10"/>
  <c r="H1925" i="10"/>
  <c r="F1926" i="10"/>
  <c r="H1926" i="10"/>
  <c r="F1927" i="10"/>
  <c r="H1927" i="10"/>
  <c r="F1928" i="10"/>
  <c r="H1928" i="10"/>
  <c r="F1929" i="10"/>
  <c r="H1929" i="10"/>
  <c r="F1930" i="10"/>
  <c r="H1930" i="10"/>
  <c r="F1931" i="10"/>
  <c r="H1931" i="10"/>
  <c r="F1932" i="10"/>
  <c r="H1932" i="10"/>
  <c r="F1933" i="10"/>
  <c r="H1933" i="10"/>
  <c r="F1934" i="10"/>
  <c r="H1934" i="10"/>
  <c r="F1935" i="10"/>
  <c r="H1935" i="10"/>
  <c r="F1936" i="10"/>
  <c r="H1936" i="10"/>
  <c r="F1937" i="10"/>
  <c r="H1937" i="10"/>
  <c r="F1938" i="10"/>
  <c r="H1938" i="10"/>
  <c r="F1939" i="10"/>
  <c r="H1939" i="10"/>
  <c r="F1940" i="10"/>
  <c r="H1940" i="10"/>
  <c r="F1941" i="10"/>
  <c r="H1941" i="10"/>
  <c r="F1942" i="10"/>
  <c r="H1942" i="10"/>
  <c r="F1943" i="10"/>
  <c r="H1943" i="10"/>
  <c r="F1944" i="10"/>
  <c r="H1944" i="10"/>
  <c r="F1945" i="10"/>
  <c r="H1945" i="10"/>
  <c r="F1946" i="10"/>
  <c r="H1946" i="10"/>
  <c r="F1947" i="10"/>
  <c r="H1947" i="10"/>
  <c r="F1948" i="10"/>
  <c r="H1948" i="10"/>
  <c r="F1949" i="10"/>
  <c r="H1949" i="10"/>
  <c r="F1950" i="10"/>
  <c r="H1950" i="10"/>
  <c r="F1951" i="10"/>
  <c r="H1951" i="10"/>
  <c r="F1952" i="10"/>
  <c r="H1952" i="10"/>
  <c r="F1953" i="10"/>
  <c r="H1953" i="10"/>
  <c r="F1954" i="10"/>
  <c r="H1954" i="10"/>
  <c r="F1955" i="10"/>
  <c r="H1955" i="10"/>
  <c r="F1956" i="10"/>
  <c r="H1956" i="10"/>
  <c r="F1957" i="10"/>
  <c r="H1957" i="10"/>
  <c r="F1958" i="10"/>
  <c r="H1958" i="10"/>
  <c r="F1959" i="10"/>
  <c r="H1959" i="10"/>
  <c r="F1960" i="10"/>
  <c r="H1960" i="10"/>
  <c r="F1961" i="10"/>
  <c r="H1961" i="10"/>
  <c r="F1962" i="10"/>
  <c r="H1962" i="10"/>
  <c r="F1963" i="10"/>
  <c r="H1963" i="10"/>
  <c r="F1964" i="10"/>
  <c r="H1964" i="10"/>
  <c r="F1965" i="10"/>
  <c r="H1965" i="10"/>
  <c r="F1966" i="10"/>
  <c r="H1966" i="10"/>
  <c r="F1967" i="10"/>
  <c r="H1967" i="10"/>
  <c r="F1968" i="10"/>
  <c r="H1968" i="10"/>
  <c r="F1969" i="10"/>
  <c r="H1969" i="10"/>
  <c r="F1970" i="10"/>
  <c r="H1970" i="10"/>
  <c r="F1971" i="10"/>
  <c r="H1971" i="10"/>
  <c r="F1972" i="10"/>
  <c r="H1972" i="10"/>
  <c r="F1973" i="10"/>
  <c r="H1973" i="10"/>
  <c r="F1974" i="10"/>
  <c r="H1974" i="10"/>
  <c r="F1975" i="10"/>
  <c r="H1975" i="10"/>
  <c r="F1976" i="10"/>
  <c r="H1976" i="10"/>
  <c r="F1977" i="10"/>
  <c r="H1977" i="10"/>
  <c r="F1978" i="10"/>
  <c r="H1978" i="10"/>
  <c r="F1979" i="10"/>
  <c r="H1979" i="10"/>
  <c r="F1980" i="10"/>
  <c r="H1980" i="10"/>
  <c r="F1981" i="10"/>
  <c r="H1981" i="10"/>
  <c r="F1982" i="10"/>
  <c r="H1982" i="10"/>
  <c r="F1983" i="10"/>
  <c r="H1983" i="10"/>
  <c r="F1984" i="10"/>
  <c r="H1984" i="10"/>
  <c r="F1985" i="10"/>
  <c r="H1985" i="10"/>
  <c r="F1986" i="10"/>
  <c r="H1986" i="10"/>
  <c r="F1987" i="10"/>
  <c r="H1987" i="10"/>
  <c r="F1988" i="10"/>
  <c r="H1988" i="10"/>
  <c r="F1989" i="10"/>
  <c r="H1989" i="10"/>
  <c r="F1990" i="10"/>
  <c r="H1990" i="10"/>
  <c r="F1991" i="10"/>
  <c r="H1991" i="10"/>
  <c r="F1992" i="10"/>
  <c r="H1992" i="10"/>
  <c r="F1993" i="10"/>
  <c r="H1993" i="10"/>
  <c r="F1994" i="10"/>
  <c r="H1994" i="10"/>
  <c r="F1995" i="10"/>
  <c r="H1995" i="10"/>
  <c r="F1996" i="10"/>
  <c r="H1996" i="10"/>
  <c r="F1997" i="10"/>
  <c r="H1997" i="10"/>
  <c r="F1998" i="10"/>
  <c r="H1998" i="10"/>
  <c r="F1999" i="10"/>
  <c r="H1999" i="10"/>
  <c r="F2000" i="10"/>
  <c r="H2000" i="10"/>
  <c r="F2001" i="10"/>
  <c r="H2001" i="10"/>
  <c r="F2002" i="10"/>
  <c r="H2002" i="10"/>
  <c r="F2003" i="10"/>
  <c r="H2003" i="10"/>
  <c r="F2004" i="10"/>
  <c r="H2004" i="10"/>
  <c r="F2005" i="10"/>
  <c r="H2005" i="10"/>
  <c r="F2006" i="10"/>
  <c r="H2006" i="10"/>
  <c r="F2007" i="10"/>
  <c r="H2007" i="10"/>
  <c r="F2008" i="10"/>
  <c r="H2008" i="10"/>
  <c r="F2009" i="10"/>
  <c r="H2009" i="10"/>
  <c r="F2010" i="10"/>
  <c r="H2010" i="10"/>
  <c r="F2011" i="10"/>
  <c r="H2011" i="10"/>
  <c r="F2012" i="10"/>
  <c r="H2012" i="10"/>
  <c r="F2013" i="10"/>
  <c r="H2013" i="10"/>
  <c r="F2014" i="10"/>
  <c r="H2014" i="10"/>
  <c r="F2015" i="10"/>
  <c r="H2015" i="10"/>
  <c r="F2016" i="10"/>
  <c r="H2016" i="10"/>
  <c r="F2017" i="10"/>
  <c r="H2017" i="10"/>
  <c r="F2018" i="10"/>
  <c r="H2018" i="10"/>
  <c r="F2019" i="10"/>
  <c r="H2019" i="10"/>
  <c r="F2020" i="10"/>
  <c r="H2020" i="10"/>
  <c r="F2021" i="10"/>
  <c r="H2021" i="10"/>
  <c r="F2022" i="10"/>
  <c r="H2022" i="10"/>
  <c r="F2023" i="10"/>
  <c r="H2023" i="10"/>
  <c r="F2024" i="10"/>
  <c r="H2024" i="10"/>
  <c r="F2025" i="10"/>
  <c r="H2025" i="10"/>
  <c r="F2026" i="10"/>
  <c r="H2026" i="10"/>
  <c r="F2027" i="10"/>
  <c r="H2027" i="10"/>
  <c r="F2028" i="10"/>
  <c r="H2028" i="10"/>
  <c r="F2029" i="10"/>
  <c r="H2029" i="10"/>
  <c r="F2030" i="10"/>
  <c r="H2030" i="10"/>
  <c r="F2031" i="10"/>
  <c r="H2031" i="10"/>
  <c r="F2032" i="10"/>
  <c r="H2032" i="10"/>
  <c r="F2033" i="10"/>
  <c r="H2033" i="10"/>
  <c r="F2034" i="10"/>
  <c r="H2034" i="10"/>
  <c r="F2035" i="10"/>
  <c r="H2035" i="10"/>
  <c r="F2036" i="10"/>
  <c r="H2036" i="10"/>
  <c r="F2037" i="10"/>
  <c r="H2037" i="10"/>
  <c r="F2038" i="10"/>
  <c r="H2038" i="10"/>
  <c r="F2039" i="10"/>
  <c r="H2039" i="10"/>
  <c r="F2040" i="10"/>
  <c r="H2040" i="10"/>
  <c r="F2041" i="10"/>
  <c r="H2041" i="10"/>
  <c r="F2042" i="10"/>
  <c r="H2042" i="10"/>
  <c r="F2043" i="10"/>
  <c r="H2043" i="10"/>
  <c r="F2044" i="10"/>
  <c r="H2044" i="10"/>
  <c r="F2045" i="10"/>
  <c r="H2045" i="10"/>
  <c r="F2046" i="10"/>
  <c r="H2046" i="10"/>
  <c r="F2047" i="10"/>
  <c r="H2047" i="10"/>
  <c r="F2048" i="10"/>
  <c r="H2048" i="10"/>
  <c r="F2049" i="10"/>
  <c r="H2049" i="10"/>
  <c r="F2050" i="10"/>
  <c r="H2050" i="10"/>
  <c r="F2051" i="10"/>
  <c r="H2051" i="10"/>
  <c r="F2052" i="10"/>
  <c r="H2052" i="10"/>
  <c r="F2053" i="10"/>
  <c r="H2053" i="10"/>
  <c r="F2054" i="10"/>
  <c r="H2054" i="10"/>
  <c r="F2055" i="10"/>
  <c r="H2055" i="10"/>
  <c r="F2056" i="10"/>
  <c r="H2056" i="10"/>
  <c r="F2057" i="10"/>
  <c r="H2057" i="10"/>
  <c r="F2058" i="10"/>
  <c r="H2058" i="10"/>
  <c r="F2059" i="10"/>
  <c r="H2059" i="10"/>
  <c r="F2060" i="10"/>
  <c r="H2060" i="10"/>
  <c r="F2061" i="10"/>
  <c r="H2061" i="10"/>
  <c r="F2062" i="10"/>
  <c r="H2062" i="10"/>
  <c r="F2063" i="10"/>
  <c r="H2063" i="10"/>
  <c r="F2064" i="10"/>
  <c r="H2064" i="10"/>
  <c r="F2065" i="10"/>
  <c r="H2065" i="10"/>
  <c r="F2066" i="10"/>
  <c r="H2066" i="10"/>
  <c r="F2067" i="10"/>
  <c r="H2067" i="10"/>
  <c r="F2068" i="10"/>
  <c r="H2068" i="10"/>
  <c r="F2069" i="10"/>
  <c r="H2069" i="10"/>
  <c r="F2070" i="10"/>
  <c r="H2070" i="10"/>
  <c r="F2071" i="10"/>
  <c r="H2071" i="10"/>
  <c r="F2072" i="10"/>
  <c r="H2072" i="10"/>
  <c r="F2073" i="10"/>
  <c r="H2073" i="10"/>
  <c r="F2074" i="10"/>
  <c r="H2074" i="10"/>
  <c r="F2075" i="10"/>
  <c r="H2075" i="10"/>
  <c r="F2076" i="10"/>
  <c r="H2076" i="10"/>
  <c r="F2077" i="10"/>
  <c r="H2077" i="10"/>
  <c r="F2078" i="10"/>
  <c r="H2078" i="10"/>
  <c r="F2079" i="10"/>
  <c r="H2079" i="10"/>
  <c r="F2080" i="10"/>
  <c r="H2080" i="10"/>
  <c r="F2081" i="10"/>
  <c r="H2081" i="10"/>
  <c r="F2082" i="10"/>
  <c r="H2082" i="10"/>
  <c r="F2083" i="10"/>
  <c r="H2083" i="10"/>
  <c r="F2084" i="10"/>
  <c r="H2084" i="10"/>
  <c r="F2085" i="10"/>
  <c r="H2085" i="10"/>
  <c r="F2086" i="10"/>
  <c r="H2086" i="10"/>
  <c r="F2087" i="10"/>
  <c r="H2087" i="10"/>
  <c r="F2088" i="10"/>
  <c r="H2088" i="10"/>
  <c r="F2089" i="10"/>
  <c r="H2089" i="10"/>
  <c r="F2090" i="10"/>
  <c r="H2090" i="10"/>
  <c r="F2091" i="10"/>
  <c r="H2091" i="10"/>
  <c r="F2092" i="10"/>
  <c r="H2092" i="10"/>
  <c r="F2093" i="10"/>
  <c r="H2093" i="10"/>
  <c r="F2094" i="10"/>
  <c r="H2094" i="10"/>
  <c r="F2095" i="10"/>
  <c r="H2095" i="10"/>
  <c r="F2096" i="10"/>
  <c r="H2096" i="10"/>
  <c r="F2097" i="10"/>
  <c r="H2097" i="10"/>
  <c r="F2098" i="10"/>
  <c r="H2098" i="10"/>
  <c r="F2099" i="10"/>
  <c r="H2099" i="10"/>
  <c r="F2100" i="10"/>
  <c r="H2100" i="10"/>
  <c r="F2101" i="10"/>
  <c r="H2101" i="10"/>
  <c r="F2102" i="10"/>
  <c r="H2102" i="10"/>
  <c r="F2103" i="10"/>
  <c r="H2103" i="10"/>
  <c r="F2104" i="10"/>
  <c r="H2104" i="10"/>
  <c r="F2105" i="10"/>
  <c r="H2105" i="10"/>
  <c r="F2106" i="10"/>
  <c r="H2106" i="10"/>
  <c r="F2107" i="10"/>
  <c r="H2107" i="10"/>
  <c r="F2108" i="10"/>
  <c r="H2108" i="10"/>
  <c r="F2109" i="10"/>
  <c r="H2109" i="10"/>
  <c r="F2110" i="10"/>
  <c r="H2110" i="10"/>
  <c r="F2111" i="10"/>
  <c r="H2111" i="10"/>
  <c r="F2112" i="10"/>
  <c r="H2112" i="10"/>
  <c r="F2113" i="10"/>
  <c r="H2113" i="10"/>
  <c r="F2114" i="10"/>
  <c r="H2114" i="10"/>
  <c r="F2115" i="10"/>
  <c r="H2115" i="10"/>
  <c r="F2116" i="10"/>
  <c r="H2116" i="10"/>
  <c r="F2117" i="10"/>
  <c r="H2117" i="10"/>
  <c r="F2118" i="10"/>
  <c r="H2118" i="10"/>
  <c r="F2119" i="10"/>
  <c r="H2119" i="10"/>
  <c r="F2120" i="10"/>
  <c r="H2120" i="10"/>
  <c r="F2121" i="10"/>
  <c r="H2121" i="10"/>
  <c r="F2122" i="10"/>
  <c r="H2122" i="10"/>
  <c r="F2123" i="10"/>
  <c r="H2123" i="10"/>
  <c r="F2124" i="10"/>
  <c r="H2124" i="10"/>
  <c r="F2125" i="10"/>
  <c r="H2125" i="10"/>
  <c r="F2126" i="10"/>
  <c r="H2126" i="10"/>
  <c r="F2127" i="10"/>
  <c r="H2127" i="10"/>
  <c r="F2128" i="10"/>
  <c r="H2128" i="10"/>
  <c r="F2129" i="10"/>
  <c r="H2129" i="10"/>
  <c r="F2130" i="10"/>
  <c r="H2130" i="10"/>
  <c r="F2131" i="10"/>
  <c r="H2131" i="10"/>
  <c r="F2132" i="10"/>
  <c r="H2132" i="10"/>
  <c r="F2133" i="10"/>
  <c r="H2133" i="10"/>
  <c r="F2134" i="10"/>
  <c r="H2134" i="10"/>
  <c r="F2135" i="10"/>
  <c r="H2135" i="10"/>
  <c r="F2136" i="10"/>
  <c r="H2136" i="10"/>
  <c r="F2137" i="10"/>
  <c r="H2137" i="10"/>
  <c r="F2138" i="10"/>
  <c r="H2138" i="10"/>
  <c r="F2139" i="10"/>
  <c r="H2139" i="10"/>
  <c r="F2140" i="10"/>
  <c r="H2140" i="10"/>
  <c r="F2141" i="10"/>
  <c r="H2141" i="10"/>
  <c r="F2142" i="10"/>
  <c r="H2142" i="10"/>
  <c r="F2143" i="10"/>
  <c r="H2143" i="10"/>
  <c r="F2144" i="10"/>
  <c r="H2144" i="10"/>
  <c r="F2145" i="10"/>
  <c r="H2145" i="10"/>
  <c r="F2146" i="10"/>
  <c r="H2146" i="10"/>
  <c r="F2147" i="10"/>
  <c r="H2147" i="10"/>
  <c r="F2148" i="10"/>
  <c r="H2148" i="10"/>
  <c r="F2149" i="10"/>
  <c r="H2149" i="10"/>
  <c r="F2150" i="10"/>
  <c r="H2150" i="10"/>
  <c r="F2151" i="10"/>
  <c r="H2151" i="10"/>
  <c r="F2152" i="10"/>
  <c r="H2152" i="10"/>
  <c r="F2153" i="10"/>
  <c r="H2153" i="10"/>
  <c r="F2154" i="10"/>
  <c r="H2154" i="10"/>
  <c r="F2155" i="10"/>
  <c r="H2155" i="10"/>
  <c r="F2156" i="10"/>
  <c r="H2156" i="10"/>
  <c r="F2157" i="10"/>
  <c r="H2157" i="10"/>
  <c r="F2158" i="10"/>
  <c r="H2158" i="10"/>
  <c r="F2159" i="10"/>
  <c r="H2159" i="10"/>
  <c r="F2160" i="10"/>
  <c r="H2160" i="10"/>
  <c r="F2161" i="10"/>
  <c r="H2161" i="10"/>
  <c r="F2162" i="10"/>
  <c r="H2162" i="10"/>
  <c r="F2163" i="10"/>
  <c r="H2163" i="10"/>
  <c r="F2164" i="10"/>
  <c r="H2164" i="10"/>
  <c r="F2165" i="10"/>
  <c r="H2165" i="10"/>
  <c r="F2166" i="10"/>
  <c r="H2166" i="10"/>
  <c r="F2167" i="10"/>
  <c r="H2167" i="10"/>
  <c r="F2168" i="10"/>
  <c r="H2168" i="10"/>
  <c r="F2169" i="10"/>
  <c r="H2169" i="10"/>
  <c r="F2170" i="10"/>
  <c r="H2170" i="10"/>
  <c r="F2171" i="10"/>
  <c r="H2171" i="10"/>
  <c r="F2172" i="10"/>
  <c r="H2172" i="10"/>
  <c r="F2173" i="10"/>
  <c r="H2173" i="10"/>
  <c r="F2174" i="10"/>
  <c r="H2174" i="10"/>
  <c r="F2175" i="10"/>
  <c r="H2175" i="10"/>
  <c r="F2176" i="10"/>
  <c r="H2176" i="10"/>
  <c r="F2177" i="10"/>
  <c r="H2177" i="10"/>
  <c r="F2178" i="10"/>
  <c r="H2178" i="10"/>
  <c r="F2179" i="10"/>
  <c r="H2179" i="10"/>
  <c r="F2180" i="10"/>
  <c r="H2180" i="10"/>
  <c r="F2181" i="10"/>
  <c r="H2181" i="10"/>
  <c r="F2182" i="10"/>
  <c r="H2182" i="10"/>
  <c r="F2183" i="10"/>
  <c r="H2183" i="10"/>
  <c r="F2184" i="10"/>
  <c r="H2184" i="10"/>
  <c r="F2185" i="10"/>
  <c r="H2185" i="10"/>
  <c r="F2186" i="10"/>
  <c r="H2186" i="10"/>
  <c r="F2187" i="10"/>
  <c r="H2187" i="10"/>
  <c r="F2188" i="10"/>
  <c r="H2188" i="10"/>
  <c r="F2189" i="10"/>
  <c r="H2189" i="10"/>
  <c r="F2190" i="10"/>
  <c r="H2190" i="10"/>
  <c r="F2191" i="10"/>
  <c r="H2191" i="10"/>
  <c r="F2192" i="10"/>
  <c r="H2192" i="10"/>
  <c r="F2193" i="10"/>
  <c r="H2193" i="10"/>
  <c r="F2194" i="10"/>
  <c r="H2194" i="10"/>
  <c r="F2195" i="10"/>
  <c r="H2195" i="10"/>
  <c r="F2196" i="10"/>
  <c r="H2196" i="10"/>
  <c r="F2197" i="10"/>
  <c r="H2197" i="10"/>
  <c r="F2198" i="10"/>
  <c r="H2198" i="10"/>
  <c r="F2199" i="10"/>
  <c r="H2199" i="10"/>
  <c r="F2200" i="10"/>
  <c r="H2200" i="10"/>
  <c r="F2201" i="10"/>
  <c r="H2201" i="10"/>
  <c r="F2202" i="10"/>
  <c r="H2202" i="10"/>
  <c r="F2203" i="10"/>
  <c r="H2203" i="10"/>
  <c r="F2204" i="10"/>
  <c r="H2204" i="10"/>
  <c r="F2205" i="10"/>
  <c r="H2205" i="10"/>
  <c r="F2206" i="10"/>
  <c r="H2206" i="10"/>
  <c r="F2207" i="10"/>
  <c r="H2207" i="10"/>
  <c r="F2208" i="10"/>
  <c r="H2208" i="10"/>
  <c r="H2209" i="10"/>
  <c r="F2210" i="10"/>
  <c r="H2210" i="10"/>
  <c r="F2211" i="10"/>
  <c r="H2211" i="10"/>
  <c r="D16" i="12" l="1"/>
  <c r="D44" i="12"/>
  <c r="D72" i="12"/>
  <c r="D100" i="12"/>
  <c r="D128" i="12"/>
  <c r="D152" i="12"/>
  <c r="D160" i="12" s="1"/>
  <c r="D153" i="12"/>
  <c r="C36" i="8"/>
  <c r="P35" i="10" s="1"/>
  <c r="D159" i="12" l="1"/>
  <c r="D161" i="12" s="1"/>
  <c r="C168" i="12"/>
  <c r="P32" i="10" s="1"/>
  <c r="D162" i="12" l="1"/>
  <c r="E166" i="12"/>
  <c r="C166" i="12"/>
  <c r="C32" i="2" l="1"/>
  <c r="P9" i="10" s="1"/>
  <c r="C129" i="3" l="1"/>
  <c r="P12" i="10" s="1"/>
  <c r="C282" i="5"/>
  <c r="P18" i="10" s="1"/>
  <c r="C299" i="4"/>
  <c r="P15" i="10" s="1"/>
  <c r="C69" i="11"/>
  <c r="P29" i="10" s="1"/>
  <c r="C327" i="6"/>
  <c r="P26" i="10" s="1"/>
  <c r="E67" i="11" l="1"/>
  <c r="C67" i="11"/>
  <c r="F7" i="8"/>
  <c r="C7" i="8"/>
  <c r="E30" i="9" l="1"/>
  <c r="F34" i="8"/>
  <c r="J325" i="6"/>
  <c r="E280" i="5"/>
  <c r="E297" i="4"/>
  <c r="E127" i="3"/>
  <c r="C30" i="9"/>
  <c r="C34" i="8"/>
  <c r="C325" i="6"/>
  <c r="C280" i="5"/>
  <c r="C297" i="4"/>
  <c r="C127" i="3"/>
  <c r="E30" i="2"/>
  <c r="C30" i="2"/>
</calcChain>
</file>

<file path=xl/python.xml><?xml version="1.0" encoding="utf-8"?>
<python xmlns="http://schemas.microsoft.com/office/spreadsheetml/2023/python">
  <environmentDefinition id="{882DD1B0-6546-4DFA-8A08-902A380B44EA}">
    <initialization>
      <code xml:space="preserve">import numpy as np
import pandas as pd
import matplotlib.pyplot as plt
import seaborn as sns
import statsmodels as sm
import excel
import warnings
warnings.simplefilter('ignore')
excel.set_xl_scalar_conversion(excel.convert_to_scalar)
excel.set_xl_array_conversion(excel.convert_to_dataframe)
</code>
    </initialization>
  </environmentDefinition>
</python>
</file>

<file path=xl/sharedStrings.xml><?xml version="1.0" encoding="utf-8"?>
<sst xmlns="http://schemas.openxmlformats.org/spreadsheetml/2006/main" count="8502" uniqueCount="2910">
  <si>
    <r>
      <t xml:space="preserve">Emissions Return Form for Regulated Emitters Subject to
</t>
    </r>
    <r>
      <rPr>
        <b/>
        <i/>
        <sz val="18"/>
        <color rgb="FFFFFFFF"/>
        <rFont val="Aptos Narrow"/>
        <family val="2"/>
      </rPr>
      <t>The Aggregate Facility Standard</t>
    </r>
  </si>
  <si>
    <t>Instructions</t>
  </si>
  <si>
    <t>•</t>
  </si>
  <si>
    <r>
      <t xml:space="preserve">This form makes use of macros. </t>
    </r>
    <r>
      <rPr>
        <b/>
        <sz val="11"/>
        <color rgb="FF000000"/>
        <rFont val="Aptos Narrow"/>
        <family val="2"/>
      </rPr>
      <t>Please enable macros.</t>
    </r>
  </si>
  <si>
    <t>Once each tab is complete, ensure the notification at the bottom reads "Sheet complete." If it does not, follow the instructions to complete the tab.</t>
  </si>
  <si>
    <t>After reviewing the information on each tab, the authorized signing officer must convert this form to a PDF by following the steps on the Declaration tab.</t>
  </si>
  <si>
    <t>Any changes made to this form after it has been signed by the authorized signing officer will deem the submission void.</t>
  </si>
  <si>
    <t>Submission and Eligibility Requirements</t>
  </si>
  <si>
    <r>
      <t xml:space="preserve">This form is for industrial facilities registered under </t>
    </r>
    <r>
      <rPr>
        <i/>
        <sz val="11"/>
        <color rgb="FF000000"/>
        <rFont val="Aptos Narrow"/>
        <family val="2"/>
      </rPr>
      <t>The Aggregate Facility Standard.</t>
    </r>
  </si>
  <si>
    <t>A baseline emissions intensity must be established for each product produced in each production class at the facility.</t>
  </si>
  <si>
    <r>
      <t xml:space="preserve">If the facility is reporting emissions using the quantification methodology established under part 3 of </t>
    </r>
    <r>
      <rPr>
        <i/>
        <sz val="11"/>
        <color rgb="FF000000"/>
        <rFont val="Aptos Narrow"/>
        <family val="2"/>
      </rPr>
      <t>The Aggregate Facility Standard,</t>
    </r>
    <r>
      <rPr>
        <sz val="11"/>
        <color rgb="FF000000"/>
        <rFont val="Aptos Narrow"/>
        <family val="2"/>
      </rPr>
      <t xml:space="preserve"> a quantification methodology document (QMD) must be included with this submission.</t>
    </r>
  </si>
  <si>
    <t>Request for Confidentiality</t>
  </si>
  <si>
    <t>Legal Authority</t>
  </si>
  <si>
    <r>
      <t xml:space="preserve">The requirements in this form are administered under the authority of </t>
    </r>
    <r>
      <rPr>
        <i/>
        <sz val="11"/>
        <color rgb="FF000000"/>
        <rFont val="Aptos Narrow"/>
        <family val="2"/>
      </rPr>
      <t>The Management and Reduction of Greenhouse Gases Act, The Management and Reduction of Greenhouse Gases (Standards and Compliance) Regulations, 2023</t>
    </r>
    <r>
      <rPr>
        <sz val="11"/>
        <color rgb="FF000000"/>
        <rFont val="Aptos Narrow"/>
        <family val="2"/>
      </rPr>
      <t xml:space="preserve"> and </t>
    </r>
    <r>
      <rPr>
        <i/>
        <sz val="11"/>
        <color rgb="FF000000"/>
        <rFont val="Aptos Narrow"/>
        <family val="2"/>
      </rPr>
      <t>The Aggregate Facility Standard.</t>
    </r>
  </si>
  <si>
    <t>It is the responsibility of the regulated emitter to contact all necessary agencies of the Government of Canada to meet any requirements pertaining to federal acts or regulations.</t>
  </si>
  <si>
    <t>Facility Information</t>
  </si>
  <si>
    <t>Operator name</t>
  </si>
  <si>
    <t>OBPS registration number</t>
  </si>
  <si>
    <t>Compliance year</t>
  </si>
  <si>
    <r>
      <t xml:space="preserve">Under </t>
    </r>
    <r>
      <rPr>
        <i/>
        <sz val="11"/>
        <color rgb="FF000000"/>
        <rFont val="Aptos Narrow"/>
        <family val="2"/>
      </rPr>
      <t>The Aggregate Facility Standard,</t>
    </r>
    <r>
      <rPr>
        <sz val="11"/>
        <color rgb="FF000000"/>
        <rFont val="Aptos Narrow"/>
        <family val="2"/>
      </rPr>
      <t xml:space="preserve"> is this facility reporting emissions using the quantification methodology established under:</t>
    </r>
  </si>
  <si>
    <r>
      <t>Part 2 – aggregate facilities with annual emissions below 15,000 tonnes CO</t>
    </r>
    <r>
      <rPr>
        <vertAlign val="subscript"/>
        <sz val="11"/>
        <color rgb="FF000000"/>
        <rFont val="Aptos Narrow"/>
        <family val="2"/>
      </rPr>
      <t>2</t>
    </r>
    <r>
      <rPr>
        <sz val="11"/>
        <color rgb="FF000000"/>
        <rFont val="Aptos Narrow"/>
        <family val="2"/>
      </rPr>
      <t>e; or</t>
    </r>
  </si>
  <si>
    <r>
      <t>Part 3 – aggregate facilities with annual emissions of 15,000 tonnes or more CO</t>
    </r>
    <r>
      <rPr>
        <vertAlign val="subscript"/>
        <sz val="11"/>
        <color rgb="FF000000"/>
        <rFont val="Aptos Narrow"/>
        <family val="2"/>
      </rPr>
      <t>2</t>
    </r>
    <r>
      <rPr>
        <sz val="11"/>
        <color rgb="FF000000"/>
        <rFont val="Aptos Narrow"/>
        <family val="2"/>
      </rPr>
      <t>e?</t>
    </r>
  </si>
  <si>
    <t>Select the production classes that have one or more individual active or suspended facilities.</t>
  </si>
  <si>
    <t>Product Information</t>
  </si>
  <si>
    <t>Production Class 1: Lloydminster Heavy and Non-Heavy</t>
  </si>
  <si>
    <t>Select the source categories that produced direct emissions.</t>
  </si>
  <si>
    <t>Select any additional fuel types that were used for stationary fuel combustion.</t>
  </si>
  <si>
    <t>Does this production class have regulated electricity emissions?</t>
  </si>
  <si>
    <t>Does this production class have a gas-to-power operation?</t>
  </si>
  <si>
    <t>Are drilling emissions being reported for this production class?</t>
  </si>
  <si>
    <t>Production Class 2a: Kindersley Heavy</t>
  </si>
  <si>
    <t>Production Class 2b: Kindersley Non-Heavy</t>
  </si>
  <si>
    <t>Production Class 3: Swift Current Heavy and Non-Heavy</t>
  </si>
  <si>
    <t>Production Class 4: Estevan Heavy and Non-Heavy</t>
  </si>
  <si>
    <t>Production Data</t>
  </si>
  <si>
    <t>Production</t>
  </si>
  <si>
    <t>Reported data</t>
  </si>
  <si>
    <t>Units</t>
  </si>
  <si>
    <t>Amount of commercial product</t>
  </si>
  <si>
    <t>BOE</t>
  </si>
  <si>
    <t>Stationary fuel combustion volumes and emissions</t>
  </si>
  <si>
    <t>Fuel gas</t>
  </si>
  <si>
    <r>
      <t>1000 m</t>
    </r>
    <r>
      <rPr>
        <vertAlign val="superscript"/>
        <sz val="11"/>
        <color rgb="FF000000"/>
        <rFont val="Aptos Narrow"/>
        <family val="2"/>
      </rPr>
      <t>3</t>
    </r>
  </si>
  <si>
    <t>Butane</t>
  </si>
  <si>
    <t>kL</t>
  </si>
  <si>
    <t>Diesel</t>
  </si>
  <si>
    <t>Ethane</t>
  </si>
  <si>
    <t>Gasoline</t>
  </si>
  <si>
    <t>Propane</t>
  </si>
  <si>
    <t>Carbon dioxide</t>
  </si>
  <si>
    <r>
      <t>tonnes CO</t>
    </r>
    <r>
      <rPr>
        <vertAlign val="subscript"/>
        <sz val="11"/>
        <color rgb="FF000000"/>
        <rFont val="Aptos Narrow"/>
        <family val="2"/>
      </rPr>
      <t>2</t>
    </r>
  </si>
  <si>
    <t>Methane</t>
  </si>
  <si>
    <r>
      <t>tonnes CH</t>
    </r>
    <r>
      <rPr>
        <vertAlign val="subscript"/>
        <sz val="11"/>
        <color rgb="FF000000"/>
        <rFont val="Aptos Narrow"/>
        <family val="2"/>
      </rPr>
      <t>4</t>
    </r>
  </si>
  <si>
    <t>Nitrous oxide</t>
  </si>
  <si>
    <r>
      <t>tonnes N</t>
    </r>
    <r>
      <rPr>
        <vertAlign val="subscript"/>
        <sz val="11"/>
        <color rgb="FF000000"/>
        <rFont val="Aptos Narrow"/>
        <family val="2"/>
      </rPr>
      <t>2</t>
    </r>
    <r>
      <rPr>
        <sz val="11"/>
        <color rgb="FF000000"/>
        <rFont val="Aptos Narrow"/>
        <family val="2"/>
      </rPr>
      <t>O</t>
    </r>
  </si>
  <si>
    <t>Industrial product use emissions</t>
  </si>
  <si>
    <t>Sulphur hexafluoride</t>
  </si>
  <si>
    <r>
      <t>tonnes SF</t>
    </r>
    <r>
      <rPr>
        <vertAlign val="subscript"/>
        <sz val="11"/>
        <color rgb="FF000000"/>
        <rFont val="Aptos Narrow"/>
        <family val="2"/>
      </rPr>
      <t>6</t>
    </r>
  </si>
  <si>
    <t>Perfluoromethane</t>
  </si>
  <si>
    <r>
      <t>tonnes CF</t>
    </r>
    <r>
      <rPr>
        <vertAlign val="subscript"/>
        <sz val="11"/>
        <color rgb="FF000000"/>
        <rFont val="Aptos Narrow"/>
        <family val="2"/>
      </rPr>
      <t>4</t>
    </r>
  </si>
  <si>
    <t>Perfluoroethane</t>
  </si>
  <si>
    <r>
      <t>tonnes C</t>
    </r>
    <r>
      <rPr>
        <vertAlign val="subscript"/>
        <sz val="11"/>
        <color rgb="FF000000"/>
        <rFont val="Aptos Narrow"/>
        <family val="2"/>
      </rPr>
      <t>2</t>
    </r>
    <r>
      <rPr>
        <sz val="11"/>
        <color rgb="FF000000"/>
        <rFont val="Aptos Narrow"/>
        <family val="2"/>
      </rPr>
      <t>F</t>
    </r>
    <r>
      <rPr>
        <vertAlign val="subscript"/>
        <sz val="11"/>
        <color rgb="FF000000"/>
        <rFont val="Aptos Narrow"/>
        <family val="2"/>
      </rPr>
      <t>6</t>
    </r>
  </si>
  <si>
    <t>Perfluoropropane</t>
  </si>
  <si>
    <r>
      <t>tonnes C</t>
    </r>
    <r>
      <rPr>
        <vertAlign val="subscript"/>
        <sz val="11"/>
        <color rgb="FF000000"/>
        <rFont val="Aptos Narrow"/>
        <family val="2"/>
      </rPr>
      <t>3</t>
    </r>
    <r>
      <rPr>
        <sz val="11"/>
        <color rgb="FF000000"/>
        <rFont val="Aptos Narrow"/>
        <family val="2"/>
      </rPr>
      <t>F</t>
    </r>
    <r>
      <rPr>
        <vertAlign val="subscript"/>
        <sz val="11"/>
        <color rgb="FF000000"/>
        <rFont val="Aptos Narrow"/>
        <family val="2"/>
      </rPr>
      <t>8</t>
    </r>
  </si>
  <si>
    <t>Perfluorobutane</t>
  </si>
  <si>
    <r>
      <t>tonnes C</t>
    </r>
    <r>
      <rPr>
        <vertAlign val="subscript"/>
        <sz val="11"/>
        <color rgb="FF000000"/>
        <rFont val="Aptos Narrow"/>
        <family val="2"/>
      </rPr>
      <t>4</t>
    </r>
    <r>
      <rPr>
        <sz val="11"/>
        <color rgb="FF000000"/>
        <rFont val="Aptos Narrow"/>
        <family val="2"/>
      </rPr>
      <t>F</t>
    </r>
    <r>
      <rPr>
        <vertAlign val="subscript"/>
        <sz val="11"/>
        <color rgb="FF000000"/>
        <rFont val="Aptos Narrow"/>
        <family val="2"/>
      </rPr>
      <t>10</t>
    </r>
  </si>
  <si>
    <t>Perfluorocyclobutane</t>
  </si>
  <si>
    <r>
      <t>tonnes c-C</t>
    </r>
    <r>
      <rPr>
        <vertAlign val="subscript"/>
        <sz val="11"/>
        <color rgb="FF000000"/>
        <rFont val="Aptos Narrow"/>
        <family val="2"/>
      </rPr>
      <t>4</t>
    </r>
    <r>
      <rPr>
        <sz val="11"/>
        <color rgb="FF000000"/>
        <rFont val="Aptos Narrow"/>
        <family val="2"/>
      </rPr>
      <t>F</t>
    </r>
    <r>
      <rPr>
        <vertAlign val="subscript"/>
        <sz val="11"/>
        <color rgb="FF000000"/>
        <rFont val="Aptos Narrow"/>
        <family val="2"/>
      </rPr>
      <t>8</t>
    </r>
  </si>
  <si>
    <t>Perfluoropentane</t>
  </si>
  <si>
    <r>
      <t>tonnes C</t>
    </r>
    <r>
      <rPr>
        <vertAlign val="subscript"/>
        <sz val="11"/>
        <color rgb="FF000000"/>
        <rFont val="Aptos Narrow"/>
        <family val="2"/>
      </rPr>
      <t>5</t>
    </r>
    <r>
      <rPr>
        <sz val="11"/>
        <color rgb="FF000000"/>
        <rFont val="Aptos Narrow"/>
        <family val="2"/>
      </rPr>
      <t>F</t>
    </r>
    <r>
      <rPr>
        <vertAlign val="subscript"/>
        <sz val="11"/>
        <color rgb="FF000000"/>
        <rFont val="Aptos Narrow"/>
        <family val="2"/>
      </rPr>
      <t>12</t>
    </r>
  </si>
  <si>
    <t>Perfluorohexane</t>
  </si>
  <si>
    <r>
      <t>tonnes C</t>
    </r>
    <r>
      <rPr>
        <vertAlign val="subscript"/>
        <sz val="11"/>
        <color rgb="FF000000"/>
        <rFont val="Aptos Narrow"/>
        <family val="2"/>
      </rPr>
      <t>6</t>
    </r>
    <r>
      <rPr>
        <sz val="11"/>
        <color rgb="FF000000"/>
        <rFont val="Aptos Narrow"/>
        <family val="2"/>
      </rPr>
      <t>F</t>
    </r>
    <r>
      <rPr>
        <vertAlign val="subscript"/>
        <sz val="11"/>
        <color rgb="FF000000"/>
        <rFont val="Aptos Narrow"/>
        <family val="2"/>
      </rPr>
      <t>14</t>
    </r>
  </si>
  <si>
    <t>HFC-23</t>
  </si>
  <si>
    <r>
      <t>tonnes CHF</t>
    </r>
    <r>
      <rPr>
        <vertAlign val="subscript"/>
        <sz val="11"/>
        <color rgb="FF000000"/>
        <rFont val="Aptos Narrow"/>
        <family val="2"/>
      </rPr>
      <t>3</t>
    </r>
  </si>
  <si>
    <t>HFC-32</t>
  </si>
  <si>
    <r>
      <t>tonnes CH</t>
    </r>
    <r>
      <rPr>
        <vertAlign val="subscript"/>
        <sz val="11"/>
        <color rgb="FF000000"/>
        <rFont val="Aptos Narrow"/>
        <family val="2"/>
      </rPr>
      <t>2</t>
    </r>
    <r>
      <rPr>
        <sz val="11"/>
        <color rgb="FF000000"/>
        <rFont val="Aptos Narrow"/>
        <family val="2"/>
      </rPr>
      <t>F</t>
    </r>
    <r>
      <rPr>
        <vertAlign val="subscript"/>
        <sz val="11"/>
        <color rgb="FF000000"/>
        <rFont val="Aptos Narrow"/>
        <family val="2"/>
      </rPr>
      <t>2</t>
    </r>
  </si>
  <si>
    <t>HFC-41</t>
  </si>
  <si>
    <r>
      <t>tonnes CH</t>
    </r>
    <r>
      <rPr>
        <vertAlign val="subscript"/>
        <sz val="11"/>
        <color rgb="FF000000"/>
        <rFont val="Aptos Narrow"/>
        <family val="2"/>
      </rPr>
      <t>3</t>
    </r>
    <r>
      <rPr>
        <sz val="11"/>
        <color rgb="FF000000"/>
        <rFont val="Aptos Narrow"/>
        <family val="2"/>
      </rPr>
      <t>F</t>
    </r>
  </si>
  <si>
    <t>HFC-43-10mee</t>
  </si>
  <si>
    <r>
      <t>tonnes CF</t>
    </r>
    <r>
      <rPr>
        <vertAlign val="subscript"/>
        <sz val="11"/>
        <color rgb="FF000000"/>
        <rFont val="Aptos Narrow"/>
        <family val="2"/>
      </rPr>
      <t>3</t>
    </r>
    <r>
      <rPr>
        <sz val="11"/>
        <color rgb="FF000000"/>
        <rFont val="Aptos Narrow"/>
        <family val="2"/>
      </rPr>
      <t>CHFCHFCF</t>
    </r>
    <r>
      <rPr>
        <vertAlign val="subscript"/>
        <sz val="11"/>
        <color rgb="FF000000"/>
        <rFont val="Aptos Narrow"/>
        <family val="2"/>
      </rPr>
      <t>2</t>
    </r>
    <r>
      <rPr>
        <sz val="11"/>
        <color rgb="FF000000"/>
        <rFont val="Aptos Narrow"/>
        <family val="2"/>
      </rPr>
      <t>CF</t>
    </r>
    <r>
      <rPr>
        <vertAlign val="subscript"/>
        <sz val="11"/>
        <color rgb="FF000000"/>
        <rFont val="Aptos Narrow"/>
        <family val="2"/>
      </rPr>
      <t>3</t>
    </r>
  </si>
  <si>
    <t>HFC-125</t>
  </si>
  <si>
    <r>
      <t>tonnes CHF</t>
    </r>
    <r>
      <rPr>
        <vertAlign val="subscript"/>
        <sz val="11"/>
        <color rgb="FF000000"/>
        <rFont val="Aptos Narrow"/>
        <family val="2"/>
      </rPr>
      <t>2</t>
    </r>
    <r>
      <rPr>
        <sz val="11"/>
        <color rgb="FF000000"/>
        <rFont val="Aptos Narrow"/>
        <family val="2"/>
      </rPr>
      <t>CF</t>
    </r>
    <r>
      <rPr>
        <vertAlign val="subscript"/>
        <sz val="11"/>
        <color rgb="FF000000"/>
        <rFont val="Aptos Narrow"/>
        <family val="2"/>
      </rPr>
      <t>3</t>
    </r>
  </si>
  <si>
    <t>HFC-134</t>
  </si>
  <si>
    <r>
      <t>tonnes CHF</t>
    </r>
    <r>
      <rPr>
        <vertAlign val="subscript"/>
        <sz val="11"/>
        <color rgb="FF000000"/>
        <rFont val="Aptos Narrow"/>
        <family val="2"/>
      </rPr>
      <t>2</t>
    </r>
    <r>
      <rPr>
        <sz val="11"/>
        <color rgb="FF000000"/>
        <rFont val="Aptos Narrow"/>
        <family val="2"/>
      </rPr>
      <t>CHF</t>
    </r>
    <r>
      <rPr>
        <vertAlign val="subscript"/>
        <sz val="11"/>
        <color rgb="FF000000"/>
        <rFont val="Aptos Narrow"/>
        <family val="2"/>
      </rPr>
      <t>2</t>
    </r>
  </si>
  <si>
    <t>HFC-134a</t>
  </si>
  <si>
    <r>
      <t>tonnes CH</t>
    </r>
    <r>
      <rPr>
        <vertAlign val="subscript"/>
        <sz val="11"/>
        <color rgb="FF000000"/>
        <rFont val="Aptos Narrow"/>
        <family val="2"/>
      </rPr>
      <t>2</t>
    </r>
    <r>
      <rPr>
        <sz val="11"/>
        <color rgb="FF000000"/>
        <rFont val="Aptos Narrow"/>
        <family val="2"/>
      </rPr>
      <t>FCF</t>
    </r>
    <r>
      <rPr>
        <vertAlign val="subscript"/>
        <sz val="11"/>
        <color rgb="FF000000"/>
        <rFont val="Aptos Narrow"/>
        <family val="2"/>
      </rPr>
      <t>3</t>
    </r>
  </si>
  <si>
    <t>HFC-143</t>
  </si>
  <si>
    <r>
      <t>tonnes CH</t>
    </r>
    <r>
      <rPr>
        <vertAlign val="subscript"/>
        <sz val="11"/>
        <color rgb="FF000000"/>
        <rFont val="Aptos Narrow"/>
        <family val="2"/>
      </rPr>
      <t>2</t>
    </r>
    <r>
      <rPr>
        <sz val="11"/>
        <color rgb="FF000000"/>
        <rFont val="Aptos Narrow"/>
        <family val="2"/>
      </rPr>
      <t>FCHF</t>
    </r>
    <r>
      <rPr>
        <vertAlign val="subscript"/>
        <sz val="11"/>
        <color rgb="FF000000"/>
        <rFont val="Aptos Narrow"/>
        <family val="2"/>
      </rPr>
      <t>2</t>
    </r>
  </si>
  <si>
    <t>HFC-143a</t>
  </si>
  <si>
    <r>
      <t>tonnes CH</t>
    </r>
    <r>
      <rPr>
        <vertAlign val="subscript"/>
        <sz val="11"/>
        <color rgb="FF000000"/>
        <rFont val="Aptos Narrow"/>
        <family val="2"/>
      </rPr>
      <t>3</t>
    </r>
    <r>
      <rPr>
        <sz val="11"/>
        <color rgb="FF000000"/>
        <rFont val="Aptos Narrow"/>
        <family val="2"/>
      </rPr>
      <t>CF</t>
    </r>
    <r>
      <rPr>
        <vertAlign val="subscript"/>
        <sz val="11"/>
        <color rgb="FF000000"/>
        <rFont val="Aptos Narrow"/>
        <family val="2"/>
      </rPr>
      <t>3</t>
    </r>
  </si>
  <si>
    <t>HFC-152a</t>
  </si>
  <si>
    <r>
      <t>tonnes CH</t>
    </r>
    <r>
      <rPr>
        <vertAlign val="subscript"/>
        <sz val="11"/>
        <color rgb="FF000000"/>
        <rFont val="Aptos Narrow"/>
        <family val="2"/>
      </rPr>
      <t>3</t>
    </r>
    <r>
      <rPr>
        <sz val="11"/>
        <color rgb="FF000000"/>
        <rFont val="Aptos Narrow"/>
        <family val="2"/>
      </rPr>
      <t>CHF</t>
    </r>
    <r>
      <rPr>
        <vertAlign val="subscript"/>
        <sz val="11"/>
        <color rgb="FF000000"/>
        <rFont val="Aptos Narrow"/>
        <family val="2"/>
      </rPr>
      <t>2</t>
    </r>
  </si>
  <si>
    <t>HFC-227ea</t>
  </si>
  <si>
    <r>
      <t>tonnes CF</t>
    </r>
    <r>
      <rPr>
        <vertAlign val="subscript"/>
        <sz val="11"/>
        <color rgb="FF000000"/>
        <rFont val="Aptos Narrow"/>
        <family val="2"/>
      </rPr>
      <t>3</t>
    </r>
    <r>
      <rPr>
        <sz val="11"/>
        <color rgb="FF000000"/>
        <rFont val="Aptos Narrow"/>
        <family val="2"/>
      </rPr>
      <t>CHFCF</t>
    </r>
    <r>
      <rPr>
        <vertAlign val="subscript"/>
        <sz val="11"/>
        <color rgb="FF000000"/>
        <rFont val="Aptos Narrow"/>
        <family val="2"/>
      </rPr>
      <t>3</t>
    </r>
  </si>
  <si>
    <t>HFC-236fa</t>
  </si>
  <si>
    <r>
      <t>tonnes CF</t>
    </r>
    <r>
      <rPr>
        <vertAlign val="subscript"/>
        <sz val="11"/>
        <color rgb="FF000000"/>
        <rFont val="Aptos Narrow"/>
        <family val="2"/>
      </rPr>
      <t>3</t>
    </r>
    <r>
      <rPr>
        <sz val="11"/>
        <color rgb="FF000000"/>
        <rFont val="Aptos Narrow"/>
        <family val="2"/>
      </rPr>
      <t>CH</t>
    </r>
    <r>
      <rPr>
        <vertAlign val="subscript"/>
        <sz val="11"/>
        <color rgb="FF000000"/>
        <rFont val="Aptos Narrow"/>
        <family val="2"/>
      </rPr>
      <t>2</t>
    </r>
    <r>
      <rPr>
        <sz val="11"/>
        <color rgb="FF000000"/>
        <rFont val="Aptos Narrow"/>
        <family val="2"/>
      </rPr>
      <t>CF</t>
    </r>
    <r>
      <rPr>
        <vertAlign val="subscript"/>
        <sz val="11"/>
        <color rgb="FF000000"/>
        <rFont val="Aptos Narrow"/>
        <family val="2"/>
      </rPr>
      <t>3</t>
    </r>
  </si>
  <si>
    <t>HFC-245ca</t>
  </si>
  <si>
    <r>
      <t>tonnes CH</t>
    </r>
    <r>
      <rPr>
        <vertAlign val="subscript"/>
        <sz val="11"/>
        <color rgb="FF000000"/>
        <rFont val="Aptos Narrow"/>
        <family val="2"/>
      </rPr>
      <t>2</t>
    </r>
    <r>
      <rPr>
        <sz val="11"/>
        <color rgb="FF000000"/>
        <rFont val="Aptos Narrow"/>
        <family val="2"/>
      </rPr>
      <t>FCF</t>
    </r>
    <r>
      <rPr>
        <vertAlign val="subscript"/>
        <sz val="11"/>
        <color rgb="FF000000"/>
        <rFont val="Aptos Narrow"/>
        <family val="2"/>
      </rPr>
      <t>2</t>
    </r>
    <r>
      <rPr>
        <sz val="11"/>
        <color rgb="FF000000"/>
        <rFont val="Aptos Narrow"/>
        <family val="2"/>
      </rPr>
      <t>CHF</t>
    </r>
    <r>
      <rPr>
        <vertAlign val="subscript"/>
        <sz val="11"/>
        <color rgb="FF000000"/>
        <rFont val="Aptos Narrow"/>
        <family val="2"/>
      </rPr>
      <t>2</t>
    </r>
  </si>
  <si>
    <t>Flaring volumes and emissions</t>
  </si>
  <si>
    <t>*Flare gas &gt;= 99% efficiency</t>
  </si>
  <si>
    <t>**Flare gas &lt; 99% efficiency</t>
  </si>
  <si>
    <t>*Volume to flaring or incinerator sources with conversion efficiency of greater than or equal to 99%.</t>
  </si>
  <si>
    <t>**Volume to flaring or incinerator sources with conversion efficiency of less than 99%.</t>
  </si>
  <si>
    <t>On-site transportation emissions</t>
  </si>
  <si>
    <t>Electricity Data</t>
  </si>
  <si>
    <t>Refer to the Appendix tab for instructions on reporting electricity data.</t>
  </si>
  <si>
    <t>Gas-to-Power Data</t>
  </si>
  <si>
    <t>Refer to the Appendix tab for instructions on reporting gas-to-power data.</t>
  </si>
  <si>
    <t>Number of units within the gas-to-power operation</t>
  </si>
  <si>
    <t>#</t>
  </si>
  <si>
    <t>Energy in combusted associated gas</t>
  </si>
  <si>
    <t>Total energy in all combusted fuel</t>
  </si>
  <si>
    <t>Total electricity generation from all combusted fuel</t>
  </si>
  <si>
    <t>Volume of associated gas</t>
  </si>
  <si>
    <t>Carbon dioxide emissions from associated gas</t>
  </si>
  <si>
    <t>Methane emissions from associated gas</t>
  </si>
  <si>
    <t>Nitrous oxide emissions from associated gas</t>
  </si>
  <si>
    <t>(GJ)</t>
  </si>
  <si>
    <t>(GWh)</t>
  </si>
  <si>
    <r>
      <t>(1000 m</t>
    </r>
    <r>
      <rPr>
        <b/>
        <vertAlign val="superscript"/>
        <sz val="11"/>
        <color rgb="FF000000"/>
        <rFont val="Aptos Narrow"/>
        <family val="2"/>
      </rPr>
      <t>3</t>
    </r>
    <r>
      <rPr>
        <b/>
        <sz val="11"/>
        <color rgb="FF000000"/>
        <rFont val="Aptos Narrow"/>
        <family val="2"/>
      </rPr>
      <t>)</t>
    </r>
  </si>
  <si>
    <r>
      <t>(tonnes CO</t>
    </r>
    <r>
      <rPr>
        <b/>
        <vertAlign val="subscript"/>
        <sz val="11"/>
        <color rgb="FF000000"/>
        <rFont val="Aptos Narrow"/>
        <family val="2"/>
      </rPr>
      <t>2</t>
    </r>
    <r>
      <rPr>
        <b/>
        <sz val="11"/>
        <color rgb="FF000000"/>
        <rFont val="Aptos Narrow"/>
        <family val="2"/>
      </rPr>
      <t>)</t>
    </r>
  </si>
  <si>
    <r>
      <t>(tonnes CH</t>
    </r>
    <r>
      <rPr>
        <b/>
        <vertAlign val="subscript"/>
        <sz val="11"/>
        <color rgb="FF000000"/>
        <rFont val="Aptos Narrow"/>
        <family val="2"/>
      </rPr>
      <t>4</t>
    </r>
    <r>
      <rPr>
        <b/>
        <sz val="11"/>
        <color rgb="FF000000"/>
        <rFont val="Aptos Narrow"/>
        <family val="2"/>
      </rPr>
      <t>)</t>
    </r>
  </si>
  <si>
    <r>
      <t>(tonnes N</t>
    </r>
    <r>
      <rPr>
        <b/>
        <vertAlign val="subscript"/>
        <sz val="11"/>
        <color rgb="FF000000"/>
        <rFont val="Aptos Narrow"/>
        <family val="2"/>
      </rPr>
      <t>2</t>
    </r>
    <r>
      <rPr>
        <b/>
        <sz val="11"/>
        <color rgb="FF000000"/>
        <rFont val="Aptos Narrow"/>
        <family val="2"/>
      </rPr>
      <t>O)</t>
    </r>
  </si>
  <si>
    <t>Drilling Data</t>
  </si>
  <si>
    <t>Number of metres drilled through drilling operations using fuel purchased by the regulated emitter</t>
  </si>
  <si>
    <t>Metres drilled</t>
  </si>
  <si>
    <t>metres</t>
  </si>
  <si>
    <t>Stationary fuel combustion emissions</t>
  </si>
  <si>
    <t>Term</t>
  </si>
  <si>
    <t>Regulated industrial emissions</t>
  </si>
  <si>
    <t>Regulated electricity emissions</t>
  </si>
  <si>
    <t>Direct emissions</t>
  </si>
  <si>
    <t>Drilling emissions</t>
  </si>
  <si>
    <t>Total regulated emissions</t>
  </si>
  <si>
    <t>Value</t>
  </si>
  <si>
    <r>
      <t>tonnes CO</t>
    </r>
    <r>
      <rPr>
        <vertAlign val="subscript"/>
        <sz val="11"/>
        <color rgb="FF000000"/>
        <rFont val="Aptos Narrow"/>
        <family val="2"/>
      </rPr>
      <t>2</t>
    </r>
    <r>
      <rPr>
        <sz val="11"/>
        <color rgb="FF000000"/>
        <rFont val="Aptos Narrow"/>
        <family val="2"/>
      </rPr>
      <t>e</t>
    </r>
  </si>
  <si>
    <t>GWh</t>
  </si>
  <si>
    <t>Drilling</t>
  </si>
  <si>
    <t>BOE product</t>
  </si>
  <si>
    <t>Reduction period</t>
  </si>
  <si>
    <t>Performance standard allocation</t>
  </si>
  <si>
    <t>Baseline emissions intensity</t>
  </si>
  <si>
    <t>Performance standard</t>
  </si>
  <si>
    <t>Gas-to-power product</t>
  </si>
  <si>
    <t>Drilling Summary</t>
  </si>
  <si>
    <t>Benchmark for drilling</t>
  </si>
  <si>
    <t>Permitted emissions</t>
  </si>
  <si>
    <t>Performance credits</t>
  </si>
  <si>
    <t>Compliance obligation</t>
  </si>
  <si>
    <t>Declaration</t>
  </si>
  <si>
    <t xml:space="preserve">I, </t>
  </si>
  <si>
    <t>provided in this form is accurate and that I am authorized to act on behalf of this facility. I understand that this form is subject to the provisions of the corresponding legislation and regulations, that any submission containing inaccurate information may be denied and require resubmission, and that there are penalties under the corresponding act and regulations for providing false or misleading information. I authorize the Ministry of Environment to verify any information contained in this form with any entity that holds such information.</t>
  </si>
  <si>
    <t>Signature</t>
  </si>
  <si>
    <t>Date</t>
  </si>
  <si>
    <t>Appendix</t>
  </si>
  <si>
    <t>Biomass</t>
  </si>
  <si>
    <t>Carbon dioxide emissions from the combustion of biomass must be excluded from the emissions reported on the Production Data tab. Methane and nitrous oxide emissions associated with the waste heat from the combustion of biomass must be included in the stationary fuel combustion emissions reported on the Production Data tab.</t>
  </si>
  <si>
    <t>Electricity</t>
  </si>
  <si>
    <r>
      <t xml:space="preserve">Any electricity emissions produced during the compliance year of the barrel of oil equivalent (BOE) product that are not subject to </t>
    </r>
    <r>
      <rPr>
        <i/>
        <sz val="11"/>
        <color rgb="FF000000"/>
        <rFont val="Aptos Narrow"/>
        <family val="2"/>
      </rPr>
      <t>The Electricity Facility Standard,</t>
    </r>
    <r>
      <rPr>
        <sz val="11"/>
        <color rgb="FF000000"/>
        <rFont val="Aptos Narrow"/>
        <family val="2"/>
      </rPr>
      <t xml:space="preserve"> and not resulting from the combustion of associated gas in a gas-to-power operation, must be reported on the Electricity Data tab and excluded from the Production Data tab.</t>
    </r>
  </si>
  <si>
    <t>Gas-to-power</t>
  </si>
  <si>
    <t>A gas-to-power operation includes all units within a production class that generate electricity from the combustion of associated gas that would otherwise be vented, flared or released to the atmosphere as leakage. Only stationary fuel combustion emissions from the combustion of associated gas in a gas-to-power operation are to be included on the Gas-to-Power Data tab. Emissions from the combustion of any fuel besides associated gas in the operation are not considered gas-to-power emissions and must be excluded from the emissions reported on the Gas-to-Power Data tab. These emissions must be reported as stationary fuel combustion emissions on the Electricity Data tab.</t>
  </si>
  <si>
    <t>Inputs</t>
  </si>
  <si>
    <t>Sections</t>
  </si>
  <si>
    <t>Ranges</t>
  </si>
  <si>
    <t>Lookups</t>
  </si>
  <si>
    <t>Input name</t>
  </si>
  <si>
    <t>Index</t>
  </si>
  <si>
    <t>Reference</t>
  </si>
  <si>
    <t>Last valid entry</t>
  </si>
  <si>
    <t>Current Value</t>
  </si>
  <si>
    <t>Last printed value</t>
  </si>
  <si>
    <t>Error check</t>
  </si>
  <si>
    <t>Error message</t>
  </si>
  <si>
    <t>Section name</t>
  </si>
  <si>
    <t>Range name</t>
  </si>
  <si>
    <t>Current value</t>
  </si>
  <si>
    <t>Lookup</t>
  </si>
  <si>
    <t>S.Product.P1</t>
  </si>
  <si>
    <t>R.Instructions.PrintArea</t>
  </si>
  <si>
    <t>CO2</t>
  </si>
  <si>
    <t>I.Facility.OBPSNumber</t>
  </si>
  <si>
    <t>Enter the OBPS registration number.</t>
  </si>
  <si>
    <t>S.Product.P1FuelTypes</t>
  </si>
  <si>
    <t>R.Instructions.VersionNumber</t>
  </si>
  <si>
    <t>CH4</t>
  </si>
  <si>
    <t>I.Facility.ComplianceYear</t>
  </si>
  <si>
    <t>Enter the compliance year.</t>
  </si>
  <si>
    <t>S.Product.P2a</t>
  </si>
  <si>
    <t>R.Instructions.VersionDate</t>
  </si>
  <si>
    <t>N2O</t>
  </si>
  <si>
    <t>I.Facility.StandardPart</t>
  </si>
  <si>
    <t>Indicate if the facility is reporting emissions using the quantification methodology established under part 2 or part 3 of the standard.</t>
  </si>
  <si>
    <t>S.Product.P2aFuelTypes</t>
  </si>
  <si>
    <t>R.Facility.PrintArea</t>
  </si>
  <si>
    <t>SF6</t>
  </si>
  <si>
    <t>S.Product.P2b</t>
  </si>
  <si>
    <t>R.Facility.Timestamp</t>
  </si>
  <si>
    <t>CF4</t>
  </si>
  <si>
    <t>Select the source categories that produced direct emissions in production class 1.</t>
  </si>
  <si>
    <t>S.Product.P2bFuelTypes</t>
  </si>
  <si>
    <t>R.Product.PrintArea</t>
  </si>
  <si>
    <t>='Product Information'!$B$1:$F$131</t>
  </si>
  <si>
    <t>C2F6</t>
  </si>
  <si>
    <t>I.Product.P1Electricity</t>
  </si>
  <si>
    <t>Indicate if production class 1 has regulated electricity emissions.</t>
  </si>
  <si>
    <t>S.Product.P3</t>
  </si>
  <si>
    <t>R.Product.Timestamp</t>
  </si>
  <si>
    <t>='Product Information'!$C$125</t>
  </si>
  <si>
    <t>C3F8</t>
  </si>
  <si>
    <t>I.Product.P1GasToPower</t>
  </si>
  <si>
    <t>Indicate if production class 1 has a gas-to-power operation.</t>
  </si>
  <si>
    <t>S.Product.P3FuelTypes</t>
  </si>
  <si>
    <t>R.Production.PrintArea</t>
  </si>
  <si>
    <t>='Production Data'!$B$1:$F$301</t>
  </si>
  <si>
    <t>C4F10</t>
  </si>
  <si>
    <t>I.Product.P1Drilling</t>
  </si>
  <si>
    <t>Indicate if drilling emissions are being reported in production class 1.</t>
  </si>
  <si>
    <t>S.Product.P4</t>
  </si>
  <si>
    <t>R.Production.Timestamp</t>
  </si>
  <si>
    <t>='Production Data'!$C$295</t>
  </si>
  <si>
    <t>c-C4F8</t>
  </si>
  <si>
    <t>Select the source categories that produced direct emissions in production class 2a.</t>
  </si>
  <si>
    <t>S.Product.P4FuelTypes</t>
  </si>
  <si>
    <t>R.Electricity.PrintArea</t>
  </si>
  <si>
    <t>='Electricity Data'!$B$1:$F$284</t>
  </si>
  <si>
    <t>C5F12</t>
  </si>
  <si>
    <t>I.Product.P2aElectricity</t>
  </si>
  <si>
    <t>Indicate if production class 2a has regulated electricity emissions.</t>
  </si>
  <si>
    <t>S.Production.P1</t>
  </si>
  <si>
    <t>R.Electricity.Timestamp</t>
  </si>
  <si>
    <t>='Electricity Data'!$C$278</t>
  </si>
  <si>
    <t>C6F14</t>
  </si>
  <si>
    <t>I.Product.P2aGasToPower</t>
  </si>
  <si>
    <t>Indicate if production class 2a has a gas-to-power operation.</t>
  </si>
  <si>
    <t>S.Production.P1C1</t>
  </si>
  <si>
    <t>R.Gas.PrintArea</t>
  </si>
  <si>
    <t>='Gas-to-Power Data'!$B$1:$K$329</t>
  </si>
  <si>
    <t>CHF3</t>
  </si>
  <si>
    <t>I.Product.P2aDrilling</t>
  </si>
  <si>
    <t>Indicate if drilling emissions are being reported in production class 2a.</t>
  </si>
  <si>
    <t>S.Production.P1C2</t>
  </si>
  <si>
    <t>R.Gas.Timestamp</t>
  </si>
  <si>
    <t>='Gas-to-Power Data'!$C$323</t>
  </si>
  <si>
    <t>CH2F2</t>
  </si>
  <si>
    <t>Select the source categories that produced direct emissions in production class 2b.</t>
  </si>
  <si>
    <t>S.Production.P1C3</t>
  </si>
  <si>
    <t>R.Drilling.PrintArea</t>
  </si>
  <si>
    <t>='Drilling Data'!$B$1:$F$71</t>
  </si>
  <si>
    <t>CH3F</t>
  </si>
  <si>
    <t>I.Product.P2bElectricity</t>
  </si>
  <si>
    <t>Indicate if production class 2b has regulated electricity emissions.</t>
  </si>
  <si>
    <t>S.Production.P1C4</t>
  </si>
  <si>
    <t>R.Drilling.Timestamp</t>
  </si>
  <si>
    <t>='Drilling Data'!$C$65</t>
  </si>
  <si>
    <t>CF3CHFCHFCF2CF3</t>
  </si>
  <si>
    <t>I.Product.P2bGasToPower</t>
  </si>
  <si>
    <t>Indicate if production class 2b has a gas-to-power operation.</t>
  </si>
  <si>
    <t>S.Production.P2a</t>
  </si>
  <si>
    <t>CHF2CF3</t>
  </si>
  <si>
    <t>I.Product.P2bDrilling</t>
  </si>
  <si>
    <t>Indicate if drilling emissions are being reported in production class 2b.</t>
  </si>
  <si>
    <t>S.Production.P2aC1</t>
  </si>
  <si>
    <t>R.Declaration.PrintArea</t>
  </si>
  <si>
    <t>CHF2CHF2</t>
  </si>
  <si>
    <t>Select the source categories that produced direct emissions in production class 3.</t>
  </si>
  <si>
    <t>S.Production.P2aC2</t>
  </si>
  <si>
    <t>R.Declaration.Timestamp</t>
  </si>
  <si>
    <t>CH2FCF3</t>
  </si>
  <si>
    <t>I.Product.P3Electricity</t>
  </si>
  <si>
    <t>Indicate if production class 3 has regulated electricity emissions.</t>
  </si>
  <si>
    <t>S.Production.P2aC3</t>
  </si>
  <si>
    <t>R.Appendix.PrintArea</t>
  </si>
  <si>
    <t>CH2FCHF2</t>
  </si>
  <si>
    <t>I.Product.P3GasToPower</t>
  </si>
  <si>
    <t>Indicate if production class 3 has a gas-to-power operation.</t>
  </si>
  <si>
    <t>S.Production.P2aC4</t>
  </si>
  <si>
    <t>CH3CF3</t>
  </si>
  <si>
    <t>I.Product.P3Drilling</t>
  </si>
  <si>
    <t>Indicate if drilling emissions are being reported in production class 3.</t>
  </si>
  <si>
    <t>S.Production.P2b</t>
  </si>
  <si>
    <t>CH3CHF2</t>
  </si>
  <si>
    <t>Select the source categories that produced direct emissions in production class 4.</t>
  </si>
  <si>
    <t>S.Production.P2bC1</t>
  </si>
  <si>
    <t>CF3CHFCF3</t>
  </si>
  <si>
    <t>I.Product.P4Electricity</t>
  </si>
  <si>
    <t>Indicate if production class 4 has regulated electricity emissions.</t>
  </si>
  <si>
    <t>S.Production.P2bC2</t>
  </si>
  <si>
    <t>CF3CH2CF3</t>
  </si>
  <si>
    <t>I.Product.P4GasToPower</t>
  </si>
  <si>
    <t>Indicate if production class 4 has a gas-to-power operation.</t>
  </si>
  <si>
    <t>S.Production.P2bC3</t>
  </si>
  <si>
    <t>CH2FCF2CHF2</t>
  </si>
  <si>
    <t>I.Product.P4Drilling</t>
  </si>
  <si>
    <t>Indicate if drilling emissions are being reported in production class 4.</t>
  </si>
  <si>
    <t>S.Production.P2bC4</t>
  </si>
  <si>
    <t>P1C1</t>
  </si>
  <si>
    <t>I.Production.P1Quantity</t>
  </si>
  <si>
    <t>Enter the production quantity in production class 1.</t>
  </si>
  <si>
    <t>S.Production.P3</t>
  </si>
  <si>
    <t>P2aC1</t>
  </si>
  <si>
    <t>I.Production.P1C1</t>
  </si>
  <si>
    <t>Enter the fuel gas volume for production class 1 in the stationary fuel combustion source category.</t>
  </si>
  <si>
    <t>S.Production.P3C1</t>
  </si>
  <si>
    <t>P2bC1</t>
  </si>
  <si>
    <t>Enter the butane volume for production class 1 in the stationary fuel combustion source category.</t>
  </si>
  <si>
    <t>S.Production.P3C2</t>
  </si>
  <si>
    <t>P3C1</t>
  </si>
  <si>
    <t>Enter the diesel volume for production class 1 in the stationary fuel combustion source category.</t>
  </si>
  <si>
    <t>S.Production.P3C3</t>
  </si>
  <si>
    <t>P4C1</t>
  </si>
  <si>
    <t>Enter the ethane volume for production class 1 in the stationary fuel combustion source category.</t>
  </si>
  <si>
    <t>S.Production.P3C4</t>
  </si>
  <si>
    <t>C1V2</t>
  </si>
  <si>
    <t>Enter the gasoline volume for production class 1 in the stationary fuel combustion source category.</t>
  </si>
  <si>
    <t>S.Production.P4</t>
  </si>
  <si>
    <t>C1V3</t>
  </si>
  <si>
    <t>Enter the propane volume for production class 1 in the stationary fuel combustion source category.</t>
  </si>
  <si>
    <t>S.Production.P4C1</t>
  </si>
  <si>
    <t>C1V4</t>
  </si>
  <si>
    <t>Enter the carbon dioxide emissions for production class 1 in the stationary fuel combustion source category.</t>
  </si>
  <si>
    <t>S.Production.P4C2</t>
  </si>
  <si>
    <t>C1V5</t>
  </si>
  <si>
    <t>Enter the methane emissions for production class 1 in the stationary fuel combustion source category.</t>
  </si>
  <si>
    <t>S.Production.P4C3</t>
  </si>
  <si>
    <t>C1V6</t>
  </si>
  <si>
    <t>Enter the nitrous oxide emissions for production class 1 in the stationary fuel combustion source category.</t>
  </si>
  <si>
    <t>S.Production.P4C4</t>
  </si>
  <si>
    <t>P1C3</t>
  </si>
  <si>
    <t>I.Production.P1C2</t>
  </si>
  <si>
    <t>Enter the sulphur hexafluoride emissions for production class 1 in the industrial product use source category.</t>
  </si>
  <si>
    <t>S.Electricity.P1</t>
  </si>
  <si>
    <t>P2aC3</t>
  </si>
  <si>
    <t>Enter the perfluoromethane emissions for production class 1 in the industrial product use source category.</t>
  </si>
  <si>
    <t>S.Electricity.P1C1</t>
  </si>
  <si>
    <t>P2bC3</t>
  </si>
  <si>
    <t>Enter the perfluoroethane emissions for production class 1 in the industrial product use source category.</t>
  </si>
  <si>
    <t>S.Electricity.P1C2</t>
  </si>
  <si>
    <t>P3C3</t>
  </si>
  <si>
    <t>Enter the perfluoropropane emissions for production class 1 in the industrial product use source category.</t>
  </si>
  <si>
    <t>S.Electricity.P1C3</t>
  </si>
  <si>
    <t>P4C3</t>
  </si>
  <si>
    <t>Enter the perfluorobutane emissions for production class 1 in the industrial product use source category.</t>
  </si>
  <si>
    <t>S.Electricity.P1C4</t>
  </si>
  <si>
    <t>Enter the perfluorocyclobutane emissions for production class 1 in the industrial product use source category.</t>
  </si>
  <si>
    <t>S.Electricity.P2a</t>
  </si>
  <si>
    <t>Enter the perfluoropentane emissions for production class 1 in the industrial product use source category.</t>
  </si>
  <si>
    <t>S.Electricity.P2aC1</t>
  </si>
  <si>
    <t>Enter the perfluorohexane emissions for production class 1 in the industrial product use source category.</t>
  </si>
  <si>
    <t>S.Electricity.P2aC2</t>
  </si>
  <si>
    <t>Enter the HFC-23 emissions for production class 1 in the industrial product use source category.</t>
  </si>
  <si>
    <t>S.Electricity.P2aC3</t>
  </si>
  <si>
    <t>Enter the HFC-32 emissions for production class 1 in the industrial product use source category.</t>
  </si>
  <si>
    <t>S.Electricity.P2aC4</t>
  </si>
  <si>
    <t>Enter the HFC-41 emissions for production class 1 in the industrial product use source category.</t>
  </si>
  <si>
    <t>S.Electricity.P2b</t>
  </si>
  <si>
    <t>Enter the HFC-43-10mee emissions for production class 1 in the industrial product use source category.</t>
  </si>
  <si>
    <t>S.Electricity.P2bC1</t>
  </si>
  <si>
    <t>Enter the HFC-125 emissions for production class 1 in the industrial product use source category.</t>
  </si>
  <si>
    <t>S.Electricity.P2bC2</t>
  </si>
  <si>
    <t>Enter the HFC-134 emissions for production class 1 in the industrial product use source category.</t>
  </si>
  <si>
    <t>S.Electricity.P2bC3</t>
  </si>
  <si>
    <t>Enter the HFC-134a emissions for production class 1 in the industrial product use source category.</t>
  </si>
  <si>
    <t>S.Electricity.P2bC4</t>
  </si>
  <si>
    <t>Enter the HFC-143 emissions for production class 1 in the industrial product use source category.</t>
  </si>
  <si>
    <t>S.Electricity.P3</t>
  </si>
  <si>
    <t>Enter the HFC-143a emissions for production class 1 in the industrial product use source category.</t>
  </si>
  <si>
    <t>S.Electricity.P3C1</t>
  </si>
  <si>
    <t>Enter the HFC-152a emissions for production class 1 in the industrial product use source category.</t>
  </si>
  <si>
    <t>S.Electricity.P3C2</t>
  </si>
  <si>
    <t>Enter the HFC-227ea emissions for production class 1 in the industrial product use source category.</t>
  </si>
  <si>
    <t>S.Electricity.P3C3</t>
  </si>
  <si>
    <t>Enter the HFC-236fa emissions for production class 1 in the industrial product use source category.</t>
  </si>
  <si>
    <t>S.Electricity.P3C4</t>
  </si>
  <si>
    <t>Enter the HFC-245ca emissions for production class 1 in the industrial product use source category.</t>
  </si>
  <si>
    <t>S.Electricity.P4</t>
  </si>
  <si>
    <t>I.Production.P1C3</t>
  </si>
  <si>
    <t>Enter the flare gas volume to flaring or incinerator sources with conversion efficiency of greater than or equal to 99% for production class 1 in the flaring source category.</t>
  </si>
  <si>
    <t>S.Electricity.P4C1</t>
  </si>
  <si>
    <t>Enter the flare gas volume to flaring or incinerator sources with conversion efficiency of less than 99% for production class 1 in the flaring source category.</t>
  </si>
  <si>
    <t>S.Electricity.P4C2</t>
  </si>
  <si>
    <t>Enter the carbon dioxide emissions for production class 1 in the flaring source category.</t>
  </si>
  <si>
    <t>S.Electricity.P4C3</t>
  </si>
  <si>
    <t>Enter the methane emissions for production class 1 in the flaring source category.</t>
  </si>
  <si>
    <t>S.Electricity.P4C4</t>
  </si>
  <si>
    <t>Enter the nitrous oxide emissions for production class 1 in the flaring source category.</t>
  </si>
  <si>
    <t>S.Gas.P1</t>
  </si>
  <si>
    <t>I.Production.P1C4</t>
  </si>
  <si>
    <t>Enter the carbon dioxide emissions for production class 1 in the on-site transportation source category.</t>
  </si>
  <si>
    <t>S.Gas.TableP1</t>
  </si>
  <si>
    <t>Enter the methane emissions for production class 1 in the on-site transportation source category.</t>
  </si>
  <si>
    <t>S.Gas.P2a</t>
  </si>
  <si>
    <t>Enter the nitrous oxide emissions for production class 1 in the on-site transportation source category.</t>
  </si>
  <si>
    <t>S.Gas.TableP2a</t>
  </si>
  <si>
    <t>I.Production.P2aQuantity</t>
  </si>
  <si>
    <t>Enter the production quantity in production class 2a.</t>
  </si>
  <si>
    <t>S.Gas.P2b</t>
  </si>
  <si>
    <t>I.Production.P2aC1</t>
  </si>
  <si>
    <t>Enter the fuel gas volume for production class 2a in the stationary fuel combustion source category.</t>
  </si>
  <si>
    <t>S.Gas.TableP2b</t>
  </si>
  <si>
    <t>Enter the butane volume for production class 2a in the stationary fuel combustion source category.</t>
  </si>
  <si>
    <t>S.Gas.P3</t>
  </si>
  <si>
    <t>Enter the diesel volume for production class 2a in the stationary fuel combustion source category.</t>
  </si>
  <si>
    <t>S.Gas.TableP3</t>
  </si>
  <si>
    <t>Enter the ethane volume for production class 2a in the stationary fuel combustion source category.</t>
  </si>
  <si>
    <t>S.Gas.P4</t>
  </si>
  <si>
    <t>Enter the gasoline volume for production class 2a in the stationary fuel combustion source category.</t>
  </si>
  <si>
    <t>S.Gas.TableP4</t>
  </si>
  <si>
    <t>Enter the propane volume for production class 2a in the stationary fuel combustion source category.</t>
  </si>
  <si>
    <t>S.Drilling.P1</t>
  </si>
  <si>
    <t>Enter the carbon dioxide emissions for production class 2a in the stationary fuel combustion source category.</t>
  </si>
  <si>
    <t>S.Drilling.P2a</t>
  </si>
  <si>
    <t>Enter the methane emissions for production class 2a in the stationary fuel combustion source category.</t>
  </si>
  <si>
    <t>S.Drilling.P2b</t>
  </si>
  <si>
    <t>Enter the nitrous oxide emissions for production class 2a in the stationary fuel combustion source category.</t>
  </si>
  <si>
    <t>S.Drilling.P3</t>
  </si>
  <si>
    <t>I.Production.P2aC2</t>
  </si>
  <si>
    <t>Enter the sulphur hexafluoride emissions for production class 2a in the industrial product use source category.</t>
  </si>
  <si>
    <t>S.Drilling.P4</t>
  </si>
  <si>
    <t>Enter the perfluoromethane emissions for production class 2a in the industrial product use source category.</t>
  </si>
  <si>
    <t>Enter the perfluoroethane emissions for production class 2a in the industrial product use source category.</t>
  </si>
  <si>
    <t>Enter the perfluoropropane emissions for production class 2a in the industrial product use source category.</t>
  </si>
  <si>
    <t>Enter the perfluorobutane emissions for production class 2a in the industrial product use source category.</t>
  </si>
  <si>
    <t>Enter the perfluorocyclobutane emissions for production class 2a in the industrial product use source category.</t>
  </si>
  <si>
    <t>Enter the perfluoropentane emissions for production class 2a in the industrial product use source category.</t>
  </si>
  <si>
    <t>Enter the perfluorohexane emissions for production class 2a in the industrial product use source category.</t>
  </si>
  <si>
    <t>Enter the HFC-23 emissions for production class 2a in the industrial product use source category.</t>
  </si>
  <si>
    <t>Enter the HFC-32 emissions for production class 2a in the industrial product use source category.</t>
  </si>
  <si>
    <t>Enter the HFC-41 emissions for production class 2a in the industrial product use source category.</t>
  </si>
  <si>
    <t>Enter the HFC-43-10mee emissions for production class 2a in the industrial product use source category.</t>
  </si>
  <si>
    <t>Enter the HFC-125 emissions for production class 2a in the industrial product use source category.</t>
  </si>
  <si>
    <t>S.Developer.Inputs</t>
  </si>
  <si>
    <t>Enter the HFC-134 emissions for production class 2a in the industrial product use source category.</t>
  </si>
  <si>
    <t>S.Developer.LastEntry</t>
  </si>
  <si>
    <t>Enter the HFC-134a emissions for production class 2a in the industrial product use source category.</t>
  </si>
  <si>
    <t>S.Developer.Sections</t>
  </si>
  <si>
    <t>Enter the HFC-143 emissions for production class 2a in the industrial product use source category.</t>
  </si>
  <si>
    <t>S.Developer.Ranges</t>
  </si>
  <si>
    <t>Enter the HFC-143a emissions for production class 2a in the industrial product use source category.</t>
  </si>
  <si>
    <t>Enter the HFC-152a emissions for production class 2a in the industrial product use source category.</t>
  </si>
  <si>
    <t>Enter the HFC-227ea emissions for production class 2a in the industrial product use source category.</t>
  </si>
  <si>
    <t>Enter the HFC-236fa emissions for production class 2a in the industrial product use source category.</t>
  </si>
  <si>
    <t>Enter the HFC-245ca emissions for production class 2a in the industrial product use source category.</t>
  </si>
  <si>
    <t>I.Production.P2aC3</t>
  </si>
  <si>
    <t>Enter the flare gas volume to flaring or incinerator sources with conversion efficiency of greater than or equal to 99% for production class 2a in the flaring source category.</t>
  </si>
  <si>
    <t>Enter the flare gas volume to flaring or incinerator sources with conversion efficiency of less than 99% for production class 2a in the flaring source category.</t>
  </si>
  <si>
    <t>Enter the carbon dioxide emissions for production class 2a in the flaring source category.</t>
  </si>
  <si>
    <t>Enter the methane emissions for production class 2a in the flaring source category.</t>
  </si>
  <si>
    <t>Enter the nitrous oxide emissions for production class 2a in the flaring source category.</t>
  </si>
  <si>
    <t>I.Production.P2aC4</t>
  </si>
  <si>
    <t>Enter the carbon dioxide emissions for production class 2a in the on-site transportation source category.</t>
  </si>
  <si>
    <t>Enter the methane emissions for production class 2a in the on-site transportation source category.</t>
  </si>
  <si>
    <t>Enter the nitrous oxide emissions for production class 2a in the on-site transportation source category.</t>
  </si>
  <si>
    <t>I.Production.P2bQuantity</t>
  </si>
  <si>
    <t>Enter the production quantity in production class 2b.</t>
  </si>
  <si>
    <t>I.Production.P2bC1</t>
  </si>
  <si>
    <t>Enter the fuel gas volume for production class 2b in the stationary fuel combustion source category.</t>
  </si>
  <si>
    <t>Enter the butane volume for production class 2b in the stationary fuel combustion source category.</t>
  </si>
  <si>
    <t>Enter the diesel volume for production class 2b in the stationary fuel combustion source category.</t>
  </si>
  <si>
    <t>Enter the ethane volume for production class 2b in the stationary fuel combustion source category.</t>
  </si>
  <si>
    <t>Enter the gasoline volume for production class 2b in the stationary fuel combustion source category.</t>
  </si>
  <si>
    <t>Enter the propane volume for production class 2b in the stationary fuel combustion source category.</t>
  </si>
  <si>
    <t>Enter the carbon dioxide emissions for production class 2b in the stationary fuel combustion source category.</t>
  </si>
  <si>
    <t>Enter the methane emissions for production class 2b in the stationary fuel combustion source category.</t>
  </si>
  <si>
    <t>Enter the nitrous oxide emissions for production class 2b in the stationary fuel combustion source category.</t>
  </si>
  <si>
    <t>I.Production.P2bC2</t>
  </si>
  <si>
    <t>Enter the sulphur hexafluoride emissions for production class 2b in the industrial product use source category.</t>
  </si>
  <si>
    <t>Enter the perfluoromethane emissions for production class 2b in the industrial product use source category.</t>
  </si>
  <si>
    <t>Enter the perfluoroethane emissions for production class 2b in the industrial product use source category.</t>
  </si>
  <si>
    <t>Enter the perfluoropropane emissions for production class 2b in the industrial product use source category.</t>
  </si>
  <si>
    <t>Enter the perfluorobutane emissions for production class 2b in the industrial product use source category.</t>
  </si>
  <si>
    <t>Enter the perfluorocyclobutane emissions for production class 2b in the industrial product use source category.</t>
  </si>
  <si>
    <t>Enter the perfluoropentane emissions for production class 2b in the industrial product use source category.</t>
  </si>
  <si>
    <t>Enter the perfluorohexane emissions for production class 2b in the industrial product use source category.</t>
  </si>
  <si>
    <t>Enter the HFC-23 emissions for production class 2b in the industrial product use source category.</t>
  </si>
  <si>
    <t>Enter the HFC-32 emissions for production class 2b in the industrial product use source category.</t>
  </si>
  <si>
    <t>Enter the HFC-41 emissions for production class 2b in the industrial product use source category.</t>
  </si>
  <si>
    <t>Enter the HFC-43-10mee emissions for production class 2b in the industrial product use source category.</t>
  </si>
  <si>
    <t>Enter the HFC-125 emissions for production class 2b in the industrial product use source category.</t>
  </si>
  <si>
    <t>Enter the HFC-134 emissions for production class 2b in the industrial product use source category.</t>
  </si>
  <si>
    <t>Enter the HFC-134a emissions for production class 2b in the industrial product use source category.</t>
  </si>
  <si>
    <t>Enter the HFC-143 emissions for production class 2b in the industrial product use source category.</t>
  </si>
  <si>
    <t>Enter the HFC-143a emissions for production class 2b in the industrial product use source category.</t>
  </si>
  <si>
    <t>Enter the HFC-152a emissions for production class 2b in the industrial product use source category.</t>
  </si>
  <si>
    <t>Enter the HFC-227ea emissions for production class 2b in the industrial product use source category.</t>
  </si>
  <si>
    <t>Enter the HFC-236fa emissions for production class 2b in the industrial product use source category.</t>
  </si>
  <si>
    <t>Enter the HFC-245ca emissions for production class 2b in the industrial product use source category.</t>
  </si>
  <si>
    <t>I.Production.P2bC3</t>
  </si>
  <si>
    <t>Enter the flare gas volume to flaring or incinerator sources with conversion efficiency of greater than or equal to 99% for production class 2b in the flaring source category.</t>
  </si>
  <si>
    <t>Enter the flare gas volume to flaring or incinerator sources with conversion efficiency of less than 99% for production class 2b in the flaring source category.</t>
  </si>
  <si>
    <t>Enter the carbon dioxide emissions for production class 2b in the flaring source category.</t>
  </si>
  <si>
    <t>Enter the methane emissions for production class 2b in the flaring source category.</t>
  </si>
  <si>
    <t>Enter the nitrous oxide emissions for production class 2b in the flaring source category.</t>
  </si>
  <si>
    <t>I.Production.P2bC4</t>
  </si>
  <si>
    <t>Enter the carbon dioxide emissions for production class 2b in the on-site transportation source category.</t>
  </si>
  <si>
    <t>Enter the methane emissions for production class 2b in the on-site transportation source category.</t>
  </si>
  <si>
    <t>Enter the nitrous oxide emissions for production class 2b in the on-site transportation source category.</t>
  </si>
  <si>
    <t>I.Production.P3Quantity</t>
  </si>
  <si>
    <t>Enter the production quantity in production class 3.</t>
  </si>
  <si>
    <t>I.Production.P3C1</t>
  </si>
  <si>
    <t>Enter the fuel gas volume for production class 3 in the stationary fuel combustion source category.</t>
  </si>
  <si>
    <t>Enter the butane volume for production class 3 in the stationary fuel combustion source category.</t>
  </si>
  <si>
    <t>Enter the diesel volume for production class 3 in the stationary fuel combustion source category.</t>
  </si>
  <si>
    <t>Enter the ethane volume for production class 3 in the stationary fuel combustion source category.</t>
  </si>
  <si>
    <t>Enter the gasoline volume for production class 3 in the stationary fuel combustion source category.</t>
  </si>
  <si>
    <t>Enter the propane volume for production class 3 in the stationary fuel combustion source category.</t>
  </si>
  <si>
    <t>Enter the carbon dioxide emissions for production class 3 in the stationary fuel combustion source category.</t>
  </si>
  <si>
    <t>Enter the methane emissions for production class 3 in the stationary fuel combustion source category.</t>
  </si>
  <si>
    <t>Enter the nitrous oxide emissions for production class 3 in the stationary fuel combustion source category.</t>
  </si>
  <si>
    <t>I.Production.P3C2</t>
  </si>
  <si>
    <t>Enter the sulphur hexafluoride emissions for production class 3 in the industrial product use source category.</t>
  </si>
  <si>
    <t>Enter the perfluoromethane emissions for production class 3 in the industrial product use source category.</t>
  </si>
  <si>
    <t>Enter the perfluoroethane emissions for production class 3 in the industrial product use source category.</t>
  </si>
  <si>
    <t>Enter the perfluoropropane emissions for production class 3 in the industrial product use source category.</t>
  </si>
  <si>
    <t>Enter the perfluorobutane emissions for production class 3 in the industrial product use source category.</t>
  </si>
  <si>
    <t>Enter the perfluorocyclobutane emissions for production class 3 in the industrial product use source category.</t>
  </si>
  <si>
    <t>Enter the perfluoropentane emissions for production class 3 in the industrial product use source category.</t>
  </si>
  <si>
    <t>Enter the perfluorohexane emissions for production class 3 in the industrial product use source category.</t>
  </si>
  <si>
    <t>Enter the HFC-23 emissions for production class 3 in the industrial product use source category.</t>
  </si>
  <si>
    <t>Enter the HFC-32 emissions for production class 3 in the industrial product use source category.</t>
  </si>
  <si>
    <t>Enter the HFC-41 emissions for production class 3 in the industrial product use source category.</t>
  </si>
  <si>
    <t>Enter the HFC-43-10mee emissions for production class 3 in the industrial product use source category.</t>
  </si>
  <si>
    <t>Enter the HFC-125 emissions for production class 3 in the industrial product use source category.</t>
  </si>
  <si>
    <t>Enter the HFC-134 emissions for production class 3 in the industrial product use source category.</t>
  </si>
  <si>
    <t>Enter the HFC-134a emissions for production class 3 in the industrial product use source category.</t>
  </si>
  <si>
    <t>Enter the HFC-143 emissions for production class 3 in the industrial product use source category.</t>
  </si>
  <si>
    <t>Enter the HFC-143a emissions for production class 3 in the industrial product use source category.</t>
  </si>
  <si>
    <t>Enter the HFC-152a emissions for production class 3 in the industrial product use source category.</t>
  </si>
  <si>
    <t>Enter the HFC-227ea emissions for production class 3 in the industrial product use source category.</t>
  </si>
  <si>
    <t>Enter the HFC-236fa emissions for production class 3 in the industrial product use source category.</t>
  </si>
  <si>
    <t>Enter the HFC-245ca emissions for production class 3 in the industrial product use source category.</t>
  </si>
  <si>
    <t>I.Production.P3C3</t>
  </si>
  <si>
    <t>Enter the flare gas volume to flaring or incinerator sources with conversion efficiency of greater than or equal to 99% for production class 3 in the flaring source category.</t>
  </si>
  <si>
    <t>Enter the flare gas volume to flaring or incinerator sources with conversion efficiency of less than 99% for production class 3 in the flaring source category.</t>
  </si>
  <si>
    <t>Enter the carbon dioxide emissions for production class 3 in the flaring source category.</t>
  </si>
  <si>
    <t>Enter the methane emissions for production class 3 in the flaring source category.</t>
  </si>
  <si>
    <t>Enter the nitrous oxide emissions for production class 3 in the flaring source category.</t>
  </si>
  <si>
    <t>I.Production.P3C4</t>
  </si>
  <si>
    <t>Enter the carbon dioxide emissions for production class 3 in the on-site transportation source category.</t>
  </si>
  <si>
    <t>Enter the methane emissions for production class 3 in the on-site transportation source category.</t>
  </si>
  <si>
    <t>Enter the nitrous oxide emissions for production class 3 in the on-site transportation source category.</t>
  </si>
  <si>
    <t>I.Production.P4Quantity</t>
  </si>
  <si>
    <t>Enter the production quantity in production class 4.</t>
  </si>
  <si>
    <t>I.Production.P4C1</t>
  </si>
  <si>
    <t>Enter the fuel gas volume for production class 4 in the stationary fuel combustion source category.</t>
  </si>
  <si>
    <t>Enter the butane volume for production class 4 in the stationary fuel combustion source category.</t>
  </si>
  <si>
    <t>Enter the diesel volume for production class 4 in the stationary fuel combustion source category.</t>
  </si>
  <si>
    <t>Enter the ethane volume for production class 4 in the stationary fuel combustion source category.</t>
  </si>
  <si>
    <t>Enter the gasoline volume for production class 4 in the stationary fuel combustion source category.</t>
  </si>
  <si>
    <t>Enter the propane volume for production class 4 in the stationary fuel combustion source category.</t>
  </si>
  <si>
    <t>Enter the carbon dioxide emissions for production class 4 in the stationary fuel combustion source category.</t>
  </si>
  <si>
    <t>Enter the methane emissions for production class 4 in the stationary fuel combustion source category.</t>
  </si>
  <si>
    <t>Enter the nitrous oxide emissions for production class 4 in the stationary fuel combustion source category.</t>
  </si>
  <si>
    <t>I.Production.P4C2</t>
  </si>
  <si>
    <t>Enter the sulphur hexafluoride emissions for production class 4 in the industrial product use source category.</t>
  </si>
  <si>
    <t>Enter the perfluoromethane emissions for production class 4 in the industrial product use source category.</t>
  </si>
  <si>
    <t>Enter the perfluoroethane emissions for production class 4 in the industrial product use source category.</t>
  </si>
  <si>
    <t>Enter the perfluoropropane emissions for production class 4 in the industrial product use source category.</t>
  </si>
  <si>
    <t>Enter the perfluorobutane emissions for production class 4 in the industrial product use source category.</t>
  </si>
  <si>
    <t>Enter the perfluorocyclobutane emissions for production class 4 in the industrial product use source category.</t>
  </si>
  <si>
    <t>Enter the perfluoropentane emissions for production class 4 in the industrial product use source category.</t>
  </si>
  <si>
    <t>Enter the perfluorohexane emissions for production class 4 in the industrial product use source category.</t>
  </si>
  <si>
    <t>Enter the HFC-23 emissions for production class 4 in the industrial product use source category.</t>
  </si>
  <si>
    <t>Enter the HFC-32 emissions for production class 4 in the industrial product use source category.</t>
  </si>
  <si>
    <t>Enter the HFC-41 emissions for production class 4 in the industrial product use source category.</t>
  </si>
  <si>
    <t>Enter the HFC-43-10mee emissions for production class 4 in the industrial product use source category.</t>
  </si>
  <si>
    <t>Enter the HFC-125 emissions for production class 4 in the industrial product use source category.</t>
  </si>
  <si>
    <t>Enter the HFC-134 emissions for production class 4 in the industrial product use source category.</t>
  </si>
  <si>
    <t>Enter the HFC-134a emissions for production class 4 in the industrial product use source category.</t>
  </si>
  <si>
    <t>Enter the HFC-143 emissions for production class 4 in the industrial product use source category.</t>
  </si>
  <si>
    <t>Enter the HFC-143a emissions for production class 4 in the industrial product use source category.</t>
  </si>
  <si>
    <t>Enter the HFC-152a emissions for production class 4 in the industrial product use source category.</t>
  </si>
  <si>
    <t>Enter the HFC-227ea emissions for production class 4 in the industrial product use source category.</t>
  </si>
  <si>
    <t>Enter the HFC-236fa emissions for production class 4 in the industrial product use source category.</t>
  </si>
  <si>
    <t>Enter the HFC-245ca emissions for production class 4 in the industrial product use source category.</t>
  </si>
  <si>
    <t>I.Production.P4C3</t>
  </si>
  <si>
    <t>Enter the flare gas volume to flaring or incinerator sources with conversion efficiency of greater than or equal to 99% for production class 4 in the flaring source category.</t>
  </si>
  <si>
    <t>Enter the flare gas volume to flaring or incinerator sources with conversion efficiency of less than 99% for production class 4 in the flaring source category.</t>
  </si>
  <si>
    <t>Enter the carbon dioxide emissions for production class 4 in the flaring source category.</t>
  </si>
  <si>
    <t>Enter the methane emissions for production class 4 in the flaring source category.</t>
  </si>
  <si>
    <t>Enter the nitrous oxide emissions for production class 4 in the flaring source category.</t>
  </si>
  <si>
    <t>I.Production.P4C4</t>
  </si>
  <si>
    <t>Enter the carbon dioxide emissions for production class 4 in the on-site transportation source category.</t>
  </si>
  <si>
    <t>Enter the methane emissions for production class 4 in the on-site transportation source category.</t>
  </si>
  <si>
    <t>Enter the nitrous oxide emissions for production class 4 in the on-site transportation source category.</t>
  </si>
  <si>
    <t>I.Electricity.P1C1</t>
  </si>
  <si>
    <t>I.Electricity.P1C2</t>
  </si>
  <si>
    <t>I.Electricity.P1C3</t>
  </si>
  <si>
    <t>I.Electricity.P1C4</t>
  </si>
  <si>
    <t>I.Electricity.P2aC1</t>
  </si>
  <si>
    <t>I.Electricity.P2aC2</t>
  </si>
  <si>
    <t>I.Electricity.P2aC3</t>
  </si>
  <si>
    <t>I.Electricity.P2aC4</t>
  </si>
  <si>
    <t>I.Electricity.P2bC1</t>
  </si>
  <si>
    <t>I.Electricity.P2bC2</t>
  </si>
  <si>
    <t>I.Electricity.P2bC3</t>
  </si>
  <si>
    <t>I.Electricity.P2bC4</t>
  </si>
  <si>
    <t>I.Electricity.P3C1</t>
  </si>
  <si>
    <t>I.Electricity.P3C2</t>
  </si>
  <si>
    <t>I.Electricity.P3C3</t>
  </si>
  <si>
    <t>I.Electricity.P3C4</t>
  </si>
  <si>
    <t>I.Electricity.P4C1</t>
  </si>
  <si>
    <t>I.Electricity.P4C2</t>
  </si>
  <si>
    <t>I.Electricity.P4C3</t>
  </si>
  <si>
    <t>I.Electricity.P4C4</t>
  </si>
  <si>
    <t>I.Gas.P1Count</t>
  </si>
  <si>
    <t>Enter the number of units within the gas-to-power operation for production class 1.</t>
  </si>
  <si>
    <t>I.Gas.P1AssociatedGasEnergy</t>
  </si>
  <si>
    <t>Enter the energy in the combusted associated gas on row 1 of the table for production class 1.</t>
  </si>
  <si>
    <t>Enter the energy in the combusted associated gas on row 2 of the table for production class 1.</t>
  </si>
  <si>
    <t>Enter the energy in the combusted associated gas on row 3 of the table for production class 1.</t>
  </si>
  <si>
    <t>Enter the energy in the combusted associated gas on row 4 of the table for production class 1.</t>
  </si>
  <si>
    <t>Enter the energy in the combusted associated gas on row 5 of the table for production class 1.</t>
  </si>
  <si>
    <t>Enter the energy in the combusted associated gas on row 6 of the table for production class 1.</t>
  </si>
  <si>
    <t>Enter the energy in the combusted associated gas on row 7 of the table for production class 1.</t>
  </si>
  <si>
    <t>Enter the energy in the combusted associated gas on row 8 of the table for production class 1.</t>
  </si>
  <si>
    <t>Enter the energy in the combusted associated gas on row 9 of the table for production class 1.</t>
  </si>
  <si>
    <t>Enter the energy in the combusted associated gas on row 10 of the table for production class 1.</t>
  </si>
  <si>
    <t>Enter the energy in the combusted associated gas on row 11 of the table for production class 1.</t>
  </si>
  <si>
    <t>Enter the energy in the combusted associated gas on row 12 of the table for production class 1.</t>
  </si>
  <si>
    <t>Enter the energy in the combusted associated gas on row 13 of the table for production class 1.</t>
  </si>
  <si>
    <t>Enter the energy in the combusted associated gas on row 14 of the table for production class 1.</t>
  </si>
  <si>
    <t>Enter the energy in the combusted associated gas on row 15 of the table for production class 1.</t>
  </si>
  <si>
    <t>Enter the energy in the combusted associated gas on row 16 of the table for production class 1.</t>
  </si>
  <si>
    <t>Enter the energy in the combusted associated gas on row 17 of the table for production class 1.</t>
  </si>
  <si>
    <t>Enter the energy in the combusted associated gas on row 18 of the table for production class 1.</t>
  </si>
  <si>
    <t>Enter the energy in the combusted associated gas on row 19 of the table for production class 1.</t>
  </si>
  <si>
    <t>Enter the energy in the combusted associated gas on row 20 of the table for production class 1.</t>
  </si>
  <si>
    <t>Enter the energy in the combusted associated gas on row 21 of the table for production class 1.</t>
  </si>
  <si>
    <t>Enter the energy in the combusted associated gas on row 22 of the table for production class 1.</t>
  </si>
  <si>
    <t>Enter the energy in the combusted associated gas on row 23 of the table for production class 1.</t>
  </si>
  <si>
    <t>Enter the energy in the combusted associated gas on row 24 of the table for production class 1.</t>
  </si>
  <si>
    <t>Enter the energy in the combusted associated gas on row 25 of the table for production class 1.</t>
  </si>
  <si>
    <t>Enter the energy in the combusted associated gas on row 26 of the table for production class 1.</t>
  </si>
  <si>
    <t>Enter the energy in the combusted associated gas on row 27 of the table for production class 1.</t>
  </si>
  <si>
    <t>Enter the energy in the combusted associated gas on row 28 of the table for production class 1.</t>
  </si>
  <si>
    <t>Enter the energy in the combusted associated gas on row 29 of the table for production class 1.</t>
  </si>
  <si>
    <t>Enter the energy in the combusted associated gas on row 30 of the table for production class 1.</t>
  </si>
  <si>
    <t>Enter the energy in the combusted associated gas on row 31 of the table for production class 1.</t>
  </si>
  <si>
    <t>Enter the energy in the combusted associated gas on row 32 of the table for production class 1.</t>
  </si>
  <si>
    <t>Enter the energy in the combusted associated gas on row 33 of the table for production class 1.</t>
  </si>
  <si>
    <t>Enter the energy in the combusted associated gas on row 34 of the table for production class 1.</t>
  </si>
  <si>
    <t>Enter the energy in the combusted associated gas on row 35 of the table for production class 1.</t>
  </si>
  <si>
    <t>Enter the energy in the combusted associated gas on row 36 of the table for production class 1.</t>
  </si>
  <si>
    <t>Enter the energy in the combusted associated gas on row 37 of the table for production class 1.</t>
  </si>
  <si>
    <t>Enter the energy in the combusted associated gas on row 38 of the table for production class 1.</t>
  </si>
  <si>
    <t>Enter the energy in the combusted associated gas on row 39 of the table for production class 1.</t>
  </si>
  <si>
    <t>Enter the energy in the combusted associated gas on row 40 of the table for production class 1.</t>
  </si>
  <si>
    <t>Enter the energy in the combusted associated gas on row 41 of the table for production class 1.</t>
  </si>
  <si>
    <t>Enter the energy in the combusted associated gas on row 42 of the table for production class 1.</t>
  </si>
  <si>
    <t>Enter the energy in the combusted associated gas on row 43 of the table for production class 1.</t>
  </si>
  <si>
    <t>Enter the energy in the combusted associated gas on row 44 of the table for production class 1.</t>
  </si>
  <si>
    <t>Enter the energy in the combusted associated gas on row 45 of the table for production class 1.</t>
  </si>
  <si>
    <t>Enter the energy in the combusted associated gas on row 46 of the table for production class 1.</t>
  </si>
  <si>
    <t>Enter the energy in the combusted associated gas on row 47 of the table for production class 1.</t>
  </si>
  <si>
    <t>Enter the energy in the combusted associated gas on row 48 of the table for production class 1.</t>
  </si>
  <si>
    <t>Enter the energy in the combusted associated gas on row 49 of the table for production class 1.</t>
  </si>
  <si>
    <t>Enter the energy in the combusted associated gas on row 50 of the table for production class 1.</t>
  </si>
  <si>
    <t>I.Gas.P1TotalGasEnergy</t>
  </si>
  <si>
    <t>Enter the total energy in all combusted fuel on row 1 of the table for production class 1.</t>
  </si>
  <si>
    <t>Enter the total energy in all combusted fuel on row 2 of the table for production class 1.</t>
  </si>
  <si>
    <t>Enter the total energy in all combusted fuel on row 3 of the table for production class 1.</t>
  </si>
  <si>
    <t>Enter the total energy in all combusted fuel on row 4 of the table for production class 1.</t>
  </si>
  <si>
    <t>Enter the total energy in all combusted fuel on row 5 of the table for production class 1.</t>
  </si>
  <si>
    <t>Enter the total energy in all combusted fuel on row 6 of the table for production class 1.</t>
  </si>
  <si>
    <t>Enter the total energy in all combusted fuel on row 7 of the table for production class 1.</t>
  </si>
  <si>
    <t>Enter the total energy in all combusted fuel on row 8 of the table for production class 1.</t>
  </si>
  <si>
    <t>Enter the total energy in all combusted fuel on row 9 of the table for production class 1.</t>
  </si>
  <si>
    <t>Enter the total energy in all combusted fuel on row 10 of the table for production class 1.</t>
  </si>
  <si>
    <t>Enter the total energy in all combusted fuel on row 11 of the table for production class 1.</t>
  </si>
  <si>
    <t>Enter the total energy in all combusted fuel on row 12 of the table for production class 1.</t>
  </si>
  <si>
    <t>Enter the total energy in all combusted fuel on row 13 of the table for production class 1.</t>
  </si>
  <si>
    <t>Enter the total energy in all combusted fuel on row 14 of the table for production class 1.</t>
  </si>
  <si>
    <t>Enter the total energy in all combusted fuel on row 15 of the table for production class 1.</t>
  </si>
  <si>
    <t>Enter the total energy in all combusted fuel on row 16 of the table for production class 1.</t>
  </si>
  <si>
    <t>Enter the total energy in all combusted fuel on row 17 of the table for production class 1.</t>
  </si>
  <si>
    <t>Enter the total energy in all combusted fuel on row 18 of the table for production class 1.</t>
  </si>
  <si>
    <t>Enter the total energy in all combusted fuel on row 19 of the table for production class 1.</t>
  </si>
  <si>
    <t>Enter the total energy in all combusted fuel on row 20 of the table for production class 1.</t>
  </si>
  <si>
    <t>Enter the total energy in all combusted fuel on row 21 of the table for production class 1.</t>
  </si>
  <si>
    <t>Enter the total energy in all combusted fuel on row 22 of the table for production class 1.</t>
  </si>
  <si>
    <t>Enter the total energy in all combusted fuel on row 23 of the table for production class 1.</t>
  </si>
  <si>
    <t>Enter the total energy in all combusted fuel on row 24 of the table for production class 1.</t>
  </si>
  <si>
    <t>Enter the total energy in all combusted fuel on row 25 of the table for production class 1.</t>
  </si>
  <si>
    <t>Enter the total energy in all combusted fuel on row 26 of the table for production class 1.</t>
  </si>
  <si>
    <t>Enter the total energy in all combusted fuel on row 27 of the table for production class 1.</t>
  </si>
  <si>
    <t>Enter the total energy in all combusted fuel on row 28 of the table for production class 1.</t>
  </si>
  <si>
    <t>Enter the total energy in all combusted fuel on row 29 of the table for production class 1.</t>
  </si>
  <si>
    <t>Enter the total energy in all combusted fuel on row 30 of the table for production class 1.</t>
  </si>
  <si>
    <t>Enter the total energy in all combusted fuel on row 31 of the table for production class 1.</t>
  </si>
  <si>
    <t>Enter the total energy in all combusted fuel on row 32 of the table for production class 1.</t>
  </si>
  <si>
    <t>Enter the total energy in all combusted fuel on row 33 of the table for production class 1.</t>
  </si>
  <si>
    <t>Enter the total energy in all combusted fuel on row 34 of the table for production class 1.</t>
  </si>
  <si>
    <t>Enter the total energy in all combusted fuel on row 35 of the table for production class 1.</t>
  </si>
  <si>
    <t>Enter the total energy in all combusted fuel on row 36 of the table for production class 1.</t>
  </si>
  <si>
    <t>Enter the total energy in all combusted fuel on row 37 of the table for production class 1.</t>
  </si>
  <si>
    <t>Enter the total energy in all combusted fuel on row 38 of the table for production class 1.</t>
  </si>
  <si>
    <t>Enter the total energy in all combusted fuel on row 39 of the table for production class 1.</t>
  </si>
  <si>
    <t>Enter the total energy in all combusted fuel on row 40 of the table for production class 1.</t>
  </si>
  <si>
    <t>Enter the total energy in all combusted fuel on row 41 of the table for production class 1.</t>
  </si>
  <si>
    <t>Enter the total energy in all combusted fuel on row 42 of the table for production class 1.</t>
  </si>
  <si>
    <t>Enter the total energy in all combusted fuel on row 43 of the table for production class 1.</t>
  </si>
  <si>
    <t>Enter the total energy in all combusted fuel on row 44 of the table for production class 1.</t>
  </si>
  <si>
    <t>Enter the total energy in all combusted fuel on row 45 of the table for production class 1.</t>
  </si>
  <si>
    <t>Enter the total energy in all combusted fuel on row 46 of the table for production class 1.</t>
  </si>
  <si>
    <t>Enter the total energy in all combusted fuel on row 47 of the table for production class 1.</t>
  </si>
  <si>
    <t>Enter the total energy in all combusted fuel on row 48 of the table for production class 1.</t>
  </si>
  <si>
    <t>Enter the total energy in all combusted fuel on row 49 of the table for production class 1.</t>
  </si>
  <si>
    <t>Enter the total energy in all combusted fuel on row 50 of the table for production class 1.</t>
  </si>
  <si>
    <t>I.Gas.P1ElectricityGeneration</t>
  </si>
  <si>
    <t>Enter the total electricity generation from all combusted fuel on row 1 of the table for production class 1.</t>
  </si>
  <si>
    <t>Enter the total electricity generation from all combusted fuel on row 2 of the table for production class 1.</t>
  </si>
  <si>
    <t>Enter the total electricity generation from all combusted fuel on row 3 of the table for production class 1.</t>
  </si>
  <si>
    <t>Enter the total electricity generation from all combusted fuel on row 4 of the table for production class 1.</t>
  </si>
  <si>
    <t>Enter the total electricity generation from all combusted fuel on row 5 of the table for production class 1.</t>
  </si>
  <si>
    <t>Enter the total electricity generation from all combusted fuel on row 6 of the table for production class 1.</t>
  </si>
  <si>
    <t>Enter the total electricity generation from all combusted fuel on row 7 of the table for production class 1.</t>
  </si>
  <si>
    <t>Enter the total electricity generation from all combusted fuel on row 8 of the table for production class 1.</t>
  </si>
  <si>
    <t>Enter the total electricity generation from all combusted fuel on row 9 of the table for production class 1.</t>
  </si>
  <si>
    <t>Enter the total electricity generation from all combusted fuel on row 10 of the table for production class 1.</t>
  </si>
  <si>
    <t>Enter the total electricity generation from all combusted fuel on row 11 of the table for production class 1.</t>
  </si>
  <si>
    <t>Enter the total electricity generation from all combusted fuel on row 12 of the table for production class 1.</t>
  </si>
  <si>
    <t>Enter the total electricity generation from all combusted fuel on row 13 of the table for production class 1.</t>
  </si>
  <si>
    <t>Enter the total electricity generation from all combusted fuel on row 14 of the table for production class 1.</t>
  </si>
  <si>
    <t>Enter the total electricity generation from all combusted fuel on row 15 of the table for production class 1.</t>
  </si>
  <si>
    <t>Enter the total electricity generation from all combusted fuel on row 16 of the table for production class 1.</t>
  </si>
  <si>
    <t>Enter the total electricity generation from all combusted fuel on row 17 of the table for production class 1.</t>
  </si>
  <si>
    <t>Enter the total electricity generation from all combusted fuel on row 18 of the table for production class 1.</t>
  </si>
  <si>
    <t>Enter the total electricity generation from all combusted fuel on row 19 of the table for production class 1.</t>
  </si>
  <si>
    <t>Enter the total electricity generation from all combusted fuel on row 20 of the table for production class 1.</t>
  </si>
  <si>
    <t>Enter the total electricity generation from all combusted fuel on row 21 of the table for production class 1.</t>
  </si>
  <si>
    <t>Enter the total electricity generation from all combusted fuel on row 22 of the table for production class 1.</t>
  </si>
  <si>
    <t>Enter the total electricity generation from all combusted fuel on row 23 of the table for production class 1.</t>
  </si>
  <si>
    <t>Enter the total electricity generation from all combusted fuel on row 24 of the table for production class 1.</t>
  </si>
  <si>
    <t>Enter the total electricity generation from all combusted fuel on row 25 of the table for production class 1.</t>
  </si>
  <si>
    <t>Enter the total electricity generation from all combusted fuel on row 26 of the table for production class 1.</t>
  </si>
  <si>
    <t>Enter the total electricity generation from all combusted fuel on row 27 of the table for production class 1.</t>
  </si>
  <si>
    <t>Enter the total electricity generation from all combusted fuel on row 28 of the table for production class 1.</t>
  </si>
  <si>
    <t>Enter the total electricity generation from all combusted fuel on row 29 of the table for production class 1.</t>
  </si>
  <si>
    <t>Enter the total electricity generation from all combusted fuel on row 30 of the table for production class 1.</t>
  </si>
  <si>
    <t>Enter the total electricity generation from all combusted fuel on row 31 of the table for production class 1.</t>
  </si>
  <si>
    <t>Enter the total electricity generation from all combusted fuel on row 32 of the table for production class 1.</t>
  </si>
  <si>
    <t>Enter the total electricity generation from all combusted fuel on row 33 of the table for production class 1.</t>
  </si>
  <si>
    <t>Enter the total electricity generation from all combusted fuel on row 34 of the table for production class 1.</t>
  </si>
  <si>
    <t>Enter the total electricity generation from all combusted fuel on row 35 of the table for production class 1.</t>
  </si>
  <si>
    <t>Enter the total electricity generation from all combusted fuel on row 36 of the table for production class 1.</t>
  </si>
  <si>
    <t>Enter the total electricity generation from all combusted fuel on row 37 of the table for production class 1.</t>
  </si>
  <si>
    <t>Enter the total electricity generation from all combusted fuel on row 38 of the table for production class 1.</t>
  </si>
  <si>
    <t>Enter the total electricity generation from all combusted fuel on row 39 of the table for production class 1.</t>
  </si>
  <si>
    <t>Enter the total electricity generation from all combusted fuel on row 40 of the table for production class 1.</t>
  </si>
  <si>
    <t>Enter the total electricity generation from all combusted fuel on row 41 of the table for production class 1.</t>
  </si>
  <si>
    <t>Enter the total electricity generation from all combusted fuel on row 42 of the table for production class 1.</t>
  </si>
  <si>
    <t>Enter the total electricity generation from all combusted fuel on row 43 of the table for production class 1.</t>
  </si>
  <si>
    <t>Enter the total electricity generation from all combusted fuel on row 44 of the table for production class 1.</t>
  </si>
  <si>
    <t>Enter the total electricity generation from all combusted fuel on row 45 of the table for production class 1.</t>
  </si>
  <si>
    <t>Enter the total electricity generation from all combusted fuel on row 46 of the table for production class 1.</t>
  </si>
  <si>
    <t>Enter the total electricity generation from all combusted fuel on row 47 of the table for production class 1.</t>
  </si>
  <si>
    <t>Enter the total electricity generation from all combusted fuel on row 48 of the table for production class 1.</t>
  </si>
  <si>
    <t>Enter the total electricity generation from all combusted fuel on row 49 of the table for production class 1.</t>
  </si>
  <si>
    <t>Enter the total electricity generation from all combusted fuel on row 50 of the table for production class 1.</t>
  </si>
  <si>
    <t>I.Gas.P1C1V1</t>
  </si>
  <si>
    <t>Enter the volume of associated gas on row 1 of the table for production class 1.</t>
  </si>
  <si>
    <t>Enter the volume of associated gas on row 2 of the table for production class 1.</t>
  </si>
  <si>
    <t>Enter the volume of associated gas on row 3 of the table for production class 1.</t>
  </si>
  <si>
    <t>Enter the volume of associated gas on row 4 of the table for production class 1.</t>
  </si>
  <si>
    <t>Enter the volume of associated gas on row 5 of the table for production class 1.</t>
  </si>
  <si>
    <t>Enter the volume of associated gas on row 6 of the table for production class 1.</t>
  </si>
  <si>
    <t>Enter the volume of associated gas on row 7 of the table for production class 1.</t>
  </si>
  <si>
    <t>Enter the volume of associated gas on row 8 of the table for production class 1.</t>
  </si>
  <si>
    <t>Enter the volume of associated gas on row 9 of the table for production class 1.</t>
  </si>
  <si>
    <t>Enter the volume of associated gas on row 10 of the table for production class 1.</t>
  </si>
  <si>
    <t>Enter the volume of associated gas on row 11 of the table for production class 1.</t>
  </si>
  <si>
    <t>Enter the volume of associated gas on row 12 of the table for production class 1.</t>
  </si>
  <si>
    <t>Enter the volume of associated gas on row 13 of the table for production class 1.</t>
  </si>
  <si>
    <t>Enter the volume of associated gas on row 14 of the table for production class 1.</t>
  </si>
  <si>
    <t>Enter the volume of associated gas on row 15 of the table for production class 1.</t>
  </si>
  <si>
    <t>Enter the volume of associated gas on row 16 of the table for production class 1.</t>
  </si>
  <si>
    <t>Enter the volume of associated gas on row 17 of the table for production class 1.</t>
  </si>
  <si>
    <t>Enter the volume of associated gas on row 18 of the table for production class 1.</t>
  </si>
  <si>
    <t>Enter the volume of associated gas on row 19 of the table for production class 1.</t>
  </si>
  <si>
    <t>Enter the volume of associated gas on row 20 of the table for production class 1.</t>
  </si>
  <si>
    <t>Enter the volume of associated gas on row 21 of the table for production class 1.</t>
  </si>
  <si>
    <t>Enter the volume of associated gas on row 22 of the table for production class 1.</t>
  </si>
  <si>
    <t>Enter the volume of associated gas on row 23 of the table for production class 1.</t>
  </si>
  <si>
    <t>Enter the volume of associated gas on row 24 of the table for production class 1.</t>
  </si>
  <si>
    <t>Enter the volume of associated gas on row 25 of the table for production class 1.</t>
  </si>
  <si>
    <t>Enter the volume of associated gas on row 26 of the table for production class 1.</t>
  </si>
  <si>
    <t>Enter the volume of associated gas on row 27 of the table for production class 1.</t>
  </si>
  <si>
    <t>Enter the volume of associated gas on row 28 of the table for production class 1.</t>
  </si>
  <si>
    <t>Enter the volume of associated gas on row 29 of the table for production class 1.</t>
  </si>
  <si>
    <t>Enter the volume of associated gas on row 30 of the table for production class 1.</t>
  </si>
  <si>
    <t>Enter the volume of associated gas on row 31 of the table for production class 1.</t>
  </si>
  <si>
    <t>Enter the volume of associated gas on row 32 of the table for production class 1.</t>
  </si>
  <si>
    <t>Enter the volume of associated gas on row 33 of the table for production class 1.</t>
  </si>
  <si>
    <t>Enter the volume of associated gas on row 34 of the table for production class 1.</t>
  </si>
  <si>
    <t>Enter the volume of associated gas on row 35 of the table for production class 1.</t>
  </si>
  <si>
    <t>Enter the volume of associated gas on row 36 of the table for production class 1.</t>
  </si>
  <si>
    <t>Enter the volume of associated gas on row 37 of the table for production class 1.</t>
  </si>
  <si>
    <t>Enter the volume of associated gas on row 38 of the table for production class 1.</t>
  </si>
  <si>
    <t>Enter the volume of associated gas on row 39 of the table for production class 1.</t>
  </si>
  <si>
    <t>Enter the volume of associated gas on row 40 of the table for production class 1.</t>
  </si>
  <si>
    <t>Enter the volume of associated gas on row 41 of the table for production class 1.</t>
  </si>
  <si>
    <t>Enter the volume of associated gas on row 42 of the table for production class 1.</t>
  </si>
  <si>
    <t>Enter the volume of associated gas on row 43 of the table for production class 1.</t>
  </si>
  <si>
    <t>Enter the volume of associated gas on row 44 of the table for production class 1.</t>
  </si>
  <si>
    <t>Enter the volume of associated gas on row 45 of the table for production class 1.</t>
  </si>
  <si>
    <t>Enter the volume of associated gas on row 46 of the table for production class 1.</t>
  </si>
  <si>
    <t>Enter the volume of associated gas on row 47 of the table for production class 1.</t>
  </si>
  <si>
    <t>Enter the volume of associated gas on row 48 of the table for production class 1.</t>
  </si>
  <si>
    <t>Enter the volume of associated gas on row 49 of the table for production class 1.</t>
  </si>
  <si>
    <t>Enter the volume of associated gas on row 50 of the table for production class 1.</t>
  </si>
  <si>
    <t>I.Gas.P1C1E1</t>
  </si>
  <si>
    <t>Enter the carbon dioxide emissions from associated gas on row 1 of the table for production class 1.</t>
  </si>
  <si>
    <t>Enter the carbon dioxide emissions from associated gas on row 2 of the table for production class 1.</t>
  </si>
  <si>
    <t>Enter the carbon dioxide emissions from associated gas on row 3 of the table for production class 1.</t>
  </si>
  <si>
    <t>Enter the carbon dioxide emissions from associated gas on row 4 of the table for production class 1.</t>
  </si>
  <si>
    <t>Enter the carbon dioxide emissions from associated gas on row 5 of the table for production class 1.</t>
  </si>
  <si>
    <t>Enter the carbon dioxide emissions from associated gas on row 6 of the table for production class 1.</t>
  </si>
  <si>
    <t>Enter the carbon dioxide emissions from associated gas on row 7 of the table for production class 1.</t>
  </si>
  <si>
    <t>Enter the carbon dioxide emissions from associated gas on row 8 of the table for production class 1.</t>
  </si>
  <si>
    <t>Enter the carbon dioxide emissions from associated gas on row 9 of the table for production class 1.</t>
  </si>
  <si>
    <t>Enter the carbon dioxide emissions from associated gas on row 10 of the table for production class 1.</t>
  </si>
  <si>
    <t>Enter the carbon dioxide emissions from associated gas on row 11 of the table for production class 1.</t>
  </si>
  <si>
    <t>Enter the carbon dioxide emissions from associated gas on row 12 of the table for production class 1.</t>
  </si>
  <si>
    <t>Enter the carbon dioxide emissions from associated gas on row 13 of the table for production class 1.</t>
  </si>
  <si>
    <t>Enter the carbon dioxide emissions from associated gas on row 14 of the table for production class 1.</t>
  </si>
  <si>
    <t>Enter the carbon dioxide emissions from associated gas on row 15 of the table for production class 1.</t>
  </si>
  <si>
    <t>Enter the carbon dioxide emissions from associated gas on row 16 of the table for production class 1.</t>
  </si>
  <si>
    <t>Enter the carbon dioxide emissions from associated gas on row 17 of the table for production class 1.</t>
  </si>
  <si>
    <t>Enter the carbon dioxide emissions from associated gas on row 18 of the table for production class 1.</t>
  </si>
  <si>
    <t>Enter the carbon dioxide emissions from associated gas on row 19 of the table for production class 1.</t>
  </si>
  <si>
    <t>Enter the carbon dioxide emissions from associated gas on row 20 of the table for production class 1.</t>
  </si>
  <si>
    <t>Enter the carbon dioxide emissions from associated gas on row 21 of the table for production class 1.</t>
  </si>
  <si>
    <t>Enter the carbon dioxide emissions from associated gas on row 22 of the table for production class 1.</t>
  </si>
  <si>
    <t>Enter the carbon dioxide emissions from associated gas on row 23 of the table for production class 1.</t>
  </si>
  <si>
    <t>Enter the carbon dioxide emissions from associated gas on row 24 of the table for production class 1.</t>
  </si>
  <si>
    <t>Enter the carbon dioxide emissions from associated gas on row 25 of the table for production class 1.</t>
  </si>
  <si>
    <t>Enter the carbon dioxide emissions from associated gas on row 26 of the table for production class 1.</t>
  </si>
  <si>
    <t>Enter the carbon dioxide emissions from associated gas on row 27 of the table for production class 1.</t>
  </si>
  <si>
    <t>Enter the carbon dioxide emissions from associated gas on row 28 of the table for production class 1.</t>
  </si>
  <si>
    <t>Enter the carbon dioxide emissions from associated gas on row 29 of the table for production class 1.</t>
  </si>
  <si>
    <t>Enter the carbon dioxide emissions from associated gas on row 30 of the table for production class 1.</t>
  </si>
  <si>
    <t>Enter the carbon dioxide emissions from associated gas on row 31 of the table for production class 1.</t>
  </si>
  <si>
    <t>Enter the carbon dioxide emissions from associated gas on row 32 of the table for production class 1.</t>
  </si>
  <si>
    <t>Enter the carbon dioxide emissions from associated gas on row 33 of the table for production class 1.</t>
  </si>
  <si>
    <t>Enter the carbon dioxide emissions from associated gas on row 34 of the table for production class 1.</t>
  </si>
  <si>
    <t>Enter the carbon dioxide emissions from associated gas on row 35 of the table for production class 1.</t>
  </si>
  <si>
    <t>Enter the carbon dioxide emissions from associated gas on row 36 of the table for production class 1.</t>
  </si>
  <si>
    <t>Enter the carbon dioxide emissions from associated gas on row 37 of the table for production class 1.</t>
  </si>
  <si>
    <t>Enter the carbon dioxide emissions from associated gas on row 38 of the table for production class 1.</t>
  </si>
  <si>
    <t>Enter the carbon dioxide emissions from associated gas on row 39 of the table for production class 1.</t>
  </si>
  <si>
    <t>Enter the carbon dioxide emissions from associated gas on row 40 of the table for production class 1.</t>
  </si>
  <si>
    <t>Enter the carbon dioxide emissions from associated gas on row 41 of the table for production class 1.</t>
  </si>
  <si>
    <t>Enter the carbon dioxide emissions from associated gas on row 42 of the table for production class 1.</t>
  </si>
  <si>
    <t>Enter the carbon dioxide emissions from associated gas on row 43 of the table for production class 1.</t>
  </si>
  <si>
    <t>Enter the carbon dioxide emissions from associated gas on row 44 of the table for production class 1.</t>
  </si>
  <si>
    <t>Enter the carbon dioxide emissions from associated gas on row 45 of the table for production class 1.</t>
  </si>
  <si>
    <t>Enter the carbon dioxide emissions from associated gas on row 46 of the table for production class 1.</t>
  </si>
  <si>
    <t>Enter the carbon dioxide emissions from associated gas on row 47 of the table for production class 1.</t>
  </si>
  <si>
    <t>Enter the carbon dioxide emissions from associated gas on row 48 of the table for production class 1.</t>
  </si>
  <si>
    <t>Enter the carbon dioxide emissions from associated gas on row 49 of the table for production class 1.</t>
  </si>
  <si>
    <t>Enter the carbon dioxide emissions from associated gas on row 50 of the table for production class 1.</t>
  </si>
  <si>
    <t>I.Gas.P1C1E2</t>
  </si>
  <si>
    <t>Enter the methane emissions from associated gas on row 1 of the table for production class 1.</t>
  </si>
  <si>
    <t>Enter the methane emissions from associated gas on row 2 of the table for production class 1.</t>
  </si>
  <si>
    <t>Enter the methane emissions from associated gas on row 3 of the table for production class 1.</t>
  </si>
  <si>
    <t>Enter the methane emissions from associated gas on row 4 of the table for production class 1.</t>
  </si>
  <si>
    <t>Enter the methane emissions from associated gas on row 5 of the table for production class 1.</t>
  </si>
  <si>
    <t>Enter the methane emissions from associated gas on row 6 of the table for production class 1.</t>
  </si>
  <si>
    <t>Enter the methane emissions from associated gas on row 7 of the table for production class 1.</t>
  </si>
  <si>
    <t>Enter the methane emissions from associated gas on row 8 of the table for production class 1.</t>
  </si>
  <si>
    <t>Enter the methane emissions from associated gas on row 9 of the table for production class 1.</t>
  </si>
  <si>
    <t>Enter the methane emissions from associated gas on row 10 of the table for production class 1.</t>
  </si>
  <si>
    <t>Enter the methane emissions from associated gas on row 11 of the table for production class 1.</t>
  </si>
  <si>
    <t>Enter the methane emissions from associated gas on row 12 of the table for production class 1.</t>
  </si>
  <si>
    <t>Enter the methane emissions from associated gas on row 13 of the table for production class 1.</t>
  </si>
  <si>
    <t>Enter the methane emissions from associated gas on row 14 of the table for production class 1.</t>
  </si>
  <si>
    <t>Enter the methane emissions from associated gas on row 15 of the table for production class 1.</t>
  </si>
  <si>
    <t>Enter the methane emissions from associated gas on row 16 of the table for production class 1.</t>
  </si>
  <si>
    <t>Enter the methane emissions from associated gas on row 17 of the table for production class 1.</t>
  </si>
  <si>
    <t>Enter the methane emissions from associated gas on row 18 of the table for production class 1.</t>
  </si>
  <si>
    <t>Enter the methane emissions from associated gas on row 19 of the table for production class 1.</t>
  </si>
  <si>
    <t>Enter the methane emissions from associated gas on row 20 of the table for production class 1.</t>
  </si>
  <si>
    <t>Enter the methane emissions from associated gas on row 21 of the table for production class 1.</t>
  </si>
  <si>
    <t>Enter the methane emissions from associated gas on row 22 of the table for production class 1.</t>
  </si>
  <si>
    <t>Enter the methane emissions from associated gas on row 23 of the table for production class 1.</t>
  </si>
  <si>
    <t>Enter the methane emissions from associated gas on row 24 of the table for production class 1.</t>
  </si>
  <si>
    <t>Enter the methane emissions from associated gas on row 25 of the table for production class 1.</t>
  </si>
  <si>
    <t>Enter the methane emissions from associated gas on row 26 of the table for production class 1.</t>
  </si>
  <si>
    <t>Enter the methane emissions from associated gas on row 27 of the table for production class 1.</t>
  </si>
  <si>
    <t>Enter the methane emissions from associated gas on row 28 of the table for production class 1.</t>
  </si>
  <si>
    <t>Enter the methane emissions from associated gas on row 29 of the table for production class 1.</t>
  </si>
  <si>
    <t>Enter the methane emissions from associated gas on row 30 of the table for production class 1.</t>
  </si>
  <si>
    <t>Enter the methane emissions from associated gas on row 31 of the table for production class 1.</t>
  </si>
  <si>
    <t>Enter the methane emissions from associated gas on row 32 of the table for production class 1.</t>
  </si>
  <si>
    <t>Enter the methane emissions from associated gas on row 33 of the table for production class 1.</t>
  </si>
  <si>
    <t>Enter the methane emissions from associated gas on row 34 of the table for production class 1.</t>
  </si>
  <si>
    <t>Enter the methane emissions from associated gas on row 35 of the table for production class 1.</t>
  </si>
  <si>
    <t>Enter the methane emissions from associated gas on row 36 of the table for production class 1.</t>
  </si>
  <si>
    <t>Enter the methane emissions from associated gas on row 37 of the table for production class 1.</t>
  </si>
  <si>
    <t>Enter the methane emissions from associated gas on row 38 of the table for production class 1.</t>
  </si>
  <si>
    <t>Enter the methane emissions from associated gas on row 39 of the table for production class 1.</t>
  </si>
  <si>
    <t>Enter the methane emissions from associated gas on row 40 of the table for production class 1.</t>
  </si>
  <si>
    <t>Enter the methane emissions from associated gas on row 41 of the table for production class 1.</t>
  </si>
  <si>
    <t>Enter the methane emissions from associated gas on row 42 of the table for production class 1.</t>
  </si>
  <si>
    <t>Enter the methane emissions from associated gas on row 43 of the table for production class 1.</t>
  </si>
  <si>
    <t>Enter the methane emissions from associated gas on row 44 of the table for production class 1.</t>
  </si>
  <si>
    <t>Enter the methane emissions from associated gas on row 45 of the table for production class 1.</t>
  </si>
  <si>
    <t>Enter the methane emissions from associated gas on row 46 of the table for production class 1.</t>
  </si>
  <si>
    <t>Enter the methane emissions from associated gas on row 47 of the table for production class 1.</t>
  </si>
  <si>
    <t>Enter the methane emissions from associated gas on row 48 of the table for production class 1.</t>
  </si>
  <si>
    <t>Enter the methane emissions from associated gas on row 49 of the table for production class 1.</t>
  </si>
  <si>
    <t>Enter the methane emissions from associated gas on row 50 of the table for production class 1.</t>
  </si>
  <si>
    <t>I.Gas.P1C1E3</t>
  </si>
  <si>
    <t>Enter the nitrous oxide emissions from associated gas on row 1 of the table for production class 1.</t>
  </si>
  <si>
    <t>Enter the nitrous oxide emissions from associated gas on row 2 of the table for production class 1.</t>
  </si>
  <si>
    <t>Enter the nitrous oxide emissions from associated gas on row 3 of the table for production class 1.</t>
  </si>
  <si>
    <t>Enter the nitrous oxide emissions from associated gas on row 4 of the table for production class 1.</t>
  </si>
  <si>
    <t>Enter the nitrous oxide emissions from associated gas on row 5 of the table for production class 1.</t>
  </si>
  <si>
    <t>Enter the nitrous oxide emissions from associated gas on row 6 of the table for production class 1.</t>
  </si>
  <si>
    <t>Enter the nitrous oxide emissions from associated gas on row 7 of the table for production class 1.</t>
  </si>
  <si>
    <t>Enter the nitrous oxide emissions from associated gas on row 8 of the table for production class 1.</t>
  </si>
  <si>
    <t>Enter the nitrous oxide emissions from associated gas on row 9 of the table for production class 1.</t>
  </si>
  <si>
    <t>Enter the nitrous oxide emissions from associated gas on row 10 of the table for production class 1.</t>
  </si>
  <si>
    <t>Enter the nitrous oxide emissions from associated gas on row 11 of the table for production class 1.</t>
  </si>
  <si>
    <t>Enter the nitrous oxide emissions from associated gas on row 12 of the table for production class 1.</t>
  </si>
  <si>
    <t>Enter the nitrous oxide emissions from associated gas on row 13 of the table for production class 1.</t>
  </si>
  <si>
    <t>Enter the nitrous oxide emissions from associated gas on row 14 of the table for production class 1.</t>
  </si>
  <si>
    <t>Enter the nitrous oxide emissions from associated gas on row 15 of the table for production class 1.</t>
  </si>
  <si>
    <t>Enter the nitrous oxide emissions from associated gas on row 16 of the table for production class 1.</t>
  </si>
  <si>
    <t>Enter the nitrous oxide emissions from associated gas on row 17 of the table for production class 1.</t>
  </si>
  <si>
    <t>Enter the nitrous oxide emissions from associated gas on row 18 of the table for production class 1.</t>
  </si>
  <si>
    <t>Enter the nitrous oxide emissions from associated gas on row 19 of the table for production class 1.</t>
  </si>
  <si>
    <t>Enter the nitrous oxide emissions from associated gas on row 20 of the table for production class 1.</t>
  </si>
  <si>
    <t>Enter the nitrous oxide emissions from associated gas on row 21 of the table for production class 1.</t>
  </si>
  <si>
    <t>Enter the nitrous oxide emissions from associated gas on row 22 of the table for production class 1.</t>
  </si>
  <si>
    <t>Enter the nitrous oxide emissions from associated gas on row 23 of the table for production class 1.</t>
  </si>
  <si>
    <t>Enter the nitrous oxide emissions from associated gas on row 24 of the table for production class 1.</t>
  </si>
  <si>
    <t>Enter the nitrous oxide emissions from associated gas on row 25 of the table for production class 1.</t>
  </si>
  <si>
    <t>Enter the nitrous oxide emissions from associated gas on row 26 of the table for production class 1.</t>
  </si>
  <si>
    <t>Enter the nitrous oxide emissions from associated gas on row 27 of the table for production class 1.</t>
  </si>
  <si>
    <t>Enter the nitrous oxide emissions from associated gas on row 28 of the table for production class 1.</t>
  </si>
  <si>
    <t>Enter the nitrous oxide emissions from associated gas on row 29 of the table for production class 1.</t>
  </si>
  <si>
    <t>Enter the nitrous oxide emissions from associated gas on row 30 of the table for production class 1.</t>
  </si>
  <si>
    <t>Enter the nitrous oxide emissions from associated gas on row 31 of the table for production class 1.</t>
  </si>
  <si>
    <t>Enter the nitrous oxide emissions from associated gas on row 32 of the table for production class 1.</t>
  </si>
  <si>
    <t>Enter the nitrous oxide emissions from associated gas on row 33 of the table for production class 1.</t>
  </si>
  <si>
    <t>Enter the nitrous oxide emissions from associated gas on row 34 of the table for production class 1.</t>
  </si>
  <si>
    <t>Enter the nitrous oxide emissions from associated gas on row 35 of the table for production class 1.</t>
  </si>
  <si>
    <t>Enter the nitrous oxide emissions from associated gas on row 36 of the table for production class 1.</t>
  </si>
  <si>
    <t>Enter the nitrous oxide emissions from associated gas on row 37 of the table for production class 1.</t>
  </si>
  <si>
    <t>Enter the nitrous oxide emissions from associated gas on row 38 of the table for production class 1.</t>
  </si>
  <si>
    <t>Enter the nitrous oxide emissions from associated gas on row 39 of the table for production class 1.</t>
  </si>
  <si>
    <t>Enter the nitrous oxide emissions from associated gas on row 40 of the table for production class 1.</t>
  </si>
  <si>
    <t>Enter the nitrous oxide emissions from associated gas on row 41 of the table for production class 1.</t>
  </si>
  <si>
    <t>Enter the nitrous oxide emissions from associated gas on row 42 of the table for production class 1.</t>
  </si>
  <si>
    <t>Enter the nitrous oxide emissions from associated gas on row 43 of the table for production class 1.</t>
  </si>
  <si>
    <t>Enter the nitrous oxide emissions from associated gas on row 44 of the table for production class 1.</t>
  </si>
  <si>
    <t>Enter the nitrous oxide emissions from associated gas on row 45 of the table for production class 1.</t>
  </si>
  <si>
    <t>Enter the nitrous oxide emissions from associated gas on row 46 of the table for production class 1.</t>
  </si>
  <si>
    <t>Enter the nitrous oxide emissions from associated gas on row 47 of the table for production class 1.</t>
  </si>
  <si>
    <t>Enter the nitrous oxide emissions from associated gas on row 48 of the table for production class 1.</t>
  </si>
  <si>
    <t>Enter the nitrous oxide emissions from associated gas on row 49 of the table for production class 1.</t>
  </si>
  <si>
    <t>Enter the nitrous oxide emissions from associated gas on row 50 of the table for production class 1.</t>
  </si>
  <si>
    <t>I.Gas.P2aCount</t>
  </si>
  <si>
    <t>Enter the number of units within the gas-to-power operation for production class 2a.</t>
  </si>
  <si>
    <t>I.Gas.P2aAssociatedGasEnergy</t>
  </si>
  <si>
    <t>Enter the energy in the combusted associated gas on row 1 of the table for production class 2a.</t>
  </si>
  <si>
    <t>Enter the energy in the combusted associated gas on row 2 of the table for production class 2a.</t>
  </si>
  <si>
    <t>Enter the energy in the combusted associated gas on row 3 of the table for production class 2a.</t>
  </si>
  <si>
    <t>Enter the energy in the combusted associated gas on row 4 of the table for production class 2a.</t>
  </si>
  <si>
    <t>Enter the energy in the combusted associated gas on row 5 of the table for production class 2a.</t>
  </si>
  <si>
    <t>Enter the energy in the combusted associated gas on row 6 of the table for production class 2a.</t>
  </si>
  <si>
    <t>Enter the energy in the combusted associated gas on row 7 of the table for production class 2a.</t>
  </si>
  <si>
    <t>Enter the energy in the combusted associated gas on row 8 of the table for production class 2a.</t>
  </si>
  <si>
    <t>Enter the energy in the combusted associated gas on row 9 of the table for production class 2a.</t>
  </si>
  <si>
    <t>Enter the energy in the combusted associated gas on row 10 of the table for production class 2a.</t>
  </si>
  <si>
    <t>Enter the energy in the combusted associated gas on row 11 of the table for production class 2a.</t>
  </si>
  <si>
    <t>Enter the energy in the combusted associated gas on row 12 of the table for production class 2a.</t>
  </si>
  <si>
    <t>Enter the energy in the combusted associated gas on row 13 of the table for production class 2a.</t>
  </si>
  <si>
    <t>Enter the energy in the combusted associated gas on row 14 of the table for production class 2a.</t>
  </si>
  <si>
    <t>Enter the energy in the combusted associated gas on row 15 of the table for production class 2a.</t>
  </si>
  <si>
    <t>Enter the energy in the combusted associated gas on row 16 of the table for production class 2a.</t>
  </si>
  <si>
    <t>Enter the energy in the combusted associated gas on row 17 of the table for production class 2a.</t>
  </si>
  <si>
    <t>Enter the energy in the combusted associated gas on row 18 of the table for production class 2a.</t>
  </si>
  <si>
    <t>Enter the energy in the combusted associated gas on row 19 of the table for production class 2a.</t>
  </si>
  <si>
    <t>Enter the energy in the combusted associated gas on row 20 of the table for production class 2a.</t>
  </si>
  <si>
    <t>Enter the energy in the combusted associated gas on row 21 of the table for production class 2a.</t>
  </si>
  <si>
    <t>Enter the energy in the combusted associated gas on row 22 of the table for production class 2a.</t>
  </si>
  <si>
    <t>Enter the energy in the combusted associated gas on row 23 of the table for production class 2a.</t>
  </si>
  <si>
    <t>Enter the energy in the combusted associated gas on row 24 of the table for production class 2a.</t>
  </si>
  <si>
    <t>Enter the energy in the combusted associated gas on row 25 of the table for production class 2a.</t>
  </si>
  <si>
    <t>Enter the energy in the combusted associated gas on row 26 of the table for production class 2a.</t>
  </si>
  <si>
    <t>Enter the energy in the combusted associated gas on row 27 of the table for production class 2a.</t>
  </si>
  <si>
    <t>Enter the energy in the combusted associated gas on row 28 of the table for production class 2a.</t>
  </si>
  <si>
    <t>Enter the energy in the combusted associated gas on row 29 of the table for production class 2a.</t>
  </si>
  <si>
    <t>Enter the energy in the combusted associated gas on row 30 of the table for production class 2a.</t>
  </si>
  <si>
    <t>Enter the energy in the combusted associated gas on row 31 of the table for production class 2a.</t>
  </si>
  <si>
    <t>Enter the energy in the combusted associated gas on row 32 of the table for production class 2a.</t>
  </si>
  <si>
    <t>Enter the energy in the combusted associated gas on row 33 of the table for production class 2a.</t>
  </si>
  <si>
    <t>Enter the energy in the combusted associated gas on row 34 of the table for production class 2a.</t>
  </si>
  <si>
    <t>Enter the energy in the combusted associated gas on row 35 of the table for production class 2a.</t>
  </si>
  <si>
    <t>Enter the energy in the combusted associated gas on row 36 of the table for production class 2a.</t>
  </si>
  <si>
    <t>Enter the energy in the combusted associated gas on row 37 of the table for production class 2a.</t>
  </si>
  <si>
    <t>Enter the energy in the combusted associated gas on row 38 of the table for production class 2a.</t>
  </si>
  <si>
    <t>Enter the energy in the combusted associated gas on row 39 of the table for production class 2a.</t>
  </si>
  <si>
    <t>Enter the energy in the combusted associated gas on row 40 of the table for production class 2a.</t>
  </si>
  <si>
    <t>Enter the energy in the combusted associated gas on row 41 of the table for production class 2a.</t>
  </si>
  <si>
    <t>Enter the energy in the combusted associated gas on row 42 of the table for production class 2a.</t>
  </si>
  <si>
    <t>Enter the energy in the combusted associated gas on row 43 of the table for production class 2a.</t>
  </si>
  <si>
    <t>Enter the energy in the combusted associated gas on row 44 of the table for production class 2a.</t>
  </si>
  <si>
    <t>Enter the energy in the combusted associated gas on row 45 of the table for production class 2a.</t>
  </si>
  <si>
    <t>Enter the energy in the combusted associated gas on row 46 of the table for production class 2a.</t>
  </si>
  <si>
    <t>Enter the energy in the combusted associated gas on row 47 of the table for production class 2a.</t>
  </si>
  <si>
    <t>Enter the energy in the combusted associated gas on row 48 of the table for production class 2a.</t>
  </si>
  <si>
    <t>Enter the energy in the combusted associated gas on row 49 of the table for production class 2a.</t>
  </si>
  <si>
    <t>Enter the energy in the combusted associated gas on row 50 of the table for production class 2a.</t>
  </si>
  <si>
    <t>I.Gas.P2aTotalGasEnergy</t>
  </si>
  <si>
    <t>Enter the total energy in all combusted fuel on row 1 of the table for production class 2a.</t>
  </si>
  <si>
    <t>Enter the total energy in all combusted fuel on row 2 of the table for production class 2a.</t>
  </si>
  <si>
    <t>Enter the total energy in all combusted fuel on row 3 of the table for production class 2a.</t>
  </si>
  <si>
    <t>Enter the total energy in all combusted fuel on row 4 of the table for production class 2a.</t>
  </si>
  <si>
    <t>Enter the total energy in all combusted fuel on row 5 of the table for production class 2a.</t>
  </si>
  <si>
    <t>Enter the total energy in all combusted fuel on row 6 of the table for production class 2a.</t>
  </si>
  <si>
    <t>Enter the total energy in all combusted fuel on row 7 of the table for production class 2a.</t>
  </si>
  <si>
    <t>Enter the total energy in all combusted fuel on row 8 of the table for production class 2a.</t>
  </si>
  <si>
    <t>Enter the total energy in all combusted fuel on row 9 of the table for production class 2a.</t>
  </si>
  <si>
    <t>Enter the total energy in all combusted fuel on row 10 of the table for production class 2a.</t>
  </si>
  <si>
    <t>Enter the total energy in all combusted fuel on row 11 of the table for production class 2a.</t>
  </si>
  <si>
    <t>Enter the total energy in all combusted fuel on row 12 of the table for production class 2a.</t>
  </si>
  <si>
    <t>Enter the total energy in all combusted fuel on row 13 of the table for production class 2a.</t>
  </si>
  <si>
    <t>Enter the total energy in all combusted fuel on row 14 of the table for production class 2a.</t>
  </si>
  <si>
    <t>Enter the total energy in all combusted fuel on row 15 of the table for production class 2a.</t>
  </si>
  <si>
    <t>Enter the total energy in all combusted fuel on row 16 of the table for production class 2a.</t>
  </si>
  <si>
    <t>Enter the total energy in all combusted fuel on row 17 of the table for production class 2a.</t>
  </si>
  <si>
    <t>Enter the total energy in all combusted fuel on row 18 of the table for production class 2a.</t>
  </si>
  <si>
    <t>Enter the total energy in all combusted fuel on row 19 of the table for production class 2a.</t>
  </si>
  <si>
    <t>Enter the total energy in all combusted fuel on row 20 of the table for production class 2a.</t>
  </si>
  <si>
    <t>Enter the total energy in all combusted fuel on row 21 of the table for production class 2a.</t>
  </si>
  <si>
    <t>Enter the total energy in all combusted fuel on row 22 of the table for production class 2a.</t>
  </si>
  <si>
    <t>Enter the total energy in all combusted fuel on row 23 of the table for production class 2a.</t>
  </si>
  <si>
    <t>Enter the total energy in all combusted fuel on row 24 of the table for production class 2a.</t>
  </si>
  <si>
    <t>Enter the total energy in all combusted fuel on row 25 of the table for production class 2a.</t>
  </si>
  <si>
    <t>Enter the total energy in all combusted fuel on row 26 of the table for production class 2a.</t>
  </si>
  <si>
    <t>Enter the total energy in all combusted fuel on row 27 of the table for production class 2a.</t>
  </si>
  <si>
    <t>Enter the total energy in all combusted fuel on row 28 of the table for production class 2a.</t>
  </si>
  <si>
    <t>Enter the total energy in all combusted fuel on row 29 of the table for production class 2a.</t>
  </si>
  <si>
    <t>Enter the total energy in all combusted fuel on row 30 of the table for production class 2a.</t>
  </si>
  <si>
    <t>Enter the total energy in all combusted fuel on row 31 of the table for production class 2a.</t>
  </si>
  <si>
    <t>Enter the total energy in all combusted fuel on row 32 of the table for production class 2a.</t>
  </si>
  <si>
    <t>Enter the total energy in all combusted fuel on row 33 of the table for production class 2a.</t>
  </si>
  <si>
    <t>Enter the total energy in all combusted fuel on row 34 of the table for production class 2a.</t>
  </si>
  <si>
    <t>Enter the total energy in all combusted fuel on row 35 of the table for production class 2a.</t>
  </si>
  <si>
    <t>Enter the total energy in all combusted fuel on row 36 of the table for production class 2a.</t>
  </si>
  <si>
    <t>Enter the total energy in all combusted fuel on row 37 of the table for production class 2a.</t>
  </si>
  <si>
    <t>Enter the total energy in all combusted fuel on row 38 of the table for production class 2a.</t>
  </si>
  <si>
    <t>Enter the total energy in all combusted fuel on row 39 of the table for production class 2a.</t>
  </si>
  <si>
    <t>Enter the total energy in all combusted fuel on row 40 of the table for production class 2a.</t>
  </si>
  <si>
    <t>Enter the total energy in all combusted fuel on row 41 of the table for production class 2a.</t>
  </si>
  <si>
    <t>Enter the total energy in all combusted fuel on row 42 of the table for production class 2a.</t>
  </si>
  <si>
    <t>Enter the total energy in all combusted fuel on row 43 of the table for production class 2a.</t>
  </si>
  <si>
    <t>Enter the total energy in all combusted fuel on row 44 of the table for production class 2a.</t>
  </si>
  <si>
    <t>Enter the total energy in all combusted fuel on row 45 of the table for production class 2a.</t>
  </si>
  <si>
    <t>Enter the total energy in all combusted fuel on row 46 of the table for production class 2a.</t>
  </si>
  <si>
    <t>Enter the total energy in all combusted fuel on row 47 of the table for production class 2a.</t>
  </si>
  <si>
    <t>Enter the total energy in all combusted fuel on row 48 of the table for production class 2a.</t>
  </si>
  <si>
    <t>Enter the total energy in all combusted fuel on row 49 of the table for production class 2a.</t>
  </si>
  <si>
    <t>Enter the total energy in all combusted fuel on row 50 of the table for production class 2a.</t>
  </si>
  <si>
    <t>I.Gas.P2aElectricityGeneration</t>
  </si>
  <si>
    <t>Enter the total electricity generation from all combusted fuel on row 1 of the table for production class 2a.</t>
  </si>
  <si>
    <t>Enter the total electricity generation from all combusted fuel on row 2 of the table for production class 2a.</t>
  </si>
  <si>
    <t>Enter the total electricity generation from all combusted fuel on row 3 of the table for production class 2a.</t>
  </si>
  <si>
    <t>Enter the total electricity generation from all combusted fuel on row 4 of the table for production class 2a.</t>
  </si>
  <si>
    <t>Enter the total electricity generation from all combusted fuel on row 5 of the table for production class 2a.</t>
  </si>
  <si>
    <t>Enter the total electricity generation from all combusted fuel on row 6 of the table for production class 2a.</t>
  </si>
  <si>
    <t>Enter the total electricity generation from all combusted fuel on row 7 of the table for production class 2a.</t>
  </si>
  <si>
    <t>Enter the total electricity generation from all combusted fuel on row 8 of the table for production class 2a.</t>
  </si>
  <si>
    <t>Enter the total electricity generation from all combusted fuel on row 9 of the table for production class 2a.</t>
  </si>
  <si>
    <t>Enter the total electricity generation from all combusted fuel on row 10 of the table for production class 2a.</t>
  </si>
  <si>
    <t>Enter the total electricity generation from all combusted fuel on row 11 of the table for production class 2a.</t>
  </si>
  <si>
    <t>Enter the total electricity generation from all combusted fuel on row 12 of the table for production class 2a.</t>
  </si>
  <si>
    <t>Enter the total electricity generation from all combusted fuel on row 13 of the table for production class 2a.</t>
  </si>
  <si>
    <t>Enter the total electricity generation from all combusted fuel on row 14 of the table for production class 2a.</t>
  </si>
  <si>
    <t>Enter the total electricity generation from all combusted fuel on row 15 of the table for production class 2a.</t>
  </si>
  <si>
    <t>Enter the total electricity generation from all combusted fuel on row 16 of the table for production class 2a.</t>
  </si>
  <si>
    <t>Enter the total electricity generation from all combusted fuel on row 17 of the table for production class 2a.</t>
  </si>
  <si>
    <t>Enter the total electricity generation from all combusted fuel on row 18 of the table for production class 2a.</t>
  </si>
  <si>
    <t>Enter the total electricity generation from all combusted fuel on row 19 of the table for production class 2a.</t>
  </si>
  <si>
    <t>Enter the total electricity generation from all combusted fuel on row 20 of the table for production class 2a.</t>
  </si>
  <si>
    <t>Enter the total electricity generation from all combusted fuel on row 21 of the table for production class 2a.</t>
  </si>
  <si>
    <t>Enter the total electricity generation from all combusted fuel on row 22 of the table for production class 2a.</t>
  </si>
  <si>
    <t>Enter the total electricity generation from all combusted fuel on row 23 of the table for production class 2a.</t>
  </si>
  <si>
    <t>Enter the total electricity generation from all combusted fuel on row 24 of the table for production class 2a.</t>
  </si>
  <si>
    <t>Enter the total electricity generation from all combusted fuel on row 25 of the table for production class 2a.</t>
  </si>
  <si>
    <t>Enter the total electricity generation from all combusted fuel on row 26 of the table for production class 2a.</t>
  </si>
  <si>
    <t>Enter the total electricity generation from all combusted fuel on row 27 of the table for production class 2a.</t>
  </si>
  <si>
    <t>Enter the total electricity generation from all combusted fuel on row 28 of the table for production class 2a.</t>
  </si>
  <si>
    <t>Enter the total electricity generation from all combusted fuel on row 29 of the table for production class 2a.</t>
  </si>
  <si>
    <t>Enter the total electricity generation from all combusted fuel on row 30 of the table for production class 2a.</t>
  </si>
  <si>
    <t>Enter the total electricity generation from all combusted fuel on row 31 of the table for production class 2a.</t>
  </si>
  <si>
    <t>Enter the total electricity generation from all combusted fuel on row 32 of the table for production class 2a.</t>
  </si>
  <si>
    <t>Enter the total electricity generation from all combusted fuel on row 33 of the table for production class 2a.</t>
  </si>
  <si>
    <t>Enter the total electricity generation from all combusted fuel on row 34 of the table for production class 2a.</t>
  </si>
  <si>
    <t>Enter the total electricity generation from all combusted fuel on row 35 of the table for production class 2a.</t>
  </si>
  <si>
    <t>Enter the total electricity generation from all combusted fuel on row 36 of the table for production class 2a.</t>
  </si>
  <si>
    <t>Enter the total electricity generation from all combusted fuel on row 37 of the table for production class 2a.</t>
  </si>
  <si>
    <t>Enter the total electricity generation from all combusted fuel on row 38 of the table for production class 2a.</t>
  </si>
  <si>
    <t>Enter the total electricity generation from all combusted fuel on row 39 of the table for production class 2a.</t>
  </si>
  <si>
    <t>Enter the total electricity generation from all combusted fuel on row 40 of the table for production class 2a.</t>
  </si>
  <si>
    <t>Enter the total electricity generation from all combusted fuel on row 41 of the table for production class 2a.</t>
  </si>
  <si>
    <t>Enter the total electricity generation from all combusted fuel on row 42 of the table for production class 2a.</t>
  </si>
  <si>
    <t>Enter the total electricity generation from all combusted fuel on row 43 of the table for production class 2a.</t>
  </si>
  <si>
    <t>Enter the total electricity generation from all combusted fuel on row 44 of the table for production class 2a.</t>
  </si>
  <si>
    <t>Enter the total electricity generation from all combusted fuel on row 45 of the table for production class 2a.</t>
  </si>
  <si>
    <t>Enter the total electricity generation from all combusted fuel on row 46 of the table for production class 2a.</t>
  </si>
  <si>
    <t>Enter the total electricity generation from all combusted fuel on row 47 of the table for production class 2a.</t>
  </si>
  <si>
    <t>Enter the total electricity generation from all combusted fuel on row 48 of the table for production class 2a.</t>
  </si>
  <si>
    <t>Enter the total electricity generation from all combusted fuel on row 49 of the table for production class 2a.</t>
  </si>
  <si>
    <t>Enter the total electricity generation from all combusted fuel on row 50 of the table for production class 2a.</t>
  </si>
  <si>
    <t>I.Gas.P2aC1V1</t>
  </si>
  <si>
    <t>Enter the volume of associated gas on row 1 of the table for production class 2a.</t>
  </si>
  <si>
    <t>Enter the volume of associated gas on row 2 of the table for production class 2a.</t>
  </si>
  <si>
    <t>Enter the volume of associated gas on row 3 of the table for production class 2a.</t>
  </si>
  <si>
    <t>Enter the volume of associated gas on row 4 of the table for production class 2a.</t>
  </si>
  <si>
    <t>Enter the volume of associated gas on row 5 of the table for production class 2a.</t>
  </si>
  <si>
    <t>Enter the volume of associated gas on row 6 of the table for production class 2a.</t>
  </si>
  <si>
    <t>Enter the volume of associated gas on row 7 of the table for production class 2a.</t>
  </si>
  <si>
    <t>Enter the volume of associated gas on row 8 of the table for production class 2a.</t>
  </si>
  <si>
    <t>Enter the volume of associated gas on row 9 of the table for production class 2a.</t>
  </si>
  <si>
    <t>Enter the volume of associated gas on row 10 of the table for production class 2a.</t>
  </si>
  <si>
    <t>Enter the volume of associated gas on row 11 of the table for production class 2a.</t>
  </si>
  <si>
    <t>Enter the volume of associated gas on row 12 of the table for production class 2a.</t>
  </si>
  <si>
    <t>Enter the volume of associated gas on row 13 of the table for production class 2a.</t>
  </si>
  <si>
    <t>Enter the volume of associated gas on row 14 of the table for production class 2a.</t>
  </si>
  <si>
    <t>Enter the volume of associated gas on row 15 of the table for production class 2a.</t>
  </si>
  <si>
    <t>Enter the volume of associated gas on row 16 of the table for production class 2a.</t>
  </si>
  <si>
    <t>Enter the volume of associated gas on row 17 of the table for production class 2a.</t>
  </si>
  <si>
    <t>Enter the volume of associated gas on row 18 of the table for production class 2a.</t>
  </si>
  <si>
    <t>Enter the volume of associated gas on row 19 of the table for production class 2a.</t>
  </si>
  <si>
    <t>Enter the volume of associated gas on row 20 of the table for production class 2a.</t>
  </si>
  <si>
    <t>Enter the volume of associated gas on row 21 of the table for production class 2a.</t>
  </si>
  <si>
    <t>Enter the volume of associated gas on row 22 of the table for production class 2a.</t>
  </si>
  <si>
    <t>Enter the volume of associated gas on row 23 of the table for production class 2a.</t>
  </si>
  <si>
    <t>Enter the volume of associated gas on row 24 of the table for production class 2a.</t>
  </si>
  <si>
    <t>Enter the volume of associated gas on row 25 of the table for production class 2a.</t>
  </si>
  <si>
    <t>Enter the volume of associated gas on row 26 of the table for production class 2a.</t>
  </si>
  <si>
    <t>Enter the volume of associated gas on row 27 of the table for production class 2a.</t>
  </si>
  <si>
    <t>Enter the volume of associated gas on row 28 of the table for production class 2a.</t>
  </si>
  <si>
    <t>Enter the volume of associated gas on row 29 of the table for production class 2a.</t>
  </si>
  <si>
    <t>Enter the volume of associated gas on row 30 of the table for production class 2a.</t>
  </si>
  <si>
    <t>Enter the volume of associated gas on row 31 of the table for production class 2a.</t>
  </si>
  <si>
    <t>Enter the volume of associated gas on row 32 of the table for production class 2a.</t>
  </si>
  <si>
    <t>Enter the volume of associated gas on row 33 of the table for production class 2a.</t>
  </si>
  <si>
    <t>Enter the volume of associated gas on row 34 of the table for production class 2a.</t>
  </si>
  <si>
    <t>Enter the volume of associated gas on row 35 of the table for production class 2a.</t>
  </si>
  <si>
    <t>Enter the volume of associated gas on row 36 of the table for production class 2a.</t>
  </si>
  <si>
    <t>Enter the volume of associated gas on row 37 of the table for production class 2a.</t>
  </si>
  <si>
    <t>Enter the volume of associated gas on row 38 of the table for production class 2a.</t>
  </si>
  <si>
    <t>Enter the volume of associated gas on row 39 of the table for production class 2a.</t>
  </si>
  <si>
    <t>Enter the volume of associated gas on row 40 of the table for production class 2a.</t>
  </si>
  <si>
    <t>Enter the volume of associated gas on row 41 of the table for production class 2a.</t>
  </si>
  <si>
    <t>Enter the volume of associated gas on row 42 of the table for production class 2a.</t>
  </si>
  <si>
    <t>Enter the volume of associated gas on row 43 of the table for production class 2a.</t>
  </si>
  <si>
    <t>Enter the volume of associated gas on row 44 of the table for production class 2a.</t>
  </si>
  <si>
    <t>Enter the volume of associated gas on row 45 of the table for production class 2a.</t>
  </si>
  <si>
    <t>Enter the volume of associated gas on row 46 of the table for production class 2a.</t>
  </si>
  <si>
    <t>Enter the volume of associated gas on row 47 of the table for production class 2a.</t>
  </si>
  <si>
    <t>Enter the volume of associated gas on row 48 of the table for production class 2a.</t>
  </si>
  <si>
    <t>Enter the volume of associated gas on row 49 of the table for production class 2a.</t>
  </si>
  <si>
    <t>Enter the volume of associated gas on row 50 of the table for production class 2a.</t>
  </si>
  <si>
    <t>I.Gas.P2aC1E1</t>
  </si>
  <si>
    <t>Enter the carbon dioxide emissions from associated gas on row 1 of the table for production class 2a.</t>
  </si>
  <si>
    <t>Enter the carbon dioxide emissions from associated gas on row 2 of the table for production class 2a.</t>
  </si>
  <si>
    <t>Enter the carbon dioxide emissions from associated gas on row 3 of the table for production class 2a.</t>
  </si>
  <si>
    <t>Enter the carbon dioxide emissions from associated gas on row 4 of the table for production class 2a.</t>
  </si>
  <si>
    <t>Enter the carbon dioxide emissions from associated gas on row 5 of the table for production class 2a.</t>
  </si>
  <si>
    <t>Enter the carbon dioxide emissions from associated gas on row 6 of the table for production class 2a.</t>
  </si>
  <si>
    <t>Enter the carbon dioxide emissions from associated gas on row 7 of the table for production class 2a.</t>
  </si>
  <si>
    <t>Enter the carbon dioxide emissions from associated gas on row 8 of the table for production class 2a.</t>
  </si>
  <si>
    <t>Enter the carbon dioxide emissions from associated gas on row 9 of the table for production class 2a.</t>
  </si>
  <si>
    <t>Enter the carbon dioxide emissions from associated gas on row 10 of the table for production class 2a.</t>
  </si>
  <si>
    <t>Enter the carbon dioxide emissions from associated gas on row 11 of the table for production class 2a.</t>
  </si>
  <si>
    <t>Enter the carbon dioxide emissions from associated gas on row 12 of the table for production class 2a.</t>
  </si>
  <si>
    <t>Enter the carbon dioxide emissions from associated gas on row 13 of the table for production class 2a.</t>
  </si>
  <si>
    <t>Enter the carbon dioxide emissions from associated gas on row 14 of the table for production class 2a.</t>
  </si>
  <si>
    <t>Enter the carbon dioxide emissions from associated gas on row 15 of the table for production class 2a.</t>
  </si>
  <si>
    <t>Enter the carbon dioxide emissions from associated gas on row 16 of the table for production class 2a.</t>
  </si>
  <si>
    <t>Enter the carbon dioxide emissions from associated gas on row 17 of the table for production class 2a.</t>
  </si>
  <si>
    <t>Enter the carbon dioxide emissions from associated gas on row 18 of the table for production class 2a.</t>
  </si>
  <si>
    <t>Enter the carbon dioxide emissions from associated gas on row 19 of the table for production class 2a.</t>
  </si>
  <si>
    <t>Enter the carbon dioxide emissions from associated gas on row 20 of the table for production class 2a.</t>
  </si>
  <si>
    <t>Enter the carbon dioxide emissions from associated gas on row 21 of the table for production class 2a.</t>
  </si>
  <si>
    <t>Enter the carbon dioxide emissions from associated gas on row 22 of the table for production class 2a.</t>
  </si>
  <si>
    <t>Enter the carbon dioxide emissions from associated gas on row 23 of the table for production class 2a.</t>
  </si>
  <si>
    <t>Enter the carbon dioxide emissions from associated gas on row 24 of the table for production class 2a.</t>
  </si>
  <si>
    <t>Enter the carbon dioxide emissions from associated gas on row 25 of the table for production class 2a.</t>
  </si>
  <si>
    <t>Enter the carbon dioxide emissions from associated gas on row 26 of the table for production class 2a.</t>
  </si>
  <si>
    <t>Enter the carbon dioxide emissions from associated gas on row 27 of the table for production class 2a.</t>
  </si>
  <si>
    <t>Enter the carbon dioxide emissions from associated gas on row 28 of the table for production class 2a.</t>
  </si>
  <si>
    <t>Enter the carbon dioxide emissions from associated gas on row 29 of the table for production class 2a.</t>
  </si>
  <si>
    <t>Enter the carbon dioxide emissions from associated gas on row 30 of the table for production class 2a.</t>
  </si>
  <si>
    <t>Enter the carbon dioxide emissions from associated gas on row 31 of the table for production class 2a.</t>
  </si>
  <si>
    <t>Enter the carbon dioxide emissions from associated gas on row 32 of the table for production class 2a.</t>
  </si>
  <si>
    <t>Enter the carbon dioxide emissions from associated gas on row 33 of the table for production class 2a.</t>
  </si>
  <si>
    <t>Enter the carbon dioxide emissions from associated gas on row 34 of the table for production class 2a.</t>
  </si>
  <si>
    <t>Enter the carbon dioxide emissions from associated gas on row 35 of the table for production class 2a.</t>
  </si>
  <si>
    <t>Enter the carbon dioxide emissions from associated gas on row 36 of the table for production class 2a.</t>
  </si>
  <si>
    <t>Enter the carbon dioxide emissions from associated gas on row 37 of the table for production class 2a.</t>
  </si>
  <si>
    <t>Enter the carbon dioxide emissions from associated gas on row 38 of the table for production class 2a.</t>
  </si>
  <si>
    <t>Enter the carbon dioxide emissions from associated gas on row 39 of the table for production class 2a.</t>
  </si>
  <si>
    <t>Enter the carbon dioxide emissions from associated gas on row 40 of the table for production class 2a.</t>
  </si>
  <si>
    <t>Enter the carbon dioxide emissions from associated gas on row 41 of the table for production class 2a.</t>
  </si>
  <si>
    <t>Enter the carbon dioxide emissions from associated gas on row 42 of the table for production class 2a.</t>
  </si>
  <si>
    <t>Enter the carbon dioxide emissions from associated gas on row 43 of the table for production class 2a.</t>
  </si>
  <si>
    <t>Enter the carbon dioxide emissions from associated gas on row 44 of the table for production class 2a.</t>
  </si>
  <si>
    <t>Enter the carbon dioxide emissions from associated gas on row 45 of the table for production class 2a.</t>
  </si>
  <si>
    <t>Enter the carbon dioxide emissions from associated gas on row 46 of the table for production class 2a.</t>
  </si>
  <si>
    <t>Enter the carbon dioxide emissions from associated gas on row 47 of the table for production class 2a.</t>
  </si>
  <si>
    <t>Enter the carbon dioxide emissions from associated gas on row 48 of the table for production class 2a.</t>
  </si>
  <si>
    <t>Enter the carbon dioxide emissions from associated gas on row 49 of the table for production class 2a.</t>
  </si>
  <si>
    <t>Enter the carbon dioxide emissions from associated gas on row 50 of the table for production class 2a.</t>
  </si>
  <si>
    <t>I.Gas.P2aC1E2</t>
  </si>
  <si>
    <t>Enter the methane emissions from associated gas on row 1 of the table for production class 2a.</t>
  </si>
  <si>
    <t>Enter the methane emissions from associated gas on row 2 of the table for production class 2a.</t>
  </si>
  <si>
    <t>Enter the methane emissions from associated gas on row 3 of the table for production class 2a.</t>
  </si>
  <si>
    <t>Enter the methane emissions from associated gas on row 4 of the table for production class 2a.</t>
  </si>
  <si>
    <t>Enter the methane emissions from associated gas on row 5 of the table for production class 2a.</t>
  </si>
  <si>
    <t>Enter the methane emissions from associated gas on row 6 of the table for production class 2a.</t>
  </si>
  <si>
    <t>Enter the methane emissions from associated gas on row 7 of the table for production class 2a.</t>
  </si>
  <si>
    <t>Enter the methane emissions from associated gas on row 8 of the table for production class 2a.</t>
  </si>
  <si>
    <t>Enter the methane emissions from associated gas on row 9 of the table for production class 2a.</t>
  </si>
  <si>
    <t>Enter the methane emissions from associated gas on row 10 of the table for production class 2a.</t>
  </si>
  <si>
    <t>Enter the methane emissions from associated gas on row 11 of the table for production class 2a.</t>
  </si>
  <si>
    <t>Enter the methane emissions from associated gas on row 12 of the table for production class 2a.</t>
  </si>
  <si>
    <t>Enter the methane emissions from associated gas on row 13 of the table for production class 2a.</t>
  </si>
  <si>
    <t>Enter the methane emissions from associated gas on row 14 of the table for production class 2a.</t>
  </si>
  <si>
    <t>Enter the methane emissions from associated gas on row 15 of the table for production class 2a.</t>
  </si>
  <si>
    <t>Enter the methane emissions from associated gas on row 16 of the table for production class 2a.</t>
  </si>
  <si>
    <t>Enter the methane emissions from associated gas on row 17 of the table for production class 2a.</t>
  </si>
  <si>
    <t>Enter the methane emissions from associated gas on row 18 of the table for production class 2a.</t>
  </si>
  <si>
    <t>Enter the methane emissions from associated gas on row 19 of the table for production class 2a.</t>
  </si>
  <si>
    <t>Enter the methane emissions from associated gas on row 20 of the table for production class 2a.</t>
  </si>
  <si>
    <t>Enter the methane emissions from associated gas on row 21 of the table for production class 2a.</t>
  </si>
  <si>
    <t>Enter the methane emissions from associated gas on row 22 of the table for production class 2a.</t>
  </si>
  <si>
    <t>Enter the methane emissions from associated gas on row 23 of the table for production class 2a.</t>
  </si>
  <si>
    <t>Enter the methane emissions from associated gas on row 24 of the table for production class 2a.</t>
  </si>
  <si>
    <t>Enter the methane emissions from associated gas on row 25 of the table for production class 2a.</t>
  </si>
  <si>
    <t>Enter the methane emissions from associated gas on row 26 of the table for production class 2a.</t>
  </si>
  <si>
    <t>Enter the methane emissions from associated gas on row 27 of the table for production class 2a.</t>
  </si>
  <si>
    <t>Enter the methane emissions from associated gas on row 28 of the table for production class 2a.</t>
  </si>
  <si>
    <t>Enter the methane emissions from associated gas on row 29 of the table for production class 2a.</t>
  </si>
  <si>
    <t>Enter the methane emissions from associated gas on row 30 of the table for production class 2a.</t>
  </si>
  <si>
    <t>Enter the methane emissions from associated gas on row 31 of the table for production class 2a.</t>
  </si>
  <si>
    <t>Enter the methane emissions from associated gas on row 32 of the table for production class 2a.</t>
  </si>
  <si>
    <t>Enter the methane emissions from associated gas on row 33 of the table for production class 2a.</t>
  </si>
  <si>
    <t>Enter the methane emissions from associated gas on row 34 of the table for production class 2a.</t>
  </si>
  <si>
    <t>Enter the methane emissions from associated gas on row 35 of the table for production class 2a.</t>
  </si>
  <si>
    <t>Enter the methane emissions from associated gas on row 36 of the table for production class 2a.</t>
  </si>
  <si>
    <t>Enter the methane emissions from associated gas on row 37 of the table for production class 2a.</t>
  </si>
  <si>
    <t>Enter the methane emissions from associated gas on row 38 of the table for production class 2a.</t>
  </si>
  <si>
    <t>Enter the methane emissions from associated gas on row 39 of the table for production class 2a.</t>
  </si>
  <si>
    <t>Enter the methane emissions from associated gas on row 40 of the table for production class 2a.</t>
  </si>
  <si>
    <t>Enter the methane emissions from associated gas on row 41 of the table for production class 2a.</t>
  </si>
  <si>
    <t>Enter the methane emissions from associated gas on row 42 of the table for production class 2a.</t>
  </si>
  <si>
    <t>Enter the methane emissions from associated gas on row 43 of the table for production class 2a.</t>
  </si>
  <si>
    <t>Enter the methane emissions from associated gas on row 44 of the table for production class 2a.</t>
  </si>
  <si>
    <t>Enter the methane emissions from associated gas on row 45 of the table for production class 2a.</t>
  </si>
  <si>
    <t>Enter the methane emissions from associated gas on row 46 of the table for production class 2a.</t>
  </si>
  <si>
    <t>Enter the methane emissions from associated gas on row 47 of the table for production class 2a.</t>
  </si>
  <si>
    <t>Enter the methane emissions from associated gas on row 48 of the table for production class 2a.</t>
  </si>
  <si>
    <t>Enter the methane emissions from associated gas on row 49 of the table for production class 2a.</t>
  </si>
  <si>
    <t>Enter the methane emissions from associated gas on row 50 of the table for production class 2a.</t>
  </si>
  <si>
    <t>I.Gas.P2aC1E3</t>
  </si>
  <si>
    <t>Enter the nitrous oxide emissions from associated gas on row 1 of the table for production class 2a.</t>
  </si>
  <si>
    <t>Enter the nitrous oxide emissions from associated gas on row 2 of the table for production class 2a.</t>
  </si>
  <si>
    <t>Enter the nitrous oxide emissions from associated gas on row 3 of the table for production class 2a.</t>
  </si>
  <si>
    <t>Enter the nitrous oxide emissions from associated gas on row 4 of the table for production class 2a.</t>
  </si>
  <si>
    <t>Enter the nitrous oxide emissions from associated gas on row 5 of the table for production class 2a.</t>
  </si>
  <si>
    <t>Enter the nitrous oxide emissions from associated gas on row 6 of the table for production class 2a.</t>
  </si>
  <si>
    <t>Enter the nitrous oxide emissions from associated gas on row 7 of the table for production class 2a.</t>
  </si>
  <si>
    <t>Enter the nitrous oxide emissions from associated gas on row 8 of the table for production class 2a.</t>
  </si>
  <si>
    <t>Enter the nitrous oxide emissions from associated gas on row 9 of the table for production class 2a.</t>
  </si>
  <si>
    <t>Enter the nitrous oxide emissions from associated gas on row 10 of the table for production class 2a.</t>
  </si>
  <si>
    <t>Enter the nitrous oxide emissions from associated gas on row 11 of the table for production class 2a.</t>
  </si>
  <si>
    <t>Enter the nitrous oxide emissions from associated gas on row 12 of the table for production class 2a.</t>
  </si>
  <si>
    <t>Enter the nitrous oxide emissions from associated gas on row 13 of the table for production class 2a.</t>
  </si>
  <si>
    <t>Enter the nitrous oxide emissions from associated gas on row 14 of the table for production class 2a.</t>
  </si>
  <si>
    <t>Enter the nitrous oxide emissions from associated gas on row 15 of the table for production class 2a.</t>
  </si>
  <si>
    <t>Enter the nitrous oxide emissions from associated gas on row 16 of the table for production class 2a.</t>
  </si>
  <si>
    <t>Enter the nitrous oxide emissions from associated gas on row 17 of the table for production class 2a.</t>
  </si>
  <si>
    <t>Enter the nitrous oxide emissions from associated gas on row 18 of the table for production class 2a.</t>
  </si>
  <si>
    <t>Enter the nitrous oxide emissions from associated gas on row 19 of the table for production class 2a.</t>
  </si>
  <si>
    <t>Enter the nitrous oxide emissions from associated gas on row 20 of the table for production class 2a.</t>
  </si>
  <si>
    <t>Enter the nitrous oxide emissions from associated gas on row 21 of the table for production class 2a.</t>
  </si>
  <si>
    <t>Enter the nitrous oxide emissions from associated gas on row 22 of the table for production class 2a.</t>
  </si>
  <si>
    <t>Enter the nitrous oxide emissions from associated gas on row 23 of the table for production class 2a.</t>
  </si>
  <si>
    <t>Enter the nitrous oxide emissions from associated gas on row 24 of the table for production class 2a.</t>
  </si>
  <si>
    <t>Enter the nitrous oxide emissions from associated gas on row 25 of the table for production class 2a.</t>
  </si>
  <si>
    <t>Enter the nitrous oxide emissions from associated gas on row 26 of the table for production class 2a.</t>
  </si>
  <si>
    <t>Enter the nitrous oxide emissions from associated gas on row 27 of the table for production class 2a.</t>
  </si>
  <si>
    <t>Enter the nitrous oxide emissions from associated gas on row 28 of the table for production class 2a.</t>
  </si>
  <si>
    <t>Enter the nitrous oxide emissions from associated gas on row 29 of the table for production class 2a.</t>
  </si>
  <si>
    <t>Enter the nitrous oxide emissions from associated gas on row 30 of the table for production class 2a.</t>
  </si>
  <si>
    <t>Enter the nitrous oxide emissions from associated gas on row 31 of the table for production class 2a.</t>
  </si>
  <si>
    <t>Enter the nitrous oxide emissions from associated gas on row 32 of the table for production class 2a.</t>
  </si>
  <si>
    <t>Enter the nitrous oxide emissions from associated gas on row 33 of the table for production class 2a.</t>
  </si>
  <si>
    <t>Enter the nitrous oxide emissions from associated gas on row 34 of the table for production class 2a.</t>
  </si>
  <si>
    <t>Enter the nitrous oxide emissions from associated gas on row 35 of the table for production class 2a.</t>
  </si>
  <si>
    <t>Enter the nitrous oxide emissions from associated gas on row 36 of the table for production class 2a.</t>
  </si>
  <si>
    <t>Enter the nitrous oxide emissions from associated gas on row 37 of the table for production class 2a.</t>
  </si>
  <si>
    <t>Enter the nitrous oxide emissions from associated gas on row 38 of the table for production class 2a.</t>
  </si>
  <si>
    <t>Enter the nitrous oxide emissions from associated gas on row 39 of the table for production class 2a.</t>
  </si>
  <si>
    <t>Enter the nitrous oxide emissions from associated gas on row 40 of the table for production class 2a.</t>
  </si>
  <si>
    <t>Enter the nitrous oxide emissions from associated gas on row 41 of the table for production class 2a.</t>
  </si>
  <si>
    <t>Enter the nitrous oxide emissions from associated gas on row 42 of the table for production class 2a.</t>
  </si>
  <si>
    <t>Enter the nitrous oxide emissions from associated gas on row 43 of the table for production class 2a.</t>
  </si>
  <si>
    <t>Enter the nitrous oxide emissions from associated gas on row 44 of the table for production class 2a.</t>
  </si>
  <si>
    <t>Enter the nitrous oxide emissions from associated gas on row 45 of the table for production class 2a.</t>
  </si>
  <si>
    <t>Enter the nitrous oxide emissions from associated gas on row 46 of the table for production class 2a.</t>
  </si>
  <si>
    <t>Enter the nitrous oxide emissions from associated gas on row 47 of the table for production class 2a.</t>
  </si>
  <si>
    <t>Enter the nitrous oxide emissions from associated gas on row 48 of the table for production class 2a.</t>
  </si>
  <si>
    <t>Enter the nitrous oxide emissions from associated gas on row 49 of the table for production class 2a.</t>
  </si>
  <si>
    <t>Enter the nitrous oxide emissions from associated gas on row 50 of the table for production class 2a.</t>
  </si>
  <si>
    <t>I.Gas.P2bCount</t>
  </si>
  <si>
    <t>Enter the number of units within the gas-to-power operation for production class 2b.</t>
  </si>
  <si>
    <t>I.Gas.P2bAssociatedGasEnergy</t>
  </si>
  <si>
    <t>Enter the energy in the combusted associated gas on row 1 of the table for production class 2b.</t>
  </si>
  <si>
    <t>Enter the energy in the combusted associated gas on row 2 of the table for production class 2b.</t>
  </si>
  <si>
    <t>Enter the energy in the combusted associated gas on row 3 of the table for production class 2b.</t>
  </si>
  <si>
    <t>Enter the energy in the combusted associated gas on row 4 of the table for production class 2b.</t>
  </si>
  <si>
    <t>Enter the energy in the combusted associated gas on row 5 of the table for production class 2b.</t>
  </si>
  <si>
    <t>Enter the energy in the combusted associated gas on row 6 of the table for production class 2b.</t>
  </si>
  <si>
    <t>Enter the energy in the combusted associated gas on row 7 of the table for production class 2b.</t>
  </si>
  <si>
    <t>Enter the energy in the combusted associated gas on row 8 of the table for production class 2b.</t>
  </si>
  <si>
    <t>Enter the energy in the combusted associated gas on row 9 of the table for production class 2b.</t>
  </si>
  <si>
    <t>Enter the energy in the combusted associated gas on row 10 of the table for production class 2b.</t>
  </si>
  <si>
    <t>Enter the energy in the combusted associated gas on row 11 of the table for production class 2b.</t>
  </si>
  <si>
    <t>Enter the energy in the combusted associated gas on row 12 of the table for production class 2b.</t>
  </si>
  <si>
    <t>Enter the energy in the combusted associated gas on row 13 of the table for production class 2b.</t>
  </si>
  <si>
    <t>Enter the energy in the combusted associated gas on row 14 of the table for production class 2b.</t>
  </si>
  <si>
    <t>Enter the energy in the combusted associated gas on row 15 of the table for production class 2b.</t>
  </si>
  <si>
    <t>Enter the energy in the combusted associated gas on row 16 of the table for production class 2b.</t>
  </si>
  <si>
    <t>Enter the energy in the combusted associated gas on row 17 of the table for production class 2b.</t>
  </si>
  <si>
    <t>Enter the energy in the combusted associated gas on row 18 of the table for production class 2b.</t>
  </si>
  <si>
    <t>Enter the energy in the combusted associated gas on row 19 of the table for production class 2b.</t>
  </si>
  <si>
    <t>Enter the energy in the combusted associated gas on row 20 of the table for production class 2b.</t>
  </si>
  <si>
    <t>Enter the energy in the combusted associated gas on row 21 of the table for production class 2b.</t>
  </si>
  <si>
    <t>Enter the energy in the combusted associated gas on row 22 of the table for production class 2b.</t>
  </si>
  <si>
    <t>Enter the energy in the combusted associated gas on row 23 of the table for production class 2b.</t>
  </si>
  <si>
    <t>Enter the energy in the combusted associated gas on row 24 of the table for production class 2b.</t>
  </si>
  <si>
    <t>Enter the energy in the combusted associated gas on row 25 of the table for production class 2b.</t>
  </si>
  <si>
    <t>Enter the energy in the combusted associated gas on row 26 of the table for production class 2b.</t>
  </si>
  <si>
    <t>Enter the energy in the combusted associated gas on row 27 of the table for production class 2b.</t>
  </si>
  <si>
    <t>Enter the energy in the combusted associated gas on row 28 of the table for production class 2b.</t>
  </si>
  <si>
    <t>Enter the energy in the combusted associated gas on row 29 of the table for production class 2b.</t>
  </si>
  <si>
    <t>Enter the energy in the combusted associated gas on row 30 of the table for production class 2b.</t>
  </si>
  <si>
    <t>Enter the energy in the combusted associated gas on row 31 of the table for production class 2b.</t>
  </si>
  <si>
    <t>Enter the energy in the combusted associated gas on row 32 of the table for production class 2b.</t>
  </si>
  <si>
    <t>Enter the energy in the combusted associated gas on row 33 of the table for production class 2b.</t>
  </si>
  <si>
    <t>Enter the energy in the combusted associated gas on row 34 of the table for production class 2b.</t>
  </si>
  <si>
    <t>Enter the energy in the combusted associated gas on row 35 of the table for production class 2b.</t>
  </si>
  <si>
    <t>Enter the energy in the combusted associated gas on row 36 of the table for production class 2b.</t>
  </si>
  <si>
    <t>Enter the energy in the combusted associated gas on row 37 of the table for production class 2b.</t>
  </si>
  <si>
    <t>Enter the energy in the combusted associated gas on row 38 of the table for production class 2b.</t>
  </si>
  <si>
    <t>Enter the energy in the combusted associated gas on row 39 of the table for production class 2b.</t>
  </si>
  <si>
    <t>Enter the energy in the combusted associated gas on row 40 of the table for production class 2b.</t>
  </si>
  <si>
    <t>Enter the energy in the combusted associated gas on row 41 of the table for production class 2b.</t>
  </si>
  <si>
    <t>Enter the energy in the combusted associated gas on row 42 of the table for production class 2b.</t>
  </si>
  <si>
    <t>Enter the energy in the combusted associated gas on row 43 of the table for production class 2b.</t>
  </si>
  <si>
    <t>Enter the energy in the combusted associated gas on row 44 of the table for production class 2b.</t>
  </si>
  <si>
    <t>Enter the energy in the combusted associated gas on row 45 of the table for production class 2b.</t>
  </si>
  <si>
    <t>Enter the energy in the combusted associated gas on row 46 of the table for production class 2b.</t>
  </si>
  <si>
    <t>Enter the energy in the combusted associated gas on row 47 of the table for production class 2b.</t>
  </si>
  <si>
    <t>Enter the energy in the combusted associated gas on row 48 of the table for production class 2b.</t>
  </si>
  <si>
    <t>Enter the energy in the combusted associated gas on row 49 of the table for production class 2b.</t>
  </si>
  <si>
    <t>Enter the energy in the combusted associated gas on row 50 of the table for production class 2b.</t>
  </si>
  <si>
    <t>I.Gas.P2bTotalGasEnergy</t>
  </si>
  <si>
    <t>Enter the total energy in all combusted fuel on row 1 of the table for production class 2b.</t>
  </si>
  <si>
    <t>Enter the total energy in all combusted fuel on row 2 of the table for production class 2b.</t>
  </si>
  <si>
    <t>Enter the total energy in all combusted fuel on row 3 of the table for production class 2b.</t>
  </si>
  <si>
    <t>Enter the total energy in all combusted fuel on row 4 of the table for production class 2b.</t>
  </si>
  <si>
    <t>Enter the total energy in all combusted fuel on row 5 of the table for production class 2b.</t>
  </si>
  <si>
    <t>Enter the total energy in all combusted fuel on row 6 of the table for production class 2b.</t>
  </si>
  <si>
    <t>Enter the total energy in all combusted fuel on row 7 of the table for production class 2b.</t>
  </si>
  <si>
    <t>Enter the total energy in all combusted fuel on row 8 of the table for production class 2b.</t>
  </si>
  <si>
    <t>Enter the total energy in all combusted fuel on row 9 of the table for production class 2b.</t>
  </si>
  <si>
    <t>Enter the total energy in all combusted fuel on row 10 of the table for production class 2b.</t>
  </si>
  <si>
    <t>Enter the total energy in all combusted fuel on row 11 of the table for production class 2b.</t>
  </si>
  <si>
    <t>Enter the total energy in all combusted fuel on row 12 of the table for production class 2b.</t>
  </si>
  <si>
    <t>Enter the total energy in all combusted fuel on row 13 of the table for production class 2b.</t>
  </si>
  <si>
    <t>Enter the total energy in all combusted fuel on row 14 of the table for production class 2b.</t>
  </si>
  <si>
    <t>Enter the total energy in all combusted fuel on row 15 of the table for production class 2b.</t>
  </si>
  <si>
    <t>Enter the total energy in all combusted fuel on row 16 of the table for production class 2b.</t>
  </si>
  <si>
    <t>Enter the total energy in all combusted fuel on row 17 of the table for production class 2b.</t>
  </si>
  <si>
    <t>Enter the total energy in all combusted fuel on row 18 of the table for production class 2b.</t>
  </si>
  <si>
    <t>Enter the total energy in all combusted fuel on row 19 of the table for production class 2b.</t>
  </si>
  <si>
    <t>Enter the total energy in all combusted fuel on row 20 of the table for production class 2b.</t>
  </si>
  <si>
    <t>Enter the total energy in all combusted fuel on row 21 of the table for production class 2b.</t>
  </si>
  <si>
    <t>Enter the total energy in all combusted fuel on row 22 of the table for production class 2b.</t>
  </si>
  <si>
    <t>Enter the total energy in all combusted fuel on row 23 of the table for production class 2b.</t>
  </si>
  <si>
    <t>Enter the total energy in all combusted fuel on row 24 of the table for production class 2b.</t>
  </si>
  <si>
    <t>Enter the total energy in all combusted fuel on row 25 of the table for production class 2b.</t>
  </si>
  <si>
    <t>Enter the total energy in all combusted fuel on row 26 of the table for production class 2b.</t>
  </si>
  <si>
    <t>Enter the total energy in all combusted fuel on row 27 of the table for production class 2b.</t>
  </si>
  <si>
    <t>Enter the total energy in all combusted fuel on row 28 of the table for production class 2b.</t>
  </si>
  <si>
    <t>Enter the total energy in all combusted fuel on row 29 of the table for production class 2b.</t>
  </si>
  <si>
    <t>Enter the total energy in all combusted fuel on row 30 of the table for production class 2b.</t>
  </si>
  <si>
    <t>Enter the total energy in all combusted fuel on row 31 of the table for production class 2b.</t>
  </si>
  <si>
    <t>Enter the total energy in all combusted fuel on row 32 of the table for production class 2b.</t>
  </si>
  <si>
    <t>Enter the total energy in all combusted fuel on row 33 of the table for production class 2b.</t>
  </si>
  <si>
    <t>Enter the total energy in all combusted fuel on row 34 of the table for production class 2b.</t>
  </si>
  <si>
    <t>Enter the total energy in all combusted fuel on row 35 of the table for production class 2b.</t>
  </si>
  <si>
    <t>Enter the total energy in all combusted fuel on row 36 of the table for production class 2b.</t>
  </si>
  <si>
    <t>Enter the total energy in all combusted fuel on row 37 of the table for production class 2b.</t>
  </si>
  <si>
    <t>Enter the total energy in all combusted fuel on row 38 of the table for production class 2b.</t>
  </si>
  <si>
    <t>Enter the total energy in all combusted fuel on row 39 of the table for production class 2b.</t>
  </si>
  <si>
    <t>Enter the total energy in all combusted fuel on row 40 of the table for production class 2b.</t>
  </si>
  <si>
    <t>Enter the total energy in all combusted fuel on row 41 of the table for production class 2b.</t>
  </si>
  <si>
    <t>Enter the total energy in all combusted fuel on row 42 of the table for production class 2b.</t>
  </si>
  <si>
    <t>Enter the total energy in all combusted fuel on row 43 of the table for production class 2b.</t>
  </si>
  <si>
    <t>Enter the total energy in all combusted fuel on row 44 of the table for production class 2b.</t>
  </si>
  <si>
    <t>Enter the total energy in all combusted fuel on row 45 of the table for production class 2b.</t>
  </si>
  <si>
    <t>Enter the total energy in all combusted fuel on row 46 of the table for production class 2b.</t>
  </si>
  <si>
    <t>Enter the total energy in all combusted fuel on row 47 of the table for production class 2b.</t>
  </si>
  <si>
    <t>Enter the total energy in all combusted fuel on row 48 of the table for production class 2b.</t>
  </si>
  <si>
    <t>Enter the total energy in all combusted fuel on row 49 of the table for production class 2b.</t>
  </si>
  <si>
    <t>Enter the total energy in all combusted fuel on row 50 of the table for production class 2b.</t>
  </si>
  <si>
    <t>I.Gas.P2bElectricityGeneration</t>
  </si>
  <si>
    <t>Enter the total electricity generation from all combusted fuel on row 1 of the table for production class 2b.</t>
  </si>
  <si>
    <t>Enter the total electricity generation from all combusted fuel on row 2 of the table for production class 2b.</t>
  </si>
  <si>
    <t>Enter the total electricity generation from all combusted fuel on row 3 of the table for production class 2b.</t>
  </si>
  <si>
    <t>Enter the total electricity generation from all combusted fuel on row 4 of the table for production class 2b.</t>
  </si>
  <si>
    <t>Enter the total electricity generation from all combusted fuel on row 5 of the table for production class 2b.</t>
  </si>
  <si>
    <t>Enter the total electricity generation from all combusted fuel on row 6 of the table for production class 2b.</t>
  </si>
  <si>
    <t>Enter the total electricity generation from all combusted fuel on row 7 of the table for production class 2b.</t>
  </si>
  <si>
    <t>Enter the total electricity generation from all combusted fuel on row 8 of the table for production class 2b.</t>
  </si>
  <si>
    <t>Enter the total electricity generation from all combusted fuel on row 9 of the table for production class 2b.</t>
  </si>
  <si>
    <t>Enter the total electricity generation from all combusted fuel on row 10 of the table for production class 2b.</t>
  </si>
  <si>
    <t>Enter the total electricity generation from all combusted fuel on row 11 of the table for production class 2b.</t>
  </si>
  <si>
    <t>Enter the total electricity generation from all combusted fuel on row 12 of the table for production class 2b.</t>
  </si>
  <si>
    <t>Enter the total electricity generation from all combusted fuel on row 13 of the table for production class 2b.</t>
  </si>
  <si>
    <t>Enter the total electricity generation from all combusted fuel on row 14 of the table for production class 2b.</t>
  </si>
  <si>
    <t>Enter the total electricity generation from all combusted fuel on row 15 of the table for production class 2b.</t>
  </si>
  <si>
    <t>Enter the total electricity generation from all combusted fuel on row 16 of the table for production class 2b.</t>
  </si>
  <si>
    <t>Enter the total electricity generation from all combusted fuel on row 17 of the table for production class 2b.</t>
  </si>
  <si>
    <t>Enter the total electricity generation from all combusted fuel on row 18 of the table for production class 2b.</t>
  </si>
  <si>
    <t>Enter the total electricity generation from all combusted fuel on row 19 of the table for production class 2b.</t>
  </si>
  <si>
    <t>Enter the total electricity generation from all combusted fuel on row 20 of the table for production class 2b.</t>
  </si>
  <si>
    <t>Enter the total electricity generation from all combusted fuel on row 21 of the table for production class 2b.</t>
  </si>
  <si>
    <t>Enter the total electricity generation from all combusted fuel on row 22 of the table for production class 2b.</t>
  </si>
  <si>
    <t>Enter the total electricity generation from all combusted fuel on row 23 of the table for production class 2b.</t>
  </si>
  <si>
    <t>Enter the total electricity generation from all combusted fuel on row 24 of the table for production class 2b.</t>
  </si>
  <si>
    <t>Enter the total electricity generation from all combusted fuel on row 25 of the table for production class 2b.</t>
  </si>
  <si>
    <t>Enter the total electricity generation from all combusted fuel on row 26 of the table for production class 2b.</t>
  </si>
  <si>
    <t>Enter the total electricity generation from all combusted fuel on row 27 of the table for production class 2b.</t>
  </si>
  <si>
    <t>Enter the total electricity generation from all combusted fuel on row 28 of the table for production class 2b.</t>
  </si>
  <si>
    <t>Enter the total electricity generation from all combusted fuel on row 29 of the table for production class 2b.</t>
  </si>
  <si>
    <t>Enter the total electricity generation from all combusted fuel on row 30 of the table for production class 2b.</t>
  </si>
  <si>
    <t>Enter the total electricity generation from all combusted fuel on row 31 of the table for production class 2b.</t>
  </si>
  <si>
    <t>Enter the total electricity generation from all combusted fuel on row 32 of the table for production class 2b.</t>
  </si>
  <si>
    <t>Enter the total electricity generation from all combusted fuel on row 33 of the table for production class 2b.</t>
  </si>
  <si>
    <t>Enter the total electricity generation from all combusted fuel on row 34 of the table for production class 2b.</t>
  </si>
  <si>
    <t>Enter the total electricity generation from all combusted fuel on row 35 of the table for production class 2b.</t>
  </si>
  <si>
    <t>Enter the total electricity generation from all combusted fuel on row 36 of the table for production class 2b.</t>
  </si>
  <si>
    <t>Enter the total electricity generation from all combusted fuel on row 37 of the table for production class 2b.</t>
  </si>
  <si>
    <t>Enter the total electricity generation from all combusted fuel on row 38 of the table for production class 2b.</t>
  </si>
  <si>
    <t>Enter the total electricity generation from all combusted fuel on row 39 of the table for production class 2b.</t>
  </si>
  <si>
    <t>Enter the total electricity generation from all combusted fuel on row 40 of the table for production class 2b.</t>
  </si>
  <si>
    <t>Enter the total electricity generation from all combusted fuel on row 41 of the table for production class 2b.</t>
  </si>
  <si>
    <t>Enter the total electricity generation from all combusted fuel on row 42 of the table for production class 2b.</t>
  </si>
  <si>
    <t>Enter the total electricity generation from all combusted fuel on row 43 of the table for production class 2b.</t>
  </si>
  <si>
    <t>Enter the total electricity generation from all combusted fuel on row 44 of the table for production class 2b.</t>
  </si>
  <si>
    <t>Enter the total electricity generation from all combusted fuel on row 45 of the table for production class 2b.</t>
  </si>
  <si>
    <t>Enter the total electricity generation from all combusted fuel on row 46 of the table for production class 2b.</t>
  </si>
  <si>
    <t>Enter the total electricity generation from all combusted fuel on row 47 of the table for production class 2b.</t>
  </si>
  <si>
    <t>Enter the total electricity generation from all combusted fuel on row 48 of the table for production class 2b.</t>
  </si>
  <si>
    <t>Enter the total electricity generation from all combusted fuel on row 49 of the table for production class 2b.</t>
  </si>
  <si>
    <t>Enter the total electricity generation from all combusted fuel on row 50 of the table for production class 2b.</t>
  </si>
  <si>
    <t>I.Gas.P2bC1V1</t>
  </si>
  <si>
    <t>Enter the volume of associated gas on row 1 of the table for production class 2b.</t>
  </si>
  <si>
    <t>Enter the volume of associated gas on row 2 of the table for production class 2b.</t>
  </si>
  <si>
    <t>Enter the volume of associated gas on row 3 of the table for production class 2b.</t>
  </si>
  <si>
    <t>Enter the volume of associated gas on row 4 of the table for production class 2b.</t>
  </si>
  <si>
    <t>Enter the volume of associated gas on row 5 of the table for production class 2b.</t>
  </si>
  <si>
    <t>Enter the volume of associated gas on row 6 of the table for production class 2b.</t>
  </si>
  <si>
    <t>Enter the volume of associated gas on row 7 of the table for production class 2b.</t>
  </si>
  <si>
    <t>Enter the volume of associated gas on row 8 of the table for production class 2b.</t>
  </si>
  <si>
    <t>Enter the volume of associated gas on row 9 of the table for production class 2b.</t>
  </si>
  <si>
    <t>Enter the volume of associated gas on row 10 of the table for production class 2b.</t>
  </si>
  <si>
    <t>Enter the volume of associated gas on row 11 of the table for production class 2b.</t>
  </si>
  <si>
    <t>Enter the volume of associated gas on row 12 of the table for production class 2b.</t>
  </si>
  <si>
    <t>Enter the volume of associated gas on row 13 of the table for production class 2b.</t>
  </si>
  <si>
    <t>Enter the volume of associated gas on row 14 of the table for production class 2b.</t>
  </si>
  <si>
    <t>Enter the volume of associated gas on row 15 of the table for production class 2b.</t>
  </si>
  <si>
    <t>Enter the volume of associated gas on row 16 of the table for production class 2b.</t>
  </si>
  <si>
    <t>Enter the volume of associated gas on row 17 of the table for production class 2b.</t>
  </si>
  <si>
    <t>Enter the volume of associated gas on row 18 of the table for production class 2b.</t>
  </si>
  <si>
    <t>Enter the volume of associated gas on row 19 of the table for production class 2b.</t>
  </si>
  <si>
    <t>Enter the volume of associated gas on row 20 of the table for production class 2b.</t>
  </si>
  <si>
    <t>Enter the volume of associated gas on row 21 of the table for production class 2b.</t>
  </si>
  <si>
    <t>Enter the volume of associated gas on row 22 of the table for production class 2b.</t>
  </si>
  <si>
    <t>Enter the volume of associated gas on row 23 of the table for production class 2b.</t>
  </si>
  <si>
    <t>Enter the volume of associated gas on row 24 of the table for production class 2b.</t>
  </si>
  <si>
    <t>Enter the volume of associated gas on row 25 of the table for production class 2b.</t>
  </si>
  <si>
    <t>Enter the volume of associated gas on row 26 of the table for production class 2b.</t>
  </si>
  <si>
    <t>Enter the volume of associated gas on row 27 of the table for production class 2b.</t>
  </si>
  <si>
    <t>Enter the volume of associated gas on row 28 of the table for production class 2b.</t>
  </si>
  <si>
    <t>Enter the volume of associated gas on row 29 of the table for production class 2b.</t>
  </si>
  <si>
    <t>Enter the volume of associated gas on row 30 of the table for production class 2b.</t>
  </si>
  <si>
    <t>Enter the volume of associated gas on row 31 of the table for production class 2b.</t>
  </si>
  <si>
    <t>Enter the volume of associated gas on row 32 of the table for production class 2b.</t>
  </si>
  <si>
    <t>Enter the volume of associated gas on row 33 of the table for production class 2b.</t>
  </si>
  <si>
    <t>Enter the volume of associated gas on row 34 of the table for production class 2b.</t>
  </si>
  <si>
    <t>Enter the volume of associated gas on row 35 of the table for production class 2b.</t>
  </si>
  <si>
    <t>Enter the volume of associated gas on row 36 of the table for production class 2b.</t>
  </si>
  <si>
    <t>Enter the volume of associated gas on row 37 of the table for production class 2b.</t>
  </si>
  <si>
    <t>Enter the volume of associated gas on row 38 of the table for production class 2b.</t>
  </si>
  <si>
    <t>Enter the volume of associated gas on row 39 of the table for production class 2b.</t>
  </si>
  <si>
    <t>Enter the volume of associated gas on row 40 of the table for production class 2b.</t>
  </si>
  <si>
    <t>Enter the volume of associated gas on row 41 of the table for production class 2b.</t>
  </si>
  <si>
    <t>Enter the volume of associated gas on row 42 of the table for production class 2b.</t>
  </si>
  <si>
    <t>Enter the volume of associated gas on row 43 of the table for production class 2b.</t>
  </si>
  <si>
    <t>Enter the volume of associated gas on row 44 of the table for production class 2b.</t>
  </si>
  <si>
    <t>Enter the volume of associated gas on row 45 of the table for production class 2b.</t>
  </si>
  <si>
    <t>Enter the volume of associated gas on row 46 of the table for production class 2b.</t>
  </si>
  <si>
    <t>Enter the volume of associated gas on row 47 of the table for production class 2b.</t>
  </si>
  <si>
    <t>Enter the volume of associated gas on row 48 of the table for production class 2b.</t>
  </si>
  <si>
    <t>Enter the volume of associated gas on row 49 of the table for production class 2b.</t>
  </si>
  <si>
    <t>Enter the volume of associated gas on row 50 of the table for production class 2b.</t>
  </si>
  <si>
    <t>I.Gas.P2bC1E1</t>
  </si>
  <si>
    <t>Enter the carbon dioxide emissions from associated gas on row 1 of the table for production class 2b.</t>
  </si>
  <si>
    <t>Enter the carbon dioxide emissions from associated gas on row 2 of the table for production class 2b.</t>
  </si>
  <si>
    <t>Enter the carbon dioxide emissions from associated gas on row 3 of the table for production class 2b.</t>
  </si>
  <si>
    <t>Enter the carbon dioxide emissions from associated gas on row 4 of the table for production class 2b.</t>
  </si>
  <si>
    <t>Enter the carbon dioxide emissions from associated gas on row 5 of the table for production class 2b.</t>
  </si>
  <si>
    <t>Enter the carbon dioxide emissions from associated gas on row 6 of the table for production class 2b.</t>
  </si>
  <si>
    <t>Enter the carbon dioxide emissions from associated gas on row 7 of the table for production class 2b.</t>
  </si>
  <si>
    <t>Enter the carbon dioxide emissions from associated gas on row 8 of the table for production class 2b.</t>
  </si>
  <si>
    <t>Enter the carbon dioxide emissions from associated gas on row 9 of the table for production class 2b.</t>
  </si>
  <si>
    <t>Enter the carbon dioxide emissions from associated gas on row 10 of the table for production class 2b.</t>
  </si>
  <si>
    <t>Enter the carbon dioxide emissions from associated gas on row 11 of the table for production class 2b.</t>
  </si>
  <si>
    <t>Enter the carbon dioxide emissions from associated gas on row 12 of the table for production class 2b.</t>
  </si>
  <si>
    <t>Enter the carbon dioxide emissions from associated gas on row 13 of the table for production class 2b.</t>
  </si>
  <si>
    <t>Enter the carbon dioxide emissions from associated gas on row 14 of the table for production class 2b.</t>
  </si>
  <si>
    <t>Enter the carbon dioxide emissions from associated gas on row 15 of the table for production class 2b.</t>
  </si>
  <si>
    <t>Enter the carbon dioxide emissions from associated gas on row 16 of the table for production class 2b.</t>
  </si>
  <si>
    <t>Enter the carbon dioxide emissions from associated gas on row 17 of the table for production class 2b.</t>
  </si>
  <si>
    <t>Enter the carbon dioxide emissions from associated gas on row 18 of the table for production class 2b.</t>
  </si>
  <si>
    <t>Enter the carbon dioxide emissions from associated gas on row 19 of the table for production class 2b.</t>
  </si>
  <si>
    <t>Enter the carbon dioxide emissions from associated gas on row 20 of the table for production class 2b.</t>
  </si>
  <si>
    <t>Enter the carbon dioxide emissions from associated gas on row 21 of the table for production class 2b.</t>
  </si>
  <si>
    <t>Enter the carbon dioxide emissions from associated gas on row 22 of the table for production class 2b.</t>
  </si>
  <si>
    <t>Enter the carbon dioxide emissions from associated gas on row 23 of the table for production class 2b.</t>
  </si>
  <si>
    <t>Enter the carbon dioxide emissions from associated gas on row 24 of the table for production class 2b.</t>
  </si>
  <si>
    <t>Enter the carbon dioxide emissions from associated gas on row 25 of the table for production class 2b.</t>
  </si>
  <si>
    <t>Enter the carbon dioxide emissions from associated gas on row 26 of the table for production class 2b.</t>
  </si>
  <si>
    <t>Enter the carbon dioxide emissions from associated gas on row 27 of the table for production class 2b.</t>
  </si>
  <si>
    <t>Enter the carbon dioxide emissions from associated gas on row 28 of the table for production class 2b.</t>
  </si>
  <si>
    <t>Enter the carbon dioxide emissions from associated gas on row 29 of the table for production class 2b.</t>
  </si>
  <si>
    <t>Enter the carbon dioxide emissions from associated gas on row 30 of the table for production class 2b.</t>
  </si>
  <si>
    <t>Enter the carbon dioxide emissions from associated gas on row 31 of the table for production class 2b.</t>
  </si>
  <si>
    <t>Enter the carbon dioxide emissions from associated gas on row 32 of the table for production class 2b.</t>
  </si>
  <si>
    <t>Enter the carbon dioxide emissions from associated gas on row 33 of the table for production class 2b.</t>
  </si>
  <si>
    <t>Enter the carbon dioxide emissions from associated gas on row 34 of the table for production class 2b.</t>
  </si>
  <si>
    <t>Enter the carbon dioxide emissions from associated gas on row 35 of the table for production class 2b.</t>
  </si>
  <si>
    <t>Enter the carbon dioxide emissions from associated gas on row 36 of the table for production class 2b.</t>
  </si>
  <si>
    <t>Enter the carbon dioxide emissions from associated gas on row 37 of the table for production class 2b.</t>
  </si>
  <si>
    <t>Enter the carbon dioxide emissions from associated gas on row 38 of the table for production class 2b.</t>
  </si>
  <si>
    <t>Enter the carbon dioxide emissions from associated gas on row 39 of the table for production class 2b.</t>
  </si>
  <si>
    <t>Enter the carbon dioxide emissions from associated gas on row 40 of the table for production class 2b.</t>
  </si>
  <si>
    <t>Enter the carbon dioxide emissions from associated gas on row 41 of the table for production class 2b.</t>
  </si>
  <si>
    <t>Enter the carbon dioxide emissions from associated gas on row 42 of the table for production class 2b.</t>
  </si>
  <si>
    <t>Enter the carbon dioxide emissions from associated gas on row 43 of the table for production class 2b.</t>
  </si>
  <si>
    <t>Enter the carbon dioxide emissions from associated gas on row 44 of the table for production class 2b.</t>
  </si>
  <si>
    <t>Enter the carbon dioxide emissions from associated gas on row 45 of the table for production class 2b.</t>
  </si>
  <si>
    <t>Enter the carbon dioxide emissions from associated gas on row 46 of the table for production class 2b.</t>
  </si>
  <si>
    <t>Enter the carbon dioxide emissions from associated gas on row 47 of the table for production class 2b.</t>
  </si>
  <si>
    <t>Enter the carbon dioxide emissions from associated gas on row 48 of the table for production class 2b.</t>
  </si>
  <si>
    <t>Enter the carbon dioxide emissions from associated gas on row 49 of the table for production class 2b.</t>
  </si>
  <si>
    <t>Enter the carbon dioxide emissions from associated gas on row 50 of the table for production class 2b.</t>
  </si>
  <si>
    <t>I.Gas.P2bC1E2</t>
  </si>
  <si>
    <t>Enter the methane emissions from associated gas on row 1 of the table for production class 2b.</t>
  </si>
  <si>
    <t>Enter the methane emissions from associated gas on row 2 of the table for production class 2b.</t>
  </si>
  <si>
    <t>Enter the methane emissions from associated gas on row 3 of the table for production class 2b.</t>
  </si>
  <si>
    <t>Enter the methane emissions from associated gas on row 4 of the table for production class 2b.</t>
  </si>
  <si>
    <t>Enter the methane emissions from associated gas on row 5 of the table for production class 2b.</t>
  </si>
  <si>
    <t>Enter the methane emissions from associated gas on row 6 of the table for production class 2b.</t>
  </si>
  <si>
    <t>Enter the methane emissions from associated gas on row 7 of the table for production class 2b.</t>
  </si>
  <si>
    <t>Enter the methane emissions from associated gas on row 8 of the table for production class 2b.</t>
  </si>
  <si>
    <t>Enter the methane emissions from associated gas on row 9 of the table for production class 2b.</t>
  </si>
  <si>
    <t>Enter the methane emissions from associated gas on row 10 of the table for production class 2b.</t>
  </si>
  <si>
    <t>Enter the methane emissions from associated gas on row 11 of the table for production class 2b.</t>
  </si>
  <si>
    <t>Enter the methane emissions from associated gas on row 12 of the table for production class 2b.</t>
  </si>
  <si>
    <t>Enter the methane emissions from associated gas on row 13 of the table for production class 2b.</t>
  </si>
  <si>
    <t>Enter the methane emissions from associated gas on row 14 of the table for production class 2b.</t>
  </si>
  <si>
    <t>Enter the methane emissions from associated gas on row 15 of the table for production class 2b.</t>
  </si>
  <si>
    <t>Enter the methane emissions from associated gas on row 16 of the table for production class 2b.</t>
  </si>
  <si>
    <t>Enter the methane emissions from associated gas on row 17 of the table for production class 2b.</t>
  </si>
  <si>
    <t>Enter the methane emissions from associated gas on row 18 of the table for production class 2b.</t>
  </si>
  <si>
    <t>Enter the methane emissions from associated gas on row 19 of the table for production class 2b.</t>
  </si>
  <si>
    <t>Enter the methane emissions from associated gas on row 20 of the table for production class 2b.</t>
  </si>
  <si>
    <t>Enter the methane emissions from associated gas on row 21 of the table for production class 2b.</t>
  </si>
  <si>
    <t>Enter the methane emissions from associated gas on row 22 of the table for production class 2b.</t>
  </si>
  <si>
    <t>Enter the methane emissions from associated gas on row 23 of the table for production class 2b.</t>
  </si>
  <si>
    <t>Enter the methane emissions from associated gas on row 24 of the table for production class 2b.</t>
  </si>
  <si>
    <t>Enter the methane emissions from associated gas on row 25 of the table for production class 2b.</t>
  </si>
  <si>
    <t>Enter the methane emissions from associated gas on row 26 of the table for production class 2b.</t>
  </si>
  <si>
    <t>Enter the methane emissions from associated gas on row 27 of the table for production class 2b.</t>
  </si>
  <si>
    <t>Enter the methane emissions from associated gas on row 28 of the table for production class 2b.</t>
  </si>
  <si>
    <t>Enter the methane emissions from associated gas on row 29 of the table for production class 2b.</t>
  </si>
  <si>
    <t>Enter the methane emissions from associated gas on row 30 of the table for production class 2b.</t>
  </si>
  <si>
    <t>Enter the methane emissions from associated gas on row 31 of the table for production class 2b.</t>
  </si>
  <si>
    <t>Enter the methane emissions from associated gas on row 32 of the table for production class 2b.</t>
  </si>
  <si>
    <t>Enter the methane emissions from associated gas on row 33 of the table for production class 2b.</t>
  </si>
  <si>
    <t>Enter the methane emissions from associated gas on row 34 of the table for production class 2b.</t>
  </si>
  <si>
    <t>Enter the methane emissions from associated gas on row 35 of the table for production class 2b.</t>
  </si>
  <si>
    <t>Enter the methane emissions from associated gas on row 36 of the table for production class 2b.</t>
  </si>
  <si>
    <t>Enter the methane emissions from associated gas on row 37 of the table for production class 2b.</t>
  </si>
  <si>
    <t>Enter the methane emissions from associated gas on row 38 of the table for production class 2b.</t>
  </si>
  <si>
    <t>Enter the methane emissions from associated gas on row 39 of the table for production class 2b.</t>
  </si>
  <si>
    <t>Enter the methane emissions from associated gas on row 40 of the table for production class 2b.</t>
  </si>
  <si>
    <t>Enter the methane emissions from associated gas on row 41 of the table for production class 2b.</t>
  </si>
  <si>
    <t>Enter the methane emissions from associated gas on row 42 of the table for production class 2b.</t>
  </si>
  <si>
    <t>Enter the methane emissions from associated gas on row 43 of the table for production class 2b.</t>
  </si>
  <si>
    <t>Enter the methane emissions from associated gas on row 44 of the table for production class 2b.</t>
  </si>
  <si>
    <t>Enter the methane emissions from associated gas on row 45 of the table for production class 2b.</t>
  </si>
  <si>
    <t>Enter the methane emissions from associated gas on row 46 of the table for production class 2b.</t>
  </si>
  <si>
    <t>Enter the methane emissions from associated gas on row 47 of the table for production class 2b.</t>
  </si>
  <si>
    <t>Enter the methane emissions from associated gas on row 48 of the table for production class 2b.</t>
  </si>
  <si>
    <t>Enter the methane emissions from associated gas on row 49 of the table for production class 2b.</t>
  </si>
  <si>
    <t>Enter the methane emissions from associated gas on row 50 of the table for production class 2b.</t>
  </si>
  <si>
    <t>I.Gas.P2bC1E3</t>
  </si>
  <si>
    <t>Enter the nitrous oxide emissions from associated gas on row 1 of the table for production class 2b.</t>
  </si>
  <si>
    <t>Enter the nitrous oxide emissions from associated gas on row 2 of the table for production class 2b.</t>
  </si>
  <si>
    <t>Enter the nitrous oxide emissions from associated gas on row 3 of the table for production class 2b.</t>
  </si>
  <si>
    <t>Enter the nitrous oxide emissions from associated gas on row 4 of the table for production class 2b.</t>
  </si>
  <si>
    <t>Enter the nitrous oxide emissions from associated gas on row 5 of the table for production class 2b.</t>
  </si>
  <si>
    <t>Enter the nitrous oxide emissions from associated gas on row 6 of the table for production class 2b.</t>
  </si>
  <si>
    <t>Enter the nitrous oxide emissions from associated gas on row 7 of the table for production class 2b.</t>
  </si>
  <si>
    <t>Enter the nitrous oxide emissions from associated gas on row 8 of the table for production class 2b.</t>
  </si>
  <si>
    <t>Enter the nitrous oxide emissions from associated gas on row 9 of the table for production class 2b.</t>
  </si>
  <si>
    <t>Enter the nitrous oxide emissions from associated gas on row 10 of the table for production class 2b.</t>
  </si>
  <si>
    <t>Enter the nitrous oxide emissions from associated gas on row 11 of the table for production class 2b.</t>
  </si>
  <si>
    <t>Enter the nitrous oxide emissions from associated gas on row 12 of the table for production class 2b.</t>
  </si>
  <si>
    <t>Enter the nitrous oxide emissions from associated gas on row 13 of the table for production class 2b.</t>
  </si>
  <si>
    <t>Enter the nitrous oxide emissions from associated gas on row 14 of the table for production class 2b.</t>
  </si>
  <si>
    <t>Enter the nitrous oxide emissions from associated gas on row 15 of the table for production class 2b.</t>
  </si>
  <si>
    <t>Enter the nitrous oxide emissions from associated gas on row 16 of the table for production class 2b.</t>
  </si>
  <si>
    <t>Enter the nitrous oxide emissions from associated gas on row 17 of the table for production class 2b.</t>
  </si>
  <si>
    <t>Enter the nitrous oxide emissions from associated gas on row 18 of the table for production class 2b.</t>
  </si>
  <si>
    <t>Enter the nitrous oxide emissions from associated gas on row 19 of the table for production class 2b.</t>
  </si>
  <si>
    <t>Enter the nitrous oxide emissions from associated gas on row 20 of the table for production class 2b.</t>
  </si>
  <si>
    <t>Enter the nitrous oxide emissions from associated gas on row 21 of the table for production class 2b.</t>
  </si>
  <si>
    <t>Enter the nitrous oxide emissions from associated gas on row 22 of the table for production class 2b.</t>
  </si>
  <si>
    <t>Enter the nitrous oxide emissions from associated gas on row 23 of the table for production class 2b.</t>
  </si>
  <si>
    <t>Enter the nitrous oxide emissions from associated gas on row 24 of the table for production class 2b.</t>
  </si>
  <si>
    <t>Enter the nitrous oxide emissions from associated gas on row 25 of the table for production class 2b.</t>
  </si>
  <si>
    <t>Enter the nitrous oxide emissions from associated gas on row 26 of the table for production class 2b.</t>
  </si>
  <si>
    <t>Enter the nitrous oxide emissions from associated gas on row 27 of the table for production class 2b.</t>
  </si>
  <si>
    <t>Enter the nitrous oxide emissions from associated gas on row 28 of the table for production class 2b.</t>
  </si>
  <si>
    <t>Enter the nitrous oxide emissions from associated gas on row 29 of the table for production class 2b.</t>
  </si>
  <si>
    <t>Enter the nitrous oxide emissions from associated gas on row 30 of the table for production class 2b.</t>
  </si>
  <si>
    <t>Enter the nitrous oxide emissions from associated gas on row 31 of the table for production class 2b.</t>
  </si>
  <si>
    <t>Enter the nitrous oxide emissions from associated gas on row 32 of the table for production class 2b.</t>
  </si>
  <si>
    <t>Enter the nitrous oxide emissions from associated gas on row 33 of the table for production class 2b.</t>
  </si>
  <si>
    <t>Enter the nitrous oxide emissions from associated gas on row 34 of the table for production class 2b.</t>
  </si>
  <si>
    <t>Enter the nitrous oxide emissions from associated gas on row 35 of the table for production class 2b.</t>
  </si>
  <si>
    <t>Enter the nitrous oxide emissions from associated gas on row 36 of the table for production class 2b.</t>
  </si>
  <si>
    <t>Enter the nitrous oxide emissions from associated gas on row 37 of the table for production class 2b.</t>
  </si>
  <si>
    <t>Enter the nitrous oxide emissions from associated gas on row 38 of the table for production class 2b.</t>
  </si>
  <si>
    <t>Enter the nitrous oxide emissions from associated gas on row 39 of the table for production class 2b.</t>
  </si>
  <si>
    <t>Enter the nitrous oxide emissions from associated gas on row 40 of the table for production class 2b.</t>
  </si>
  <si>
    <t>Enter the nitrous oxide emissions from associated gas on row 41 of the table for production class 2b.</t>
  </si>
  <si>
    <t>Enter the nitrous oxide emissions from associated gas on row 42 of the table for production class 2b.</t>
  </si>
  <si>
    <t>Enter the nitrous oxide emissions from associated gas on row 43 of the table for production class 2b.</t>
  </si>
  <si>
    <t>Enter the nitrous oxide emissions from associated gas on row 44 of the table for production class 2b.</t>
  </si>
  <si>
    <t>Enter the nitrous oxide emissions from associated gas on row 45 of the table for production class 2b.</t>
  </si>
  <si>
    <t>Enter the nitrous oxide emissions from associated gas on row 46 of the table for production class 2b.</t>
  </si>
  <si>
    <t>Enter the nitrous oxide emissions from associated gas on row 47 of the table for production class 2b.</t>
  </si>
  <si>
    <t>Enter the nitrous oxide emissions from associated gas on row 48 of the table for production class 2b.</t>
  </si>
  <si>
    <t>Enter the nitrous oxide emissions from associated gas on row 49 of the table for production class 2b.</t>
  </si>
  <si>
    <t>Enter the nitrous oxide emissions from associated gas on row 50 of the table for production class 2b.</t>
  </si>
  <si>
    <t>I.Gas.P3Count</t>
  </si>
  <si>
    <t>Enter the number of units within the gas-to-power operation for production class 3.</t>
  </si>
  <si>
    <t>I.Gas.P3AssociatedGasEnergy</t>
  </si>
  <si>
    <t>Enter the energy in the combusted associated gas on row 1 of the table for production class 3.</t>
  </si>
  <si>
    <t>Enter the energy in the combusted associated gas on row 2 of the table for production class 3.</t>
  </si>
  <si>
    <t>Enter the energy in the combusted associated gas on row 3 of the table for production class 3.</t>
  </si>
  <si>
    <t>Enter the energy in the combusted associated gas on row 4 of the table for production class 3.</t>
  </si>
  <si>
    <t>Enter the energy in the combusted associated gas on row 5 of the table for production class 3.</t>
  </si>
  <si>
    <t>Enter the energy in the combusted associated gas on row 6 of the table for production class 3.</t>
  </si>
  <si>
    <t>Enter the energy in the combusted associated gas on row 7 of the table for production class 3.</t>
  </si>
  <si>
    <t>Enter the energy in the combusted associated gas on row 8 of the table for production class 3.</t>
  </si>
  <si>
    <t>Enter the energy in the combusted associated gas on row 9 of the table for production class 3.</t>
  </si>
  <si>
    <t>Enter the energy in the combusted associated gas on row 10 of the table for production class 3.</t>
  </si>
  <si>
    <t>Enter the energy in the combusted associated gas on row 11 of the table for production class 3.</t>
  </si>
  <si>
    <t>Enter the energy in the combusted associated gas on row 12 of the table for production class 3.</t>
  </si>
  <si>
    <t>Enter the energy in the combusted associated gas on row 13 of the table for production class 3.</t>
  </si>
  <si>
    <t>Enter the energy in the combusted associated gas on row 14 of the table for production class 3.</t>
  </si>
  <si>
    <t>Enter the energy in the combusted associated gas on row 15 of the table for production class 3.</t>
  </si>
  <si>
    <t>Enter the energy in the combusted associated gas on row 16 of the table for production class 3.</t>
  </si>
  <si>
    <t>Enter the energy in the combusted associated gas on row 17 of the table for production class 3.</t>
  </si>
  <si>
    <t>Enter the energy in the combusted associated gas on row 18 of the table for production class 3.</t>
  </si>
  <si>
    <t>Enter the energy in the combusted associated gas on row 19 of the table for production class 3.</t>
  </si>
  <si>
    <t>Enter the energy in the combusted associated gas on row 20 of the table for production class 3.</t>
  </si>
  <si>
    <t>Enter the energy in the combusted associated gas on row 21 of the table for production class 3.</t>
  </si>
  <si>
    <t>Enter the energy in the combusted associated gas on row 22 of the table for production class 3.</t>
  </si>
  <si>
    <t>Enter the energy in the combusted associated gas on row 23 of the table for production class 3.</t>
  </si>
  <si>
    <t>Enter the energy in the combusted associated gas on row 24 of the table for production class 3.</t>
  </si>
  <si>
    <t>Enter the energy in the combusted associated gas on row 25 of the table for production class 3.</t>
  </si>
  <si>
    <t>Enter the energy in the combusted associated gas on row 26 of the table for production class 3.</t>
  </si>
  <si>
    <t>Enter the energy in the combusted associated gas on row 27 of the table for production class 3.</t>
  </si>
  <si>
    <t>Enter the energy in the combusted associated gas on row 28 of the table for production class 3.</t>
  </si>
  <si>
    <t>Enter the energy in the combusted associated gas on row 29 of the table for production class 3.</t>
  </si>
  <si>
    <t>Enter the energy in the combusted associated gas on row 30 of the table for production class 3.</t>
  </si>
  <si>
    <t>Enter the energy in the combusted associated gas on row 31 of the table for production class 3.</t>
  </si>
  <si>
    <t>Enter the energy in the combusted associated gas on row 32 of the table for production class 3.</t>
  </si>
  <si>
    <t>Enter the energy in the combusted associated gas on row 33 of the table for production class 3.</t>
  </si>
  <si>
    <t>Enter the energy in the combusted associated gas on row 34 of the table for production class 3.</t>
  </si>
  <si>
    <t>Enter the energy in the combusted associated gas on row 35 of the table for production class 3.</t>
  </si>
  <si>
    <t>Enter the energy in the combusted associated gas on row 36 of the table for production class 3.</t>
  </si>
  <si>
    <t>Enter the energy in the combusted associated gas on row 37 of the table for production class 3.</t>
  </si>
  <si>
    <t>Enter the energy in the combusted associated gas on row 38 of the table for production class 3.</t>
  </si>
  <si>
    <t>Enter the energy in the combusted associated gas on row 39 of the table for production class 3.</t>
  </si>
  <si>
    <t>Enter the energy in the combusted associated gas on row 40 of the table for production class 3.</t>
  </si>
  <si>
    <t>Enter the energy in the combusted associated gas on row 41 of the table for production class 3.</t>
  </si>
  <si>
    <t>Enter the energy in the combusted associated gas on row 42 of the table for production class 3.</t>
  </si>
  <si>
    <t>Enter the energy in the combusted associated gas on row 43 of the table for production class 3.</t>
  </si>
  <si>
    <t>Enter the energy in the combusted associated gas on row 44 of the table for production class 3.</t>
  </si>
  <si>
    <t>Enter the energy in the combusted associated gas on row 45 of the table for production class 3.</t>
  </si>
  <si>
    <t>Enter the energy in the combusted associated gas on row 46 of the table for production class 3.</t>
  </si>
  <si>
    <t>Enter the energy in the combusted associated gas on row 47 of the table for production class 3.</t>
  </si>
  <si>
    <t>Enter the energy in the combusted associated gas on row 48 of the table for production class 3.</t>
  </si>
  <si>
    <t>Enter the energy in the combusted associated gas on row 49 of the table for production class 3.</t>
  </si>
  <si>
    <t>Enter the energy in the combusted associated gas on row 50 of the table for production class 3.</t>
  </si>
  <si>
    <t>I.Gas.P3TotalGasEnergy</t>
  </si>
  <si>
    <t>Enter the total energy in all combusted fuel on row 1 of the table for production class 3.</t>
  </si>
  <si>
    <t>Enter the total energy in all combusted fuel on row 2 of the table for production class 3.</t>
  </si>
  <si>
    <t>Enter the total energy in all combusted fuel on row 3 of the table for production class 3.</t>
  </si>
  <si>
    <t>Enter the total energy in all combusted fuel on row 4 of the table for production class 3.</t>
  </si>
  <si>
    <t>Enter the total energy in all combusted fuel on row 5 of the table for production class 3.</t>
  </si>
  <si>
    <t>Enter the total energy in all combusted fuel on row 6 of the table for production class 3.</t>
  </si>
  <si>
    <t>Enter the total energy in all combusted fuel on row 7 of the table for production class 3.</t>
  </si>
  <si>
    <t>Enter the total energy in all combusted fuel on row 8 of the table for production class 3.</t>
  </si>
  <si>
    <t>Enter the total energy in all combusted fuel on row 9 of the table for production class 3.</t>
  </si>
  <si>
    <t>Enter the total energy in all combusted fuel on row 10 of the table for production class 3.</t>
  </si>
  <si>
    <t>Enter the total energy in all combusted fuel on row 11 of the table for production class 3.</t>
  </si>
  <si>
    <t>Enter the total energy in all combusted fuel on row 12 of the table for production class 3.</t>
  </si>
  <si>
    <t>Enter the total energy in all combusted fuel on row 13 of the table for production class 3.</t>
  </si>
  <si>
    <t>Enter the total energy in all combusted fuel on row 14 of the table for production class 3.</t>
  </si>
  <si>
    <t>Enter the total energy in all combusted fuel on row 15 of the table for production class 3.</t>
  </si>
  <si>
    <t>Enter the total energy in all combusted fuel on row 16 of the table for production class 3.</t>
  </si>
  <si>
    <t>Enter the total energy in all combusted fuel on row 17 of the table for production class 3.</t>
  </si>
  <si>
    <t>Enter the total energy in all combusted fuel on row 18 of the table for production class 3.</t>
  </si>
  <si>
    <t>Enter the total energy in all combusted fuel on row 19 of the table for production class 3.</t>
  </si>
  <si>
    <t>Enter the total energy in all combusted fuel on row 20 of the table for production class 3.</t>
  </si>
  <si>
    <t>Enter the total energy in all combusted fuel on row 21 of the table for production class 3.</t>
  </si>
  <si>
    <t>Enter the total energy in all combusted fuel on row 22 of the table for production class 3.</t>
  </si>
  <si>
    <t>Enter the total energy in all combusted fuel on row 23 of the table for production class 3.</t>
  </si>
  <si>
    <t>Enter the total energy in all combusted fuel on row 24 of the table for production class 3.</t>
  </si>
  <si>
    <t>Enter the total energy in all combusted fuel on row 25 of the table for production class 3.</t>
  </si>
  <si>
    <t>Enter the total energy in all combusted fuel on row 26 of the table for production class 3.</t>
  </si>
  <si>
    <t>Enter the total energy in all combusted fuel on row 27 of the table for production class 3.</t>
  </si>
  <si>
    <t>Enter the total energy in all combusted fuel on row 28 of the table for production class 3.</t>
  </si>
  <si>
    <t>Enter the total energy in all combusted fuel on row 29 of the table for production class 3.</t>
  </si>
  <si>
    <t>Enter the total energy in all combusted fuel on row 30 of the table for production class 3.</t>
  </si>
  <si>
    <t>Enter the total energy in all combusted fuel on row 31 of the table for production class 3.</t>
  </si>
  <si>
    <t>Enter the total energy in all combusted fuel on row 32 of the table for production class 3.</t>
  </si>
  <si>
    <t>Enter the total energy in all combusted fuel on row 33 of the table for production class 3.</t>
  </si>
  <si>
    <t>Enter the total energy in all combusted fuel on row 34 of the table for production class 3.</t>
  </si>
  <si>
    <t>Enter the total energy in all combusted fuel on row 35 of the table for production class 3.</t>
  </si>
  <si>
    <t>Enter the total energy in all combusted fuel on row 36 of the table for production class 3.</t>
  </si>
  <si>
    <t>Enter the total energy in all combusted fuel on row 37 of the table for production class 3.</t>
  </si>
  <si>
    <t>Enter the total energy in all combusted fuel on row 38 of the table for production class 3.</t>
  </si>
  <si>
    <t>Enter the total energy in all combusted fuel on row 39 of the table for production class 3.</t>
  </si>
  <si>
    <t>Enter the total energy in all combusted fuel on row 40 of the table for production class 3.</t>
  </si>
  <si>
    <t>Enter the total energy in all combusted fuel on row 41 of the table for production class 3.</t>
  </si>
  <si>
    <t>Enter the total energy in all combusted fuel on row 42 of the table for production class 3.</t>
  </si>
  <si>
    <t>Enter the total energy in all combusted fuel on row 43 of the table for production class 3.</t>
  </si>
  <si>
    <t>Enter the total energy in all combusted fuel on row 44 of the table for production class 3.</t>
  </si>
  <si>
    <t>Enter the total energy in all combusted fuel on row 45 of the table for production class 3.</t>
  </si>
  <si>
    <t>Enter the total energy in all combusted fuel on row 46 of the table for production class 3.</t>
  </si>
  <si>
    <t>Enter the total energy in all combusted fuel on row 47 of the table for production class 3.</t>
  </si>
  <si>
    <t>Enter the total energy in all combusted fuel on row 48 of the table for production class 3.</t>
  </si>
  <si>
    <t>Enter the total energy in all combusted fuel on row 49 of the table for production class 3.</t>
  </si>
  <si>
    <t>Enter the total energy in all combusted fuel on row 50 of the table for production class 3.</t>
  </si>
  <si>
    <t>I.Gas.P3ElectricityGeneration</t>
  </si>
  <si>
    <t>Enter the total electricity generation from all combusted fuel on row 1 of the table for production class 3.</t>
  </si>
  <si>
    <t>Enter the total electricity generation from all combusted fuel on row 2 of the table for production class 3.</t>
  </si>
  <si>
    <t>Enter the total electricity generation from all combusted fuel on row 3 of the table for production class 3.</t>
  </si>
  <si>
    <t>Enter the total electricity generation from all combusted fuel on row 4 of the table for production class 3.</t>
  </si>
  <si>
    <t>Enter the total electricity generation from all combusted fuel on row 5 of the table for production class 3.</t>
  </si>
  <si>
    <t>Enter the total electricity generation from all combusted fuel on row 6 of the table for production class 3.</t>
  </si>
  <si>
    <t>Enter the total electricity generation from all combusted fuel on row 7 of the table for production class 3.</t>
  </si>
  <si>
    <t>Enter the total electricity generation from all combusted fuel on row 8 of the table for production class 3.</t>
  </si>
  <si>
    <t>Enter the total electricity generation from all combusted fuel on row 9 of the table for production class 3.</t>
  </si>
  <si>
    <t>Enter the total electricity generation from all combusted fuel on row 10 of the table for production class 3.</t>
  </si>
  <si>
    <t>Enter the total electricity generation from all combusted fuel on row 11 of the table for production class 3.</t>
  </si>
  <si>
    <t>Enter the total electricity generation from all combusted fuel on row 12 of the table for production class 3.</t>
  </si>
  <si>
    <t>Enter the total electricity generation from all combusted fuel on row 13 of the table for production class 3.</t>
  </si>
  <si>
    <t>Enter the total electricity generation from all combusted fuel on row 14 of the table for production class 3.</t>
  </si>
  <si>
    <t>Enter the total electricity generation from all combusted fuel on row 15 of the table for production class 3.</t>
  </si>
  <si>
    <t>Enter the total electricity generation from all combusted fuel on row 16 of the table for production class 3.</t>
  </si>
  <si>
    <t>Enter the total electricity generation from all combusted fuel on row 17 of the table for production class 3.</t>
  </si>
  <si>
    <t>Enter the total electricity generation from all combusted fuel on row 18 of the table for production class 3.</t>
  </si>
  <si>
    <t>Enter the total electricity generation from all combusted fuel on row 19 of the table for production class 3.</t>
  </si>
  <si>
    <t>Enter the total electricity generation from all combusted fuel on row 20 of the table for production class 3.</t>
  </si>
  <si>
    <t>Enter the total electricity generation from all combusted fuel on row 21 of the table for production class 3.</t>
  </si>
  <si>
    <t>Enter the total electricity generation from all combusted fuel on row 22 of the table for production class 3.</t>
  </si>
  <si>
    <t>Enter the total electricity generation from all combusted fuel on row 23 of the table for production class 3.</t>
  </si>
  <si>
    <t>Enter the total electricity generation from all combusted fuel on row 24 of the table for production class 3.</t>
  </si>
  <si>
    <t>Enter the total electricity generation from all combusted fuel on row 25 of the table for production class 3.</t>
  </si>
  <si>
    <t>Enter the total electricity generation from all combusted fuel on row 26 of the table for production class 3.</t>
  </si>
  <si>
    <t>Enter the total electricity generation from all combusted fuel on row 27 of the table for production class 3.</t>
  </si>
  <si>
    <t>Enter the total electricity generation from all combusted fuel on row 28 of the table for production class 3.</t>
  </si>
  <si>
    <t>Enter the total electricity generation from all combusted fuel on row 29 of the table for production class 3.</t>
  </si>
  <si>
    <t>Enter the total electricity generation from all combusted fuel on row 30 of the table for production class 3.</t>
  </si>
  <si>
    <t>Enter the total electricity generation from all combusted fuel on row 31 of the table for production class 3.</t>
  </si>
  <si>
    <t>Enter the total electricity generation from all combusted fuel on row 32 of the table for production class 3.</t>
  </si>
  <si>
    <t>Enter the total electricity generation from all combusted fuel on row 33 of the table for production class 3.</t>
  </si>
  <si>
    <t>Enter the total electricity generation from all combusted fuel on row 34 of the table for production class 3.</t>
  </si>
  <si>
    <t>Enter the total electricity generation from all combusted fuel on row 35 of the table for production class 3.</t>
  </si>
  <si>
    <t>Enter the total electricity generation from all combusted fuel on row 36 of the table for production class 3.</t>
  </si>
  <si>
    <t>Enter the total electricity generation from all combusted fuel on row 37 of the table for production class 3.</t>
  </si>
  <si>
    <t>Enter the total electricity generation from all combusted fuel on row 38 of the table for production class 3.</t>
  </si>
  <si>
    <t>Enter the total electricity generation from all combusted fuel on row 39 of the table for production class 3.</t>
  </si>
  <si>
    <t>Enter the total electricity generation from all combusted fuel on row 40 of the table for production class 3.</t>
  </si>
  <si>
    <t>Enter the total electricity generation from all combusted fuel on row 41 of the table for production class 3.</t>
  </si>
  <si>
    <t>Enter the total electricity generation from all combusted fuel on row 42 of the table for production class 3.</t>
  </si>
  <si>
    <t>Enter the total electricity generation from all combusted fuel on row 43 of the table for production class 3.</t>
  </si>
  <si>
    <t>Enter the total electricity generation from all combusted fuel on row 44 of the table for production class 3.</t>
  </si>
  <si>
    <t>Enter the total electricity generation from all combusted fuel on row 45 of the table for production class 3.</t>
  </si>
  <si>
    <t>Enter the total electricity generation from all combusted fuel on row 46 of the table for production class 3.</t>
  </si>
  <si>
    <t>Enter the total electricity generation from all combusted fuel on row 47 of the table for production class 3.</t>
  </si>
  <si>
    <t>Enter the total electricity generation from all combusted fuel on row 48 of the table for production class 3.</t>
  </si>
  <si>
    <t>Enter the total electricity generation from all combusted fuel on row 49 of the table for production class 3.</t>
  </si>
  <si>
    <t>Enter the total electricity generation from all combusted fuel on row 50 of the table for production class 3.</t>
  </si>
  <si>
    <t>I.Gas.P3C1V1</t>
  </si>
  <si>
    <t>Enter the volume of associated gas on row 1 of the table for production class 3.</t>
  </si>
  <si>
    <t>Enter the volume of associated gas on row 2 of the table for production class 3.</t>
  </si>
  <si>
    <t>Enter the volume of associated gas on row 3 of the table for production class 3.</t>
  </si>
  <si>
    <t>Enter the volume of associated gas on row 4 of the table for production class 3.</t>
  </si>
  <si>
    <t>Enter the volume of associated gas on row 5 of the table for production class 3.</t>
  </si>
  <si>
    <t>Enter the volume of associated gas on row 6 of the table for production class 3.</t>
  </si>
  <si>
    <t>Enter the volume of associated gas on row 7 of the table for production class 3.</t>
  </si>
  <si>
    <t>Enter the volume of associated gas on row 8 of the table for production class 3.</t>
  </si>
  <si>
    <t>Enter the volume of associated gas on row 9 of the table for production class 3.</t>
  </si>
  <si>
    <t>Enter the volume of associated gas on row 10 of the table for production class 3.</t>
  </si>
  <si>
    <t>Enter the volume of associated gas on row 11 of the table for production class 3.</t>
  </si>
  <si>
    <t>Enter the volume of associated gas on row 12 of the table for production class 3.</t>
  </si>
  <si>
    <t>Enter the volume of associated gas on row 13 of the table for production class 3.</t>
  </si>
  <si>
    <t>Enter the volume of associated gas on row 14 of the table for production class 3.</t>
  </si>
  <si>
    <t>Enter the volume of associated gas on row 15 of the table for production class 3.</t>
  </si>
  <si>
    <t>Enter the volume of associated gas on row 16 of the table for production class 3.</t>
  </si>
  <si>
    <t>Enter the volume of associated gas on row 17 of the table for production class 3.</t>
  </si>
  <si>
    <t>Enter the volume of associated gas on row 18 of the table for production class 3.</t>
  </si>
  <si>
    <t>Enter the volume of associated gas on row 19 of the table for production class 3.</t>
  </si>
  <si>
    <t>Enter the volume of associated gas on row 20 of the table for production class 3.</t>
  </si>
  <si>
    <t>Enter the volume of associated gas on row 21 of the table for production class 3.</t>
  </si>
  <si>
    <t>Enter the volume of associated gas on row 22 of the table for production class 3.</t>
  </si>
  <si>
    <t>Enter the volume of associated gas on row 23 of the table for production class 3.</t>
  </si>
  <si>
    <t>Enter the volume of associated gas on row 24 of the table for production class 3.</t>
  </si>
  <si>
    <t>Enter the volume of associated gas on row 25 of the table for production class 3.</t>
  </si>
  <si>
    <t>Enter the volume of associated gas on row 26 of the table for production class 3.</t>
  </si>
  <si>
    <t>Enter the volume of associated gas on row 27 of the table for production class 3.</t>
  </si>
  <si>
    <t>Enter the volume of associated gas on row 28 of the table for production class 3.</t>
  </si>
  <si>
    <t>Enter the volume of associated gas on row 29 of the table for production class 3.</t>
  </si>
  <si>
    <t>Enter the volume of associated gas on row 30 of the table for production class 3.</t>
  </si>
  <si>
    <t>Enter the volume of associated gas on row 31 of the table for production class 3.</t>
  </si>
  <si>
    <t>Enter the volume of associated gas on row 32 of the table for production class 3.</t>
  </si>
  <si>
    <t>Enter the volume of associated gas on row 33 of the table for production class 3.</t>
  </si>
  <si>
    <t>Enter the volume of associated gas on row 34 of the table for production class 3.</t>
  </si>
  <si>
    <t>Enter the volume of associated gas on row 35 of the table for production class 3.</t>
  </si>
  <si>
    <t>Enter the volume of associated gas on row 36 of the table for production class 3.</t>
  </si>
  <si>
    <t>Enter the volume of associated gas on row 37 of the table for production class 3.</t>
  </si>
  <si>
    <t>Enter the volume of associated gas on row 38 of the table for production class 3.</t>
  </si>
  <si>
    <t>Enter the volume of associated gas on row 39 of the table for production class 3.</t>
  </si>
  <si>
    <t>Enter the volume of associated gas on row 40 of the table for production class 3.</t>
  </si>
  <si>
    <t>Enter the volume of associated gas on row 41 of the table for production class 3.</t>
  </si>
  <si>
    <t>Enter the volume of associated gas on row 42 of the table for production class 3.</t>
  </si>
  <si>
    <t>Enter the volume of associated gas on row 43 of the table for production class 3.</t>
  </si>
  <si>
    <t>Enter the volume of associated gas on row 44 of the table for production class 3.</t>
  </si>
  <si>
    <t>Enter the volume of associated gas on row 45 of the table for production class 3.</t>
  </si>
  <si>
    <t>Enter the volume of associated gas on row 46 of the table for production class 3.</t>
  </si>
  <si>
    <t>Enter the volume of associated gas on row 47 of the table for production class 3.</t>
  </si>
  <si>
    <t>Enter the volume of associated gas on row 48 of the table for production class 3.</t>
  </si>
  <si>
    <t>Enter the volume of associated gas on row 49 of the table for production class 3.</t>
  </si>
  <si>
    <t>Enter the volume of associated gas on row 50 of the table for production class 3.</t>
  </si>
  <si>
    <t>I.Gas.P3C1E1</t>
  </si>
  <si>
    <t>Enter the carbon dioxide emissions from associated gas on row 1 of the table for production class 3.</t>
  </si>
  <si>
    <t>Enter the carbon dioxide emissions from associated gas on row 2 of the table for production class 3.</t>
  </si>
  <si>
    <t>Enter the carbon dioxide emissions from associated gas on row 3 of the table for production class 3.</t>
  </si>
  <si>
    <t>Enter the carbon dioxide emissions from associated gas on row 4 of the table for production class 3.</t>
  </si>
  <si>
    <t>Enter the carbon dioxide emissions from associated gas on row 5 of the table for production class 3.</t>
  </si>
  <si>
    <t>Enter the carbon dioxide emissions from associated gas on row 6 of the table for production class 3.</t>
  </si>
  <si>
    <t>Enter the carbon dioxide emissions from associated gas on row 7 of the table for production class 3.</t>
  </si>
  <si>
    <t>Enter the carbon dioxide emissions from associated gas on row 8 of the table for production class 3.</t>
  </si>
  <si>
    <t>Enter the carbon dioxide emissions from associated gas on row 9 of the table for production class 3.</t>
  </si>
  <si>
    <t>Enter the carbon dioxide emissions from associated gas on row 10 of the table for production class 3.</t>
  </si>
  <si>
    <t>Enter the carbon dioxide emissions from associated gas on row 11 of the table for production class 3.</t>
  </si>
  <si>
    <t>Enter the carbon dioxide emissions from associated gas on row 12 of the table for production class 3.</t>
  </si>
  <si>
    <t>Enter the carbon dioxide emissions from associated gas on row 13 of the table for production class 3.</t>
  </si>
  <si>
    <t>Enter the carbon dioxide emissions from associated gas on row 14 of the table for production class 3.</t>
  </si>
  <si>
    <t>Enter the carbon dioxide emissions from associated gas on row 15 of the table for production class 3.</t>
  </si>
  <si>
    <t>Enter the carbon dioxide emissions from associated gas on row 16 of the table for production class 3.</t>
  </si>
  <si>
    <t>Enter the carbon dioxide emissions from associated gas on row 17 of the table for production class 3.</t>
  </si>
  <si>
    <t>Enter the carbon dioxide emissions from associated gas on row 18 of the table for production class 3.</t>
  </si>
  <si>
    <t>Enter the carbon dioxide emissions from associated gas on row 19 of the table for production class 3.</t>
  </si>
  <si>
    <t>Enter the carbon dioxide emissions from associated gas on row 20 of the table for production class 3.</t>
  </si>
  <si>
    <t>Enter the carbon dioxide emissions from associated gas on row 21 of the table for production class 3.</t>
  </si>
  <si>
    <t>Enter the carbon dioxide emissions from associated gas on row 22 of the table for production class 3.</t>
  </si>
  <si>
    <t>Enter the carbon dioxide emissions from associated gas on row 23 of the table for production class 3.</t>
  </si>
  <si>
    <t>Enter the carbon dioxide emissions from associated gas on row 24 of the table for production class 3.</t>
  </si>
  <si>
    <t>Enter the carbon dioxide emissions from associated gas on row 25 of the table for production class 3.</t>
  </si>
  <si>
    <t>Enter the carbon dioxide emissions from associated gas on row 26 of the table for production class 3.</t>
  </si>
  <si>
    <t>Enter the carbon dioxide emissions from associated gas on row 27 of the table for production class 3.</t>
  </si>
  <si>
    <t>Enter the carbon dioxide emissions from associated gas on row 28 of the table for production class 3.</t>
  </si>
  <si>
    <t>Enter the carbon dioxide emissions from associated gas on row 29 of the table for production class 3.</t>
  </si>
  <si>
    <t>Enter the carbon dioxide emissions from associated gas on row 30 of the table for production class 3.</t>
  </si>
  <si>
    <t>Enter the carbon dioxide emissions from associated gas on row 31 of the table for production class 3.</t>
  </si>
  <si>
    <t>Enter the carbon dioxide emissions from associated gas on row 32 of the table for production class 3.</t>
  </si>
  <si>
    <t>Enter the carbon dioxide emissions from associated gas on row 33 of the table for production class 3.</t>
  </si>
  <si>
    <t>Enter the carbon dioxide emissions from associated gas on row 34 of the table for production class 3.</t>
  </si>
  <si>
    <t>Enter the carbon dioxide emissions from associated gas on row 35 of the table for production class 3.</t>
  </si>
  <si>
    <t>Enter the carbon dioxide emissions from associated gas on row 36 of the table for production class 3.</t>
  </si>
  <si>
    <t>Enter the carbon dioxide emissions from associated gas on row 37 of the table for production class 3.</t>
  </si>
  <si>
    <t>Enter the carbon dioxide emissions from associated gas on row 38 of the table for production class 3.</t>
  </si>
  <si>
    <t>Enter the carbon dioxide emissions from associated gas on row 39 of the table for production class 3.</t>
  </si>
  <si>
    <t>Enter the carbon dioxide emissions from associated gas on row 40 of the table for production class 3.</t>
  </si>
  <si>
    <t>Enter the carbon dioxide emissions from associated gas on row 41 of the table for production class 3.</t>
  </si>
  <si>
    <t>Enter the carbon dioxide emissions from associated gas on row 42 of the table for production class 3.</t>
  </si>
  <si>
    <t>Enter the carbon dioxide emissions from associated gas on row 43 of the table for production class 3.</t>
  </si>
  <si>
    <t>Enter the carbon dioxide emissions from associated gas on row 44 of the table for production class 3.</t>
  </si>
  <si>
    <t>Enter the carbon dioxide emissions from associated gas on row 45 of the table for production class 3.</t>
  </si>
  <si>
    <t>Enter the carbon dioxide emissions from associated gas on row 46 of the table for production class 3.</t>
  </si>
  <si>
    <t>Enter the carbon dioxide emissions from associated gas on row 47 of the table for production class 3.</t>
  </si>
  <si>
    <t>Enter the carbon dioxide emissions from associated gas on row 48 of the table for production class 3.</t>
  </si>
  <si>
    <t>Enter the carbon dioxide emissions from associated gas on row 49 of the table for production class 3.</t>
  </si>
  <si>
    <t>Enter the carbon dioxide emissions from associated gas on row 50 of the table for production class 3.</t>
  </si>
  <si>
    <t>I.Gas.P3C1E2</t>
  </si>
  <si>
    <t>Enter the methane emissions from associated gas on row 1 of the table for production class 3.</t>
  </si>
  <si>
    <t>Enter the methane emissions from associated gas on row 2 of the table for production class 3.</t>
  </si>
  <si>
    <t>Enter the methane emissions from associated gas on row 3 of the table for production class 3.</t>
  </si>
  <si>
    <t>Enter the methane emissions from associated gas on row 4 of the table for production class 3.</t>
  </si>
  <si>
    <t>Enter the methane emissions from associated gas on row 5 of the table for production class 3.</t>
  </si>
  <si>
    <t>Enter the methane emissions from associated gas on row 6 of the table for production class 3.</t>
  </si>
  <si>
    <t>Enter the methane emissions from associated gas on row 7 of the table for production class 3.</t>
  </si>
  <si>
    <t>Enter the methane emissions from associated gas on row 8 of the table for production class 3.</t>
  </si>
  <si>
    <t>Enter the methane emissions from associated gas on row 9 of the table for production class 3.</t>
  </si>
  <si>
    <t>Enter the methane emissions from associated gas on row 10 of the table for production class 3.</t>
  </si>
  <si>
    <t>Enter the methane emissions from associated gas on row 11 of the table for production class 3.</t>
  </si>
  <si>
    <t>Enter the methane emissions from associated gas on row 12 of the table for production class 3.</t>
  </si>
  <si>
    <t>Enter the methane emissions from associated gas on row 13 of the table for production class 3.</t>
  </si>
  <si>
    <t>Enter the methane emissions from associated gas on row 14 of the table for production class 3.</t>
  </si>
  <si>
    <t>Enter the methane emissions from associated gas on row 15 of the table for production class 3.</t>
  </si>
  <si>
    <t>Enter the methane emissions from associated gas on row 16 of the table for production class 3.</t>
  </si>
  <si>
    <t>Enter the methane emissions from associated gas on row 17 of the table for production class 3.</t>
  </si>
  <si>
    <t>Enter the methane emissions from associated gas on row 18 of the table for production class 3.</t>
  </si>
  <si>
    <t>Enter the methane emissions from associated gas on row 19 of the table for production class 3.</t>
  </si>
  <si>
    <t>Enter the methane emissions from associated gas on row 20 of the table for production class 3.</t>
  </si>
  <si>
    <t>Enter the methane emissions from associated gas on row 21 of the table for production class 3.</t>
  </si>
  <si>
    <t>Enter the methane emissions from associated gas on row 22 of the table for production class 3.</t>
  </si>
  <si>
    <t>Enter the methane emissions from associated gas on row 23 of the table for production class 3.</t>
  </si>
  <si>
    <t>Enter the methane emissions from associated gas on row 24 of the table for production class 3.</t>
  </si>
  <si>
    <t>Enter the methane emissions from associated gas on row 25 of the table for production class 3.</t>
  </si>
  <si>
    <t>Enter the methane emissions from associated gas on row 26 of the table for production class 3.</t>
  </si>
  <si>
    <t>Enter the methane emissions from associated gas on row 27 of the table for production class 3.</t>
  </si>
  <si>
    <t>Enter the methane emissions from associated gas on row 28 of the table for production class 3.</t>
  </si>
  <si>
    <t>Enter the methane emissions from associated gas on row 29 of the table for production class 3.</t>
  </si>
  <si>
    <t>Enter the methane emissions from associated gas on row 30 of the table for production class 3.</t>
  </si>
  <si>
    <t>Enter the methane emissions from associated gas on row 31 of the table for production class 3.</t>
  </si>
  <si>
    <t>Enter the methane emissions from associated gas on row 32 of the table for production class 3.</t>
  </si>
  <si>
    <t>Enter the methane emissions from associated gas on row 33 of the table for production class 3.</t>
  </si>
  <si>
    <t>Enter the methane emissions from associated gas on row 34 of the table for production class 3.</t>
  </si>
  <si>
    <t>Enter the methane emissions from associated gas on row 35 of the table for production class 3.</t>
  </si>
  <si>
    <t>Enter the methane emissions from associated gas on row 36 of the table for production class 3.</t>
  </si>
  <si>
    <t>Enter the methane emissions from associated gas on row 37 of the table for production class 3.</t>
  </si>
  <si>
    <t>Enter the methane emissions from associated gas on row 38 of the table for production class 3.</t>
  </si>
  <si>
    <t>Enter the methane emissions from associated gas on row 39 of the table for production class 3.</t>
  </si>
  <si>
    <t>Enter the methane emissions from associated gas on row 40 of the table for production class 3.</t>
  </si>
  <si>
    <t>Enter the methane emissions from associated gas on row 41 of the table for production class 3.</t>
  </si>
  <si>
    <t>Enter the methane emissions from associated gas on row 42 of the table for production class 3.</t>
  </si>
  <si>
    <t>Enter the methane emissions from associated gas on row 43 of the table for production class 3.</t>
  </si>
  <si>
    <t>Enter the methane emissions from associated gas on row 44 of the table for production class 3.</t>
  </si>
  <si>
    <t>Enter the methane emissions from associated gas on row 45 of the table for production class 3.</t>
  </si>
  <si>
    <t>Enter the methane emissions from associated gas on row 46 of the table for production class 3.</t>
  </si>
  <si>
    <t>Enter the methane emissions from associated gas on row 47 of the table for production class 3.</t>
  </si>
  <si>
    <t>Enter the methane emissions from associated gas on row 48 of the table for production class 3.</t>
  </si>
  <si>
    <t>Enter the methane emissions from associated gas on row 49 of the table for production class 3.</t>
  </si>
  <si>
    <t>Enter the methane emissions from associated gas on row 50 of the table for production class 3.</t>
  </si>
  <si>
    <t>I.Gas.P3C1E3</t>
  </si>
  <si>
    <t>Enter the nitrous oxide emissions from associated gas on row 1 of the table for production class 3.</t>
  </si>
  <si>
    <t>Enter the nitrous oxide emissions from associated gas on row 2 of the table for production class 3.</t>
  </si>
  <si>
    <t>Enter the nitrous oxide emissions from associated gas on row 3 of the table for production class 3.</t>
  </si>
  <si>
    <t>Enter the nitrous oxide emissions from associated gas on row 4 of the table for production class 3.</t>
  </si>
  <si>
    <t>Enter the nitrous oxide emissions from associated gas on row 5 of the table for production class 3.</t>
  </si>
  <si>
    <t>Enter the nitrous oxide emissions from associated gas on row 6 of the table for production class 3.</t>
  </si>
  <si>
    <t>Enter the nitrous oxide emissions from associated gas on row 7 of the table for production class 3.</t>
  </si>
  <si>
    <t>Enter the nitrous oxide emissions from associated gas on row 8 of the table for production class 3.</t>
  </si>
  <si>
    <t>Enter the nitrous oxide emissions from associated gas on row 9 of the table for production class 3.</t>
  </si>
  <si>
    <t>Enter the nitrous oxide emissions from associated gas on row 10 of the table for production class 3.</t>
  </si>
  <si>
    <t>Enter the nitrous oxide emissions from associated gas on row 11 of the table for production class 3.</t>
  </si>
  <si>
    <t>Enter the nitrous oxide emissions from associated gas on row 12 of the table for production class 3.</t>
  </si>
  <si>
    <t>Enter the nitrous oxide emissions from associated gas on row 13 of the table for production class 3.</t>
  </si>
  <si>
    <t>Enter the nitrous oxide emissions from associated gas on row 14 of the table for production class 3.</t>
  </si>
  <si>
    <t>Enter the nitrous oxide emissions from associated gas on row 15 of the table for production class 3.</t>
  </si>
  <si>
    <t>Enter the nitrous oxide emissions from associated gas on row 16 of the table for production class 3.</t>
  </si>
  <si>
    <t>Enter the nitrous oxide emissions from associated gas on row 17 of the table for production class 3.</t>
  </si>
  <si>
    <t>Enter the nitrous oxide emissions from associated gas on row 18 of the table for production class 3.</t>
  </si>
  <si>
    <t>Enter the nitrous oxide emissions from associated gas on row 19 of the table for production class 3.</t>
  </si>
  <si>
    <t>Enter the nitrous oxide emissions from associated gas on row 20 of the table for production class 3.</t>
  </si>
  <si>
    <t>Enter the nitrous oxide emissions from associated gas on row 21 of the table for production class 3.</t>
  </si>
  <si>
    <t>Enter the nitrous oxide emissions from associated gas on row 22 of the table for production class 3.</t>
  </si>
  <si>
    <t>Enter the nitrous oxide emissions from associated gas on row 23 of the table for production class 3.</t>
  </si>
  <si>
    <t>Enter the nitrous oxide emissions from associated gas on row 24 of the table for production class 3.</t>
  </si>
  <si>
    <t>Enter the nitrous oxide emissions from associated gas on row 25 of the table for production class 3.</t>
  </si>
  <si>
    <t>Enter the nitrous oxide emissions from associated gas on row 26 of the table for production class 3.</t>
  </si>
  <si>
    <t>Enter the nitrous oxide emissions from associated gas on row 27 of the table for production class 3.</t>
  </si>
  <si>
    <t>Enter the nitrous oxide emissions from associated gas on row 28 of the table for production class 3.</t>
  </si>
  <si>
    <t>Enter the nitrous oxide emissions from associated gas on row 29 of the table for production class 3.</t>
  </si>
  <si>
    <t>Enter the nitrous oxide emissions from associated gas on row 30 of the table for production class 3.</t>
  </si>
  <si>
    <t>Enter the nitrous oxide emissions from associated gas on row 31 of the table for production class 3.</t>
  </si>
  <si>
    <t>Enter the nitrous oxide emissions from associated gas on row 32 of the table for production class 3.</t>
  </si>
  <si>
    <t>Enter the nitrous oxide emissions from associated gas on row 33 of the table for production class 3.</t>
  </si>
  <si>
    <t>Enter the nitrous oxide emissions from associated gas on row 34 of the table for production class 3.</t>
  </si>
  <si>
    <t>Enter the nitrous oxide emissions from associated gas on row 35 of the table for production class 3.</t>
  </si>
  <si>
    <t>Enter the nitrous oxide emissions from associated gas on row 36 of the table for production class 3.</t>
  </si>
  <si>
    <t>Enter the nitrous oxide emissions from associated gas on row 37 of the table for production class 3.</t>
  </si>
  <si>
    <t>Enter the nitrous oxide emissions from associated gas on row 38 of the table for production class 3.</t>
  </si>
  <si>
    <t>Enter the nitrous oxide emissions from associated gas on row 39 of the table for production class 3.</t>
  </si>
  <si>
    <t>Enter the nitrous oxide emissions from associated gas on row 40 of the table for production class 3.</t>
  </si>
  <si>
    <t>Enter the nitrous oxide emissions from associated gas on row 41 of the table for production class 3.</t>
  </si>
  <si>
    <t>Enter the nitrous oxide emissions from associated gas on row 42 of the table for production class 3.</t>
  </si>
  <si>
    <t>Enter the nitrous oxide emissions from associated gas on row 43 of the table for production class 3.</t>
  </si>
  <si>
    <t>Enter the nitrous oxide emissions from associated gas on row 44 of the table for production class 3.</t>
  </si>
  <si>
    <t>Enter the nitrous oxide emissions from associated gas on row 45 of the table for production class 3.</t>
  </si>
  <si>
    <t>Enter the nitrous oxide emissions from associated gas on row 46 of the table for production class 3.</t>
  </si>
  <si>
    <t>Enter the nitrous oxide emissions from associated gas on row 47 of the table for production class 3.</t>
  </si>
  <si>
    <t>Enter the nitrous oxide emissions from associated gas on row 48 of the table for production class 3.</t>
  </si>
  <si>
    <t>Enter the nitrous oxide emissions from associated gas on row 49 of the table for production class 3.</t>
  </si>
  <si>
    <t>Enter the nitrous oxide emissions from associated gas on row 50 of the table for production class 3.</t>
  </si>
  <si>
    <t>I.Gas.P4Count</t>
  </si>
  <si>
    <t>Enter the number of units within the gas-to-power operation for production class 4.</t>
  </si>
  <si>
    <t>I.Gas.P4AssociatedGasEnergy</t>
  </si>
  <si>
    <t>Enter the energy in the combusted associated gas on row 1 of the table for production class 4.</t>
  </si>
  <si>
    <t>Enter the energy in the combusted associated gas on row 2 of the table for production class 4.</t>
  </si>
  <si>
    <t>Enter the energy in the combusted associated gas on row 3 of the table for production class 4.</t>
  </si>
  <si>
    <t>Enter the energy in the combusted associated gas on row 4 of the table for production class 4.</t>
  </si>
  <si>
    <t>Enter the energy in the combusted associated gas on row 5 of the table for production class 4.</t>
  </si>
  <si>
    <t>Enter the energy in the combusted associated gas on row 6 of the table for production class 4.</t>
  </si>
  <si>
    <t>Enter the energy in the combusted associated gas on row 7 of the table for production class 4.</t>
  </si>
  <si>
    <t>Enter the energy in the combusted associated gas on row 8 of the table for production class 4.</t>
  </si>
  <si>
    <t>Enter the energy in the combusted associated gas on row 9 of the table for production class 4.</t>
  </si>
  <si>
    <t>Enter the energy in the combusted associated gas on row 10 of the table for production class 4.</t>
  </si>
  <si>
    <t>Enter the energy in the combusted associated gas on row 11 of the table for production class 4.</t>
  </si>
  <si>
    <t>Enter the energy in the combusted associated gas on row 12 of the table for production class 4.</t>
  </si>
  <si>
    <t>Enter the energy in the combusted associated gas on row 13 of the table for production class 4.</t>
  </si>
  <si>
    <t>Enter the energy in the combusted associated gas on row 14 of the table for production class 4.</t>
  </si>
  <si>
    <t>Enter the energy in the combusted associated gas on row 15 of the table for production class 4.</t>
  </si>
  <si>
    <t>Enter the energy in the combusted associated gas on row 16 of the table for production class 4.</t>
  </si>
  <si>
    <t>Enter the energy in the combusted associated gas on row 17 of the table for production class 4.</t>
  </si>
  <si>
    <t>Enter the energy in the combusted associated gas on row 18 of the table for production class 4.</t>
  </si>
  <si>
    <t>Enter the energy in the combusted associated gas on row 19 of the table for production class 4.</t>
  </si>
  <si>
    <t>Enter the energy in the combusted associated gas on row 20 of the table for production class 4.</t>
  </si>
  <si>
    <t>Enter the energy in the combusted associated gas on row 21 of the table for production class 4.</t>
  </si>
  <si>
    <t>Enter the energy in the combusted associated gas on row 22 of the table for production class 4.</t>
  </si>
  <si>
    <t>Enter the energy in the combusted associated gas on row 23 of the table for production class 4.</t>
  </si>
  <si>
    <t>Enter the energy in the combusted associated gas on row 24 of the table for production class 4.</t>
  </si>
  <si>
    <t>Enter the energy in the combusted associated gas on row 25 of the table for production class 4.</t>
  </si>
  <si>
    <t>Enter the energy in the combusted associated gas on row 26 of the table for production class 4.</t>
  </si>
  <si>
    <t>Enter the energy in the combusted associated gas on row 27 of the table for production class 4.</t>
  </si>
  <si>
    <t>Enter the energy in the combusted associated gas on row 28 of the table for production class 4.</t>
  </si>
  <si>
    <t>Enter the energy in the combusted associated gas on row 29 of the table for production class 4.</t>
  </si>
  <si>
    <t>Enter the energy in the combusted associated gas on row 30 of the table for production class 4.</t>
  </si>
  <si>
    <t>Enter the energy in the combusted associated gas on row 31 of the table for production class 4.</t>
  </si>
  <si>
    <t>Enter the energy in the combusted associated gas on row 32 of the table for production class 4.</t>
  </si>
  <si>
    <t>Enter the energy in the combusted associated gas on row 33 of the table for production class 4.</t>
  </si>
  <si>
    <t>Enter the energy in the combusted associated gas on row 34 of the table for production class 4.</t>
  </si>
  <si>
    <t>Enter the energy in the combusted associated gas on row 35 of the table for production class 4.</t>
  </si>
  <si>
    <t>Enter the energy in the combusted associated gas on row 36 of the table for production class 4.</t>
  </si>
  <si>
    <t>Enter the energy in the combusted associated gas on row 37 of the table for production class 4.</t>
  </si>
  <si>
    <t>Enter the energy in the combusted associated gas on row 38 of the table for production class 4.</t>
  </si>
  <si>
    <t>Enter the energy in the combusted associated gas on row 39 of the table for production class 4.</t>
  </si>
  <si>
    <t>Enter the energy in the combusted associated gas on row 40 of the table for production class 4.</t>
  </si>
  <si>
    <t>Enter the energy in the combusted associated gas on row 41 of the table for production class 4.</t>
  </si>
  <si>
    <t>Enter the energy in the combusted associated gas on row 42 of the table for production class 4.</t>
  </si>
  <si>
    <t>Enter the energy in the combusted associated gas on row 43 of the table for production class 4.</t>
  </si>
  <si>
    <t>Enter the energy in the combusted associated gas on row 44 of the table for production class 4.</t>
  </si>
  <si>
    <t>Enter the energy in the combusted associated gas on row 45 of the table for production class 4.</t>
  </si>
  <si>
    <t>Enter the energy in the combusted associated gas on row 46 of the table for production class 4.</t>
  </si>
  <si>
    <t>Enter the energy in the combusted associated gas on row 47 of the table for production class 4.</t>
  </si>
  <si>
    <t>Enter the energy in the combusted associated gas on row 48 of the table for production class 4.</t>
  </si>
  <si>
    <t>Enter the energy in the combusted associated gas on row 49 of the table for production class 4.</t>
  </si>
  <si>
    <t>Enter the energy in the combusted associated gas on row 50 of the table for production class 4.</t>
  </si>
  <si>
    <t>I.Gas.P4TotalGasEnergy</t>
  </si>
  <si>
    <t>Enter the total energy in all combusted fuel on row 1 of the table for production class 4.</t>
  </si>
  <si>
    <t>Enter the total energy in all combusted fuel on row 2 of the table for production class 4.</t>
  </si>
  <si>
    <t>Enter the total energy in all combusted fuel on row 3 of the table for production class 4.</t>
  </si>
  <si>
    <t>Enter the total energy in all combusted fuel on row 4 of the table for production class 4.</t>
  </si>
  <si>
    <t>Enter the total energy in all combusted fuel on row 5 of the table for production class 4.</t>
  </si>
  <si>
    <t>Enter the total energy in all combusted fuel on row 6 of the table for production class 4.</t>
  </si>
  <si>
    <t>Enter the total energy in all combusted fuel on row 7 of the table for production class 4.</t>
  </si>
  <si>
    <t>Enter the total energy in all combusted fuel on row 8 of the table for production class 4.</t>
  </si>
  <si>
    <t>Enter the total energy in all combusted fuel on row 9 of the table for production class 4.</t>
  </si>
  <si>
    <t>Enter the total energy in all combusted fuel on row 10 of the table for production class 4.</t>
  </si>
  <si>
    <t>Enter the total energy in all combusted fuel on row 11 of the table for production class 4.</t>
  </si>
  <si>
    <t>Enter the total energy in all combusted fuel on row 12 of the table for production class 4.</t>
  </si>
  <si>
    <t>Enter the total energy in all combusted fuel on row 13 of the table for production class 4.</t>
  </si>
  <si>
    <t>Enter the total energy in all combusted fuel on row 14 of the table for production class 4.</t>
  </si>
  <si>
    <t>Enter the total energy in all combusted fuel on row 15 of the table for production class 4.</t>
  </si>
  <si>
    <t>Enter the total energy in all combusted fuel on row 16 of the table for production class 4.</t>
  </si>
  <si>
    <t>Enter the total energy in all combusted fuel on row 17 of the table for production class 4.</t>
  </si>
  <si>
    <t>Enter the total energy in all combusted fuel on row 18 of the table for production class 4.</t>
  </si>
  <si>
    <t>Enter the total energy in all combusted fuel on row 19 of the table for production class 4.</t>
  </si>
  <si>
    <t>Enter the total energy in all combusted fuel on row 20 of the table for production class 4.</t>
  </si>
  <si>
    <t>Enter the total energy in all combusted fuel on row 21 of the table for production class 4.</t>
  </si>
  <si>
    <t>Enter the total energy in all combusted fuel on row 22 of the table for production class 4.</t>
  </si>
  <si>
    <t>Enter the total energy in all combusted fuel on row 23 of the table for production class 4.</t>
  </si>
  <si>
    <t>Enter the total energy in all combusted fuel on row 24 of the table for production class 4.</t>
  </si>
  <si>
    <t>Enter the total energy in all combusted fuel on row 25 of the table for production class 4.</t>
  </si>
  <si>
    <t>Enter the total energy in all combusted fuel on row 26 of the table for production class 4.</t>
  </si>
  <si>
    <t>Enter the total energy in all combusted fuel on row 27 of the table for production class 4.</t>
  </si>
  <si>
    <t>Enter the total energy in all combusted fuel on row 28 of the table for production class 4.</t>
  </si>
  <si>
    <t>Enter the total energy in all combusted fuel on row 29 of the table for production class 4.</t>
  </si>
  <si>
    <t>Enter the total energy in all combusted fuel on row 30 of the table for production class 4.</t>
  </si>
  <si>
    <t>Enter the total energy in all combusted fuel on row 31 of the table for production class 4.</t>
  </si>
  <si>
    <t>Enter the total energy in all combusted fuel on row 32 of the table for production class 4.</t>
  </si>
  <si>
    <t>Enter the total energy in all combusted fuel on row 33 of the table for production class 4.</t>
  </si>
  <si>
    <t>Enter the total energy in all combusted fuel on row 34 of the table for production class 4.</t>
  </si>
  <si>
    <t>Enter the total energy in all combusted fuel on row 35 of the table for production class 4.</t>
  </si>
  <si>
    <t>Enter the total energy in all combusted fuel on row 36 of the table for production class 4.</t>
  </si>
  <si>
    <t>Enter the total energy in all combusted fuel on row 37 of the table for production class 4.</t>
  </si>
  <si>
    <t>Enter the total energy in all combusted fuel on row 38 of the table for production class 4.</t>
  </si>
  <si>
    <t>Enter the total energy in all combusted fuel on row 39 of the table for production class 4.</t>
  </si>
  <si>
    <t>Enter the total energy in all combusted fuel on row 40 of the table for production class 4.</t>
  </si>
  <si>
    <t>Enter the total energy in all combusted fuel on row 41 of the table for production class 4.</t>
  </si>
  <si>
    <t>Enter the total energy in all combusted fuel on row 42 of the table for production class 4.</t>
  </si>
  <si>
    <t>Enter the total energy in all combusted fuel on row 43 of the table for production class 4.</t>
  </si>
  <si>
    <t>Enter the total energy in all combusted fuel on row 44 of the table for production class 4.</t>
  </si>
  <si>
    <t>Enter the total energy in all combusted fuel on row 45 of the table for production class 4.</t>
  </si>
  <si>
    <t>Enter the total energy in all combusted fuel on row 46 of the table for production class 4.</t>
  </si>
  <si>
    <t>Enter the total energy in all combusted fuel on row 47 of the table for production class 4.</t>
  </si>
  <si>
    <t>Enter the total energy in all combusted fuel on row 48 of the table for production class 4.</t>
  </si>
  <si>
    <t>Enter the total energy in all combusted fuel on row 49 of the table for production class 4.</t>
  </si>
  <si>
    <t>Enter the total energy in all combusted fuel on row 50 of the table for production class 4.</t>
  </si>
  <si>
    <t>I.Gas.P4ElectricityGeneration</t>
  </si>
  <si>
    <t>Enter the total electricity generation from all combusted fuel on row 1 of the table for production class 4.</t>
  </si>
  <si>
    <t>Enter the total electricity generation from all combusted fuel on row 2 of the table for production class 4.</t>
  </si>
  <si>
    <t>Enter the total electricity generation from all combusted fuel on row 3 of the table for production class 4.</t>
  </si>
  <si>
    <t>Enter the total electricity generation from all combusted fuel on row 4 of the table for production class 4.</t>
  </si>
  <si>
    <t>Enter the total electricity generation from all combusted fuel on row 5 of the table for production class 4.</t>
  </si>
  <si>
    <t>Enter the total electricity generation from all combusted fuel on row 6 of the table for production class 4.</t>
  </si>
  <si>
    <t>Enter the total electricity generation from all combusted fuel on row 7 of the table for production class 4.</t>
  </si>
  <si>
    <t>Enter the total electricity generation from all combusted fuel on row 8 of the table for production class 4.</t>
  </si>
  <si>
    <t>Enter the total electricity generation from all combusted fuel on row 9 of the table for production class 4.</t>
  </si>
  <si>
    <t>Enter the total electricity generation from all combusted fuel on row 10 of the table for production class 4.</t>
  </si>
  <si>
    <t>Enter the total electricity generation from all combusted fuel on row 11 of the table for production class 4.</t>
  </si>
  <si>
    <t>Enter the total electricity generation from all combusted fuel on row 12 of the table for production class 4.</t>
  </si>
  <si>
    <t>Enter the total electricity generation from all combusted fuel on row 13 of the table for production class 4.</t>
  </si>
  <si>
    <t>Enter the total electricity generation from all combusted fuel on row 14 of the table for production class 4.</t>
  </si>
  <si>
    <t>Enter the total electricity generation from all combusted fuel on row 15 of the table for production class 4.</t>
  </si>
  <si>
    <t>Enter the total electricity generation from all combusted fuel on row 16 of the table for production class 4.</t>
  </si>
  <si>
    <t>Enter the total electricity generation from all combusted fuel on row 17 of the table for production class 4.</t>
  </si>
  <si>
    <t>Enter the total electricity generation from all combusted fuel on row 18 of the table for production class 4.</t>
  </si>
  <si>
    <t>Enter the total electricity generation from all combusted fuel on row 19 of the table for production class 4.</t>
  </si>
  <si>
    <t>Enter the total electricity generation from all combusted fuel on row 20 of the table for production class 4.</t>
  </si>
  <si>
    <t>Enter the total electricity generation from all combusted fuel on row 21 of the table for production class 4.</t>
  </si>
  <si>
    <t>Enter the total electricity generation from all combusted fuel on row 22 of the table for production class 4.</t>
  </si>
  <si>
    <t>Enter the total electricity generation from all combusted fuel on row 23 of the table for production class 4.</t>
  </si>
  <si>
    <t>Enter the total electricity generation from all combusted fuel on row 24 of the table for production class 4.</t>
  </si>
  <si>
    <t>Enter the total electricity generation from all combusted fuel on row 25 of the table for production class 4.</t>
  </si>
  <si>
    <t>Enter the total electricity generation from all combusted fuel on row 26 of the table for production class 4.</t>
  </si>
  <si>
    <t>Enter the total electricity generation from all combusted fuel on row 27 of the table for production class 4.</t>
  </si>
  <si>
    <t>Enter the total electricity generation from all combusted fuel on row 28 of the table for production class 4.</t>
  </si>
  <si>
    <t>Enter the total electricity generation from all combusted fuel on row 29 of the table for production class 4.</t>
  </si>
  <si>
    <t>Enter the total electricity generation from all combusted fuel on row 30 of the table for production class 4.</t>
  </si>
  <si>
    <t>Enter the total electricity generation from all combusted fuel on row 31 of the table for production class 4.</t>
  </si>
  <si>
    <t>Enter the total electricity generation from all combusted fuel on row 32 of the table for production class 4.</t>
  </si>
  <si>
    <t>Enter the total electricity generation from all combusted fuel on row 33 of the table for production class 4.</t>
  </si>
  <si>
    <t>Enter the total electricity generation from all combusted fuel on row 34 of the table for production class 4.</t>
  </si>
  <si>
    <t>Enter the total electricity generation from all combusted fuel on row 35 of the table for production class 4.</t>
  </si>
  <si>
    <t>Enter the total electricity generation from all combusted fuel on row 36 of the table for production class 4.</t>
  </si>
  <si>
    <t>Enter the total electricity generation from all combusted fuel on row 37 of the table for production class 4.</t>
  </si>
  <si>
    <t>Enter the total electricity generation from all combusted fuel on row 38 of the table for production class 4.</t>
  </si>
  <si>
    <t>Enter the total electricity generation from all combusted fuel on row 39 of the table for production class 4.</t>
  </si>
  <si>
    <t>Enter the total electricity generation from all combusted fuel on row 40 of the table for production class 4.</t>
  </si>
  <si>
    <t>Enter the total electricity generation from all combusted fuel on row 41 of the table for production class 4.</t>
  </si>
  <si>
    <t>Enter the total electricity generation from all combusted fuel on row 42 of the table for production class 4.</t>
  </si>
  <si>
    <t>Enter the total electricity generation from all combusted fuel on row 43 of the table for production class 4.</t>
  </si>
  <si>
    <t>Enter the total electricity generation from all combusted fuel on row 44 of the table for production class 4.</t>
  </si>
  <si>
    <t>Enter the total electricity generation from all combusted fuel on row 45 of the table for production class 4.</t>
  </si>
  <si>
    <t>Enter the total electricity generation from all combusted fuel on row 46 of the table for production class 4.</t>
  </si>
  <si>
    <t>Enter the total electricity generation from all combusted fuel on row 47 of the table for production class 4.</t>
  </si>
  <si>
    <t>Enter the total electricity generation from all combusted fuel on row 48 of the table for production class 4.</t>
  </si>
  <si>
    <t>Enter the total electricity generation from all combusted fuel on row 49 of the table for production class 4.</t>
  </si>
  <si>
    <t>Enter the total electricity generation from all combusted fuel on row 50 of the table for production class 4.</t>
  </si>
  <si>
    <t>I.Gas.P4C1V1</t>
  </si>
  <si>
    <t>Enter the volume of associated gas on row 1 of the table for production class 4.</t>
  </si>
  <si>
    <t>Enter the volume of associated gas on row 2 of the table for production class 4.</t>
  </si>
  <si>
    <t>Enter the volume of associated gas on row 3 of the table for production class 4.</t>
  </si>
  <si>
    <t>Enter the volume of associated gas on row 4 of the table for production class 4.</t>
  </si>
  <si>
    <t>Enter the volume of associated gas on row 5 of the table for production class 4.</t>
  </si>
  <si>
    <t>Enter the volume of associated gas on row 6 of the table for production class 4.</t>
  </si>
  <si>
    <t>Enter the volume of associated gas on row 7 of the table for production class 4.</t>
  </si>
  <si>
    <t>Enter the volume of associated gas on row 8 of the table for production class 4.</t>
  </si>
  <si>
    <t>Enter the volume of associated gas on row 9 of the table for production class 4.</t>
  </si>
  <si>
    <t>Enter the volume of associated gas on row 10 of the table for production class 4.</t>
  </si>
  <si>
    <t>Enter the volume of associated gas on row 11 of the table for production class 4.</t>
  </si>
  <si>
    <t>Enter the volume of associated gas on row 12 of the table for production class 4.</t>
  </si>
  <si>
    <t>Enter the volume of associated gas on row 13 of the table for production class 4.</t>
  </si>
  <si>
    <t>Enter the volume of associated gas on row 14 of the table for production class 4.</t>
  </si>
  <si>
    <t>Enter the volume of associated gas on row 15 of the table for production class 4.</t>
  </si>
  <si>
    <t>Enter the volume of associated gas on row 16 of the table for production class 4.</t>
  </si>
  <si>
    <t>Enter the volume of associated gas on row 17 of the table for production class 4.</t>
  </si>
  <si>
    <t>Enter the volume of associated gas on row 18 of the table for production class 4.</t>
  </si>
  <si>
    <t>Enter the volume of associated gas on row 19 of the table for production class 4.</t>
  </si>
  <si>
    <t>Enter the volume of associated gas on row 20 of the table for production class 4.</t>
  </si>
  <si>
    <t>Enter the volume of associated gas on row 21 of the table for production class 4.</t>
  </si>
  <si>
    <t>Enter the volume of associated gas on row 22 of the table for production class 4.</t>
  </si>
  <si>
    <t>Enter the volume of associated gas on row 23 of the table for production class 4.</t>
  </si>
  <si>
    <t>Enter the volume of associated gas on row 24 of the table for production class 4.</t>
  </si>
  <si>
    <t>Enter the volume of associated gas on row 25 of the table for production class 4.</t>
  </si>
  <si>
    <t>Enter the volume of associated gas on row 26 of the table for production class 4.</t>
  </si>
  <si>
    <t>Enter the volume of associated gas on row 27 of the table for production class 4.</t>
  </si>
  <si>
    <t>Enter the volume of associated gas on row 28 of the table for production class 4.</t>
  </si>
  <si>
    <t>Enter the volume of associated gas on row 29 of the table for production class 4.</t>
  </si>
  <si>
    <t>Enter the volume of associated gas on row 30 of the table for production class 4.</t>
  </si>
  <si>
    <t>Enter the volume of associated gas on row 31 of the table for production class 4.</t>
  </si>
  <si>
    <t>Enter the volume of associated gas on row 32 of the table for production class 4.</t>
  </si>
  <si>
    <t>Enter the volume of associated gas on row 33 of the table for production class 4.</t>
  </si>
  <si>
    <t>Enter the volume of associated gas on row 34 of the table for production class 4.</t>
  </si>
  <si>
    <t>Enter the volume of associated gas on row 35 of the table for production class 4.</t>
  </si>
  <si>
    <t>Enter the volume of associated gas on row 36 of the table for production class 4.</t>
  </si>
  <si>
    <t>Enter the volume of associated gas on row 37 of the table for production class 4.</t>
  </si>
  <si>
    <t>Enter the volume of associated gas on row 38 of the table for production class 4.</t>
  </si>
  <si>
    <t>Enter the volume of associated gas on row 39 of the table for production class 4.</t>
  </si>
  <si>
    <t>Enter the volume of associated gas on row 40 of the table for production class 4.</t>
  </si>
  <si>
    <t>Enter the volume of associated gas on row 41 of the table for production class 4.</t>
  </si>
  <si>
    <t>Enter the volume of associated gas on row 42 of the table for production class 4.</t>
  </si>
  <si>
    <t>Enter the volume of associated gas on row 43 of the table for production class 4.</t>
  </si>
  <si>
    <t>Enter the volume of associated gas on row 44 of the table for production class 4.</t>
  </si>
  <si>
    <t>Enter the volume of associated gas on row 45 of the table for production class 4.</t>
  </si>
  <si>
    <t>Enter the volume of associated gas on row 46 of the table for production class 4.</t>
  </si>
  <si>
    <t>Enter the volume of associated gas on row 47 of the table for production class 4.</t>
  </si>
  <si>
    <t>Enter the volume of associated gas on row 48 of the table for production class 4.</t>
  </si>
  <si>
    <t>Enter the volume of associated gas on row 49 of the table for production class 4.</t>
  </si>
  <si>
    <t>Enter the volume of associated gas on row 50 of the table for production class 4.</t>
  </si>
  <si>
    <t>I.Gas.P4C1E1</t>
  </si>
  <si>
    <t>Enter the carbon dioxide emissions from associated gas on row 1 of the table for production class 4.</t>
  </si>
  <si>
    <t>Enter the carbon dioxide emissions from associated gas on row 2 of the table for production class 4.</t>
  </si>
  <si>
    <t>Enter the carbon dioxide emissions from associated gas on row 3 of the table for production class 4.</t>
  </si>
  <si>
    <t>Enter the carbon dioxide emissions from associated gas on row 4 of the table for production class 4.</t>
  </si>
  <si>
    <t>Enter the carbon dioxide emissions from associated gas on row 5 of the table for production class 4.</t>
  </si>
  <si>
    <t>Enter the carbon dioxide emissions from associated gas on row 6 of the table for production class 4.</t>
  </si>
  <si>
    <t>Enter the carbon dioxide emissions from associated gas on row 7 of the table for production class 4.</t>
  </si>
  <si>
    <t>Enter the carbon dioxide emissions from associated gas on row 8 of the table for production class 4.</t>
  </si>
  <si>
    <t>Enter the carbon dioxide emissions from associated gas on row 9 of the table for production class 4.</t>
  </si>
  <si>
    <t>Enter the carbon dioxide emissions from associated gas on row 10 of the table for production class 4.</t>
  </si>
  <si>
    <t>Enter the carbon dioxide emissions from associated gas on row 11 of the table for production class 4.</t>
  </si>
  <si>
    <t>Enter the carbon dioxide emissions from associated gas on row 12 of the table for production class 4.</t>
  </si>
  <si>
    <t>Enter the carbon dioxide emissions from associated gas on row 13 of the table for production class 4.</t>
  </si>
  <si>
    <t>Enter the carbon dioxide emissions from associated gas on row 14 of the table for production class 4.</t>
  </si>
  <si>
    <t>Enter the carbon dioxide emissions from associated gas on row 15 of the table for production class 4.</t>
  </si>
  <si>
    <t>Enter the carbon dioxide emissions from associated gas on row 16 of the table for production class 4.</t>
  </si>
  <si>
    <t>Enter the carbon dioxide emissions from associated gas on row 17 of the table for production class 4.</t>
  </si>
  <si>
    <t>Enter the carbon dioxide emissions from associated gas on row 18 of the table for production class 4.</t>
  </si>
  <si>
    <t>Enter the carbon dioxide emissions from associated gas on row 19 of the table for production class 4.</t>
  </si>
  <si>
    <t>Enter the carbon dioxide emissions from associated gas on row 20 of the table for production class 4.</t>
  </si>
  <si>
    <t>Enter the carbon dioxide emissions from associated gas on row 21 of the table for production class 4.</t>
  </si>
  <si>
    <t>Enter the carbon dioxide emissions from associated gas on row 22 of the table for production class 4.</t>
  </si>
  <si>
    <t>Enter the carbon dioxide emissions from associated gas on row 23 of the table for production class 4.</t>
  </si>
  <si>
    <t>Enter the carbon dioxide emissions from associated gas on row 24 of the table for production class 4.</t>
  </si>
  <si>
    <t>Enter the carbon dioxide emissions from associated gas on row 25 of the table for production class 4.</t>
  </si>
  <si>
    <t>Enter the carbon dioxide emissions from associated gas on row 26 of the table for production class 4.</t>
  </si>
  <si>
    <t>Enter the carbon dioxide emissions from associated gas on row 27 of the table for production class 4.</t>
  </si>
  <si>
    <t>Enter the carbon dioxide emissions from associated gas on row 28 of the table for production class 4.</t>
  </si>
  <si>
    <t>Enter the carbon dioxide emissions from associated gas on row 29 of the table for production class 4.</t>
  </si>
  <si>
    <t>Enter the carbon dioxide emissions from associated gas on row 30 of the table for production class 4.</t>
  </si>
  <si>
    <t>Enter the carbon dioxide emissions from associated gas on row 31 of the table for production class 4.</t>
  </si>
  <si>
    <t>Enter the carbon dioxide emissions from associated gas on row 32 of the table for production class 4.</t>
  </si>
  <si>
    <t>Enter the carbon dioxide emissions from associated gas on row 33 of the table for production class 4.</t>
  </si>
  <si>
    <t>Enter the carbon dioxide emissions from associated gas on row 34 of the table for production class 4.</t>
  </si>
  <si>
    <t>Enter the carbon dioxide emissions from associated gas on row 35 of the table for production class 4.</t>
  </si>
  <si>
    <t>Enter the carbon dioxide emissions from associated gas on row 36 of the table for production class 4.</t>
  </si>
  <si>
    <t>Enter the carbon dioxide emissions from associated gas on row 37 of the table for production class 4.</t>
  </si>
  <si>
    <t>Enter the carbon dioxide emissions from associated gas on row 38 of the table for production class 4.</t>
  </si>
  <si>
    <t>Enter the carbon dioxide emissions from associated gas on row 39 of the table for production class 4.</t>
  </si>
  <si>
    <t>Enter the carbon dioxide emissions from associated gas on row 40 of the table for production class 4.</t>
  </si>
  <si>
    <t>Enter the carbon dioxide emissions from associated gas on row 41 of the table for production class 4.</t>
  </si>
  <si>
    <t>Enter the carbon dioxide emissions from associated gas on row 42 of the table for production class 4.</t>
  </si>
  <si>
    <t>Enter the carbon dioxide emissions from associated gas on row 43 of the table for production class 4.</t>
  </si>
  <si>
    <t>Enter the carbon dioxide emissions from associated gas on row 44 of the table for production class 4.</t>
  </si>
  <si>
    <t>Enter the carbon dioxide emissions from associated gas on row 45 of the table for production class 4.</t>
  </si>
  <si>
    <t>Enter the carbon dioxide emissions from associated gas on row 46 of the table for production class 4.</t>
  </si>
  <si>
    <t>Enter the carbon dioxide emissions from associated gas on row 47 of the table for production class 4.</t>
  </si>
  <si>
    <t>Enter the carbon dioxide emissions from associated gas on row 48 of the table for production class 4.</t>
  </si>
  <si>
    <t>Enter the carbon dioxide emissions from associated gas on row 49 of the table for production class 4.</t>
  </si>
  <si>
    <t>Enter the carbon dioxide emissions from associated gas on row 50 of the table for production class 4.</t>
  </si>
  <si>
    <t>I.Gas.P4C1E2</t>
  </si>
  <si>
    <t>Enter the methane emissions from associated gas on row 1 of the table for production class 4.</t>
  </si>
  <si>
    <t>Enter the methane emissions from associated gas on row 2 of the table for production class 4.</t>
  </si>
  <si>
    <t>Enter the methane emissions from associated gas on row 3 of the table for production class 4.</t>
  </si>
  <si>
    <t>Enter the methane emissions from associated gas on row 4 of the table for production class 4.</t>
  </si>
  <si>
    <t>Enter the methane emissions from associated gas on row 5 of the table for production class 4.</t>
  </si>
  <si>
    <t>Enter the methane emissions from associated gas on row 6 of the table for production class 4.</t>
  </si>
  <si>
    <t>Enter the methane emissions from associated gas on row 7 of the table for production class 4.</t>
  </si>
  <si>
    <t>Enter the methane emissions from associated gas on row 8 of the table for production class 4.</t>
  </si>
  <si>
    <t>Enter the methane emissions from associated gas on row 9 of the table for production class 4.</t>
  </si>
  <si>
    <t>Enter the methane emissions from associated gas on row 10 of the table for production class 4.</t>
  </si>
  <si>
    <t>Enter the methane emissions from associated gas on row 11 of the table for production class 4.</t>
  </si>
  <si>
    <t>Enter the methane emissions from associated gas on row 12 of the table for production class 4.</t>
  </si>
  <si>
    <t>Enter the methane emissions from associated gas on row 13 of the table for production class 4.</t>
  </si>
  <si>
    <t>Enter the methane emissions from associated gas on row 14 of the table for production class 4.</t>
  </si>
  <si>
    <t>Enter the methane emissions from associated gas on row 15 of the table for production class 4.</t>
  </si>
  <si>
    <t>Enter the methane emissions from associated gas on row 16 of the table for production class 4.</t>
  </si>
  <si>
    <t>Enter the methane emissions from associated gas on row 17 of the table for production class 4.</t>
  </si>
  <si>
    <t>Enter the methane emissions from associated gas on row 18 of the table for production class 4.</t>
  </si>
  <si>
    <t>Enter the methane emissions from associated gas on row 19 of the table for production class 4.</t>
  </si>
  <si>
    <t>Enter the methane emissions from associated gas on row 20 of the table for production class 4.</t>
  </si>
  <si>
    <t>Enter the methane emissions from associated gas on row 21 of the table for production class 4.</t>
  </si>
  <si>
    <t>Enter the methane emissions from associated gas on row 22 of the table for production class 4.</t>
  </si>
  <si>
    <t>Enter the methane emissions from associated gas on row 23 of the table for production class 4.</t>
  </si>
  <si>
    <t>Enter the methane emissions from associated gas on row 24 of the table for production class 4.</t>
  </si>
  <si>
    <t>Enter the methane emissions from associated gas on row 25 of the table for production class 4.</t>
  </si>
  <si>
    <t>Enter the methane emissions from associated gas on row 26 of the table for production class 4.</t>
  </si>
  <si>
    <t>Enter the methane emissions from associated gas on row 27 of the table for production class 4.</t>
  </si>
  <si>
    <t>Enter the methane emissions from associated gas on row 28 of the table for production class 4.</t>
  </si>
  <si>
    <t>Enter the methane emissions from associated gas on row 29 of the table for production class 4.</t>
  </si>
  <si>
    <t>Enter the methane emissions from associated gas on row 30 of the table for production class 4.</t>
  </si>
  <si>
    <t>Enter the methane emissions from associated gas on row 31 of the table for production class 4.</t>
  </si>
  <si>
    <t>Enter the methane emissions from associated gas on row 32 of the table for production class 4.</t>
  </si>
  <si>
    <t>Enter the methane emissions from associated gas on row 33 of the table for production class 4.</t>
  </si>
  <si>
    <t>Enter the methane emissions from associated gas on row 34 of the table for production class 4.</t>
  </si>
  <si>
    <t>Enter the methane emissions from associated gas on row 35 of the table for production class 4.</t>
  </si>
  <si>
    <t>Enter the methane emissions from associated gas on row 36 of the table for production class 4.</t>
  </si>
  <si>
    <t>Enter the methane emissions from associated gas on row 37 of the table for production class 4.</t>
  </si>
  <si>
    <t>Enter the methane emissions from associated gas on row 38 of the table for production class 4.</t>
  </si>
  <si>
    <t>Enter the methane emissions from associated gas on row 39 of the table for production class 4.</t>
  </si>
  <si>
    <t>Enter the methane emissions from associated gas on row 40 of the table for production class 4.</t>
  </si>
  <si>
    <t>Enter the methane emissions from associated gas on row 41 of the table for production class 4.</t>
  </si>
  <si>
    <t>Enter the methane emissions from associated gas on row 42 of the table for production class 4.</t>
  </si>
  <si>
    <t>Enter the methane emissions from associated gas on row 43 of the table for production class 4.</t>
  </si>
  <si>
    <t>Enter the methane emissions from associated gas on row 44 of the table for production class 4.</t>
  </si>
  <si>
    <t>Enter the methane emissions from associated gas on row 45 of the table for production class 4.</t>
  </si>
  <si>
    <t>Enter the methane emissions from associated gas on row 46 of the table for production class 4.</t>
  </si>
  <si>
    <t>Enter the methane emissions from associated gas on row 47 of the table for production class 4.</t>
  </si>
  <si>
    <t>Enter the methane emissions from associated gas on row 48 of the table for production class 4.</t>
  </si>
  <si>
    <t>Enter the methane emissions from associated gas on row 49 of the table for production class 4.</t>
  </si>
  <si>
    <t>Enter the methane emissions from associated gas on row 50 of the table for production class 4.</t>
  </si>
  <si>
    <t>I.Gas.P4C1E3</t>
  </si>
  <si>
    <t>Enter the nitrous oxide emissions from associated gas on row 1 of the table for production class 4.</t>
  </si>
  <si>
    <t>Enter the nitrous oxide emissions from associated gas on row 2 of the table for production class 4.</t>
  </si>
  <si>
    <t>Enter the nitrous oxide emissions from associated gas on row 3 of the table for production class 4.</t>
  </si>
  <si>
    <t>Enter the nitrous oxide emissions from associated gas on row 4 of the table for production class 4.</t>
  </si>
  <si>
    <t>Enter the nitrous oxide emissions from associated gas on row 5 of the table for production class 4.</t>
  </si>
  <si>
    <t>Enter the nitrous oxide emissions from associated gas on row 6 of the table for production class 4.</t>
  </si>
  <si>
    <t>Enter the nitrous oxide emissions from associated gas on row 7 of the table for production class 4.</t>
  </si>
  <si>
    <t>Enter the nitrous oxide emissions from associated gas on row 8 of the table for production class 4.</t>
  </si>
  <si>
    <t>Enter the nitrous oxide emissions from associated gas on row 9 of the table for production class 4.</t>
  </si>
  <si>
    <t>Enter the nitrous oxide emissions from associated gas on row 10 of the table for production class 4.</t>
  </si>
  <si>
    <t>Enter the nitrous oxide emissions from associated gas on row 11 of the table for production class 4.</t>
  </si>
  <si>
    <t>Enter the nitrous oxide emissions from associated gas on row 12 of the table for production class 4.</t>
  </si>
  <si>
    <t>Enter the nitrous oxide emissions from associated gas on row 13 of the table for production class 4.</t>
  </si>
  <si>
    <t>Enter the nitrous oxide emissions from associated gas on row 14 of the table for production class 4.</t>
  </si>
  <si>
    <t>Enter the nitrous oxide emissions from associated gas on row 15 of the table for production class 4.</t>
  </si>
  <si>
    <t>Enter the nitrous oxide emissions from associated gas on row 16 of the table for production class 4.</t>
  </si>
  <si>
    <t>Enter the nitrous oxide emissions from associated gas on row 17 of the table for production class 4.</t>
  </si>
  <si>
    <t>Enter the nitrous oxide emissions from associated gas on row 18 of the table for production class 4.</t>
  </si>
  <si>
    <t>Enter the nitrous oxide emissions from associated gas on row 19 of the table for production class 4.</t>
  </si>
  <si>
    <t>Enter the nitrous oxide emissions from associated gas on row 20 of the table for production class 4.</t>
  </si>
  <si>
    <t>Enter the nitrous oxide emissions from associated gas on row 21 of the table for production class 4.</t>
  </si>
  <si>
    <t>Enter the nitrous oxide emissions from associated gas on row 22 of the table for production class 4.</t>
  </si>
  <si>
    <t>Enter the nitrous oxide emissions from associated gas on row 23 of the table for production class 4.</t>
  </si>
  <si>
    <t>Enter the nitrous oxide emissions from associated gas on row 24 of the table for production class 4.</t>
  </si>
  <si>
    <t>Enter the nitrous oxide emissions from associated gas on row 25 of the table for production class 4.</t>
  </si>
  <si>
    <t>Enter the nitrous oxide emissions from associated gas on row 26 of the table for production class 4.</t>
  </si>
  <si>
    <t>Enter the nitrous oxide emissions from associated gas on row 27 of the table for production class 4.</t>
  </si>
  <si>
    <t>Enter the nitrous oxide emissions from associated gas on row 28 of the table for production class 4.</t>
  </si>
  <si>
    <t>Enter the nitrous oxide emissions from associated gas on row 29 of the table for production class 4.</t>
  </si>
  <si>
    <t>Enter the nitrous oxide emissions from associated gas on row 30 of the table for production class 4.</t>
  </si>
  <si>
    <t>Enter the nitrous oxide emissions from associated gas on row 31 of the table for production class 4.</t>
  </si>
  <si>
    <t>Enter the nitrous oxide emissions from associated gas on row 32 of the table for production class 4.</t>
  </si>
  <si>
    <t>Enter the nitrous oxide emissions from associated gas on row 33 of the table for production class 4.</t>
  </si>
  <si>
    <t>Enter the nitrous oxide emissions from associated gas on row 34 of the table for production class 4.</t>
  </si>
  <si>
    <t>Enter the nitrous oxide emissions from associated gas on row 35 of the table for production class 4.</t>
  </si>
  <si>
    <t>Enter the nitrous oxide emissions from associated gas on row 36 of the table for production class 4.</t>
  </si>
  <si>
    <t>Enter the nitrous oxide emissions from associated gas on row 37 of the table for production class 4.</t>
  </si>
  <si>
    <t>Enter the nitrous oxide emissions from associated gas on row 38 of the table for production class 4.</t>
  </si>
  <si>
    <t>Enter the nitrous oxide emissions from associated gas on row 39 of the table for production class 4.</t>
  </si>
  <si>
    <t>Enter the nitrous oxide emissions from associated gas on row 40 of the table for production class 4.</t>
  </si>
  <si>
    <t>Enter the nitrous oxide emissions from associated gas on row 41 of the table for production class 4.</t>
  </si>
  <si>
    <t>Enter the nitrous oxide emissions from associated gas on row 42 of the table for production class 4.</t>
  </si>
  <si>
    <t>Enter the nitrous oxide emissions from associated gas on row 43 of the table for production class 4.</t>
  </si>
  <si>
    <t>Enter the nitrous oxide emissions from associated gas on row 44 of the table for production class 4.</t>
  </si>
  <si>
    <t>Enter the nitrous oxide emissions from associated gas on row 45 of the table for production class 4.</t>
  </si>
  <si>
    <t>Enter the nitrous oxide emissions from associated gas on row 46 of the table for production class 4.</t>
  </si>
  <si>
    <t>Enter the nitrous oxide emissions from associated gas on row 47 of the table for production class 4.</t>
  </si>
  <si>
    <t>Enter the nitrous oxide emissions from associated gas on row 48 of the table for production class 4.</t>
  </si>
  <si>
    <t>Enter the nitrous oxide emissions from associated gas on row 49 of the table for production class 4.</t>
  </si>
  <si>
    <t>Enter the nitrous oxide emissions from associated gas on row 50 of the table for production class 4.</t>
  </si>
  <si>
    <t>I.Drilling.P1Depth</t>
  </si>
  <si>
    <t>Enter the number of metres drilled through drilling operations using fuel purchased by the regulated emitter in production class 1.</t>
  </si>
  <si>
    <t>I.Drilling.P1C1</t>
  </si>
  <si>
    <t>Enter the carbon dioxide emissions from drilling for production class 1.</t>
  </si>
  <si>
    <t>Enter the methane emissions from drilling for production class 1.</t>
  </si>
  <si>
    <t>Enter the nitrous oxide emissions from drilling for production class 1.</t>
  </si>
  <si>
    <t>I.Drilling.P2aDepth</t>
  </si>
  <si>
    <t>Enter the number of metres drilled through drilling operations using fuel purchased by the regulated emitter in production class 2a.</t>
  </si>
  <si>
    <t>I.Drilling.P2aC1</t>
  </si>
  <si>
    <t>Enter the carbon dioxide emissions from drilling for production class 2a.</t>
  </si>
  <si>
    <t>Enter the methane emissions from drilling for production class 2a.</t>
  </si>
  <si>
    <t>Enter the nitrous oxide emissions from drilling for production class 2a.</t>
  </si>
  <si>
    <t>I.Drilling.P2bDepth</t>
  </si>
  <si>
    <t>Enter the number of metres drilled through drilling operations using fuel purchased by the regulated emitter in production class 2b.</t>
  </si>
  <si>
    <t>I.Drilling.P2bC1</t>
  </si>
  <si>
    <t>Enter the carbon dioxide emissions from drilling for production class 2b.</t>
  </si>
  <si>
    <t>Enter the methane emissions from drilling for production class 2b.</t>
  </si>
  <si>
    <t>Enter the nitrous oxide emissions from drilling for production class 2b.</t>
  </si>
  <si>
    <t>I.Drilling.P3Depth</t>
  </si>
  <si>
    <t>Enter the number of metres drilled through drilling operations using fuel purchased by the regulated emitter in production class 3.</t>
  </si>
  <si>
    <t>I.Drilling.P3C1</t>
  </si>
  <si>
    <t>Enter the carbon dioxide emissions from drilling for production class 3.</t>
  </si>
  <si>
    <t>Enter the methane emissions from drilling for production class 3.</t>
  </si>
  <si>
    <t>Enter the nitrous oxide emissions from drilling for production class 3.</t>
  </si>
  <si>
    <t>I.Drilling.P4Depth</t>
  </si>
  <si>
    <t>Enter the number of metres drilled through drilling operations using fuel purchased by the regulated emitter in production class 4.</t>
  </si>
  <si>
    <t>I.Drilling.P4C1</t>
  </si>
  <si>
    <t>Enter the carbon dioxide emissions from drilling for production class 4.</t>
  </si>
  <si>
    <t>Enter the methane emissions from drilling for production class 4.</t>
  </si>
  <si>
    <t>Enter the nitrous oxide emissions from drilling for production class 4.</t>
  </si>
  <si>
    <t>I.Declaration.Name</t>
  </si>
  <si>
    <t>Enter the name of the authorized signing officer.</t>
  </si>
  <si>
    <t>I.Declaration.Date</t>
  </si>
  <si>
    <t>Enter the date of signature.</t>
  </si>
  <si>
    <t>I.Developer.P1</t>
  </si>
  <si>
    <t>I.Developer.P2a</t>
  </si>
  <si>
    <t>I.Developer.P2b</t>
  </si>
  <si>
    <t>I.Developer.P3</t>
  </si>
  <si>
    <t>I.Developer.P4</t>
  </si>
  <si>
    <t>I.Developer.P1C1</t>
  </si>
  <si>
    <t>I.Developer.P1C2</t>
  </si>
  <si>
    <t>I.Developer.P1C3</t>
  </si>
  <si>
    <t>I.Developer.P1C4</t>
  </si>
  <si>
    <t>I.Developer.P1C1V2</t>
  </si>
  <si>
    <t>I.Developer.P1C1V3</t>
  </si>
  <si>
    <t>I.Developer.P1C1V4</t>
  </si>
  <si>
    <t>I.Developer.P1C1V5</t>
  </si>
  <si>
    <t>I.Developer.P1C1V6</t>
  </si>
  <si>
    <t>I.Developer.P2aC1</t>
  </si>
  <si>
    <t>I.Developer.P2aC2</t>
  </si>
  <si>
    <t>I.Developer.P2aC3</t>
  </si>
  <si>
    <t>I.Developer.P2aC4</t>
  </si>
  <si>
    <t>I.Developer.P2aC1V2</t>
  </si>
  <si>
    <t>I.Developer.P2aC1V3</t>
  </si>
  <si>
    <t>I.Developer.P2aC1V4</t>
  </si>
  <si>
    <t>I.Developer.P2aC1V5</t>
  </si>
  <si>
    <t>I.Developer.P2aC1V6</t>
  </si>
  <si>
    <t>I.Developer.P2bC1</t>
  </si>
  <si>
    <t>I.Developer.P2bC2</t>
  </si>
  <si>
    <t>I.Developer.P2bC3</t>
  </si>
  <si>
    <t>I.Developer.P2bC4</t>
  </si>
  <si>
    <t>I.Developer.P2bC1V2</t>
  </si>
  <si>
    <t>I.Developer.P2bC1V3</t>
  </si>
  <si>
    <t>I.Developer.P2bC1V4</t>
  </si>
  <si>
    <t>I.Developer.P2bC1V5</t>
  </si>
  <si>
    <t>I.Developer.P2bC1V6</t>
  </si>
  <si>
    <t>I.Developer.P3C1</t>
  </si>
  <si>
    <t>I.Developer.P3C2</t>
  </si>
  <si>
    <t>I.Developer.P3C3</t>
  </si>
  <si>
    <t>I.Developer.P3C4</t>
  </si>
  <si>
    <t>I.Developer.P3C1V2</t>
  </si>
  <si>
    <t>I.Developer.P3C1V3</t>
  </si>
  <si>
    <t>I.Developer.P3C1V4</t>
  </si>
  <si>
    <t>I.Developer.P3C1V5</t>
  </si>
  <si>
    <t>I.Developer.P3C1V6</t>
  </si>
  <si>
    <t>I.Developer.P4C1</t>
  </si>
  <si>
    <t>I.Developer.P4C2</t>
  </si>
  <si>
    <t>I.Developer.P4C3</t>
  </si>
  <si>
    <t>I.Developer.P4C4</t>
  </si>
  <si>
    <t>I.Developer.P4C1V2</t>
  </si>
  <si>
    <t>I.Developer.P4C1V3</t>
  </si>
  <si>
    <t>I.Developer.P4C1V4</t>
  </si>
  <si>
    <t>I.Developer.P4C1V5</t>
  </si>
  <si>
    <t>I.Developer.P4C1V6</t>
  </si>
  <si>
    <t>Enter the reduction period and unrounded baseline emissions intensity for each product. Refer to the Appendix tab for instructions on reporting reduction period.</t>
  </si>
  <si>
    <r>
      <t>tonnes CO</t>
    </r>
    <r>
      <rPr>
        <vertAlign val="subscript"/>
        <sz val="11"/>
        <color rgb="FF000000"/>
        <rFont val="Aptos Narrow"/>
        <family val="2"/>
      </rPr>
      <t>2</t>
    </r>
    <r>
      <rPr>
        <sz val="11"/>
        <color rgb="FF000000"/>
        <rFont val="Aptos Narrow"/>
        <family val="2"/>
      </rPr>
      <t>e/BOE</t>
    </r>
  </si>
  <si>
    <r>
      <t>tonnes CO</t>
    </r>
    <r>
      <rPr>
        <vertAlign val="subscript"/>
        <sz val="11"/>
        <color rgb="FF000000"/>
        <rFont val="Aptos Narrow"/>
        <family val="2"/>
      </rPr>
      <t>2</t>
    </r>
    <r>
      <rPr>
        <sz val="11"/>
        <color rgb="FF000000"/>
        <rFont val="Aptos Narrow"/>
        <family val="2"/>
      </rPr>
      <t>e/GWh</t>
    </r>
  </si>
  <si>
    <t>Upstream oil and gas 1</t>
  </si>
  <si>
    <t>Upstream oil and gas 2</t>
  </si>
  <si>
    <t>Upstream oil and gas 3</t>
  </si>
  <si>
    <t>Upstream oil and gas 4</t>
  </si>
  <si>
    <t>Upstream oil and gas 5</t>
  </si>
  <si>
    <t>Upstream oil and gas 6</t>
  </si>
  <si>
    <t>Upstream oil and gas 7</t>
  </si>
  <si>
    <t>Upstream oil and gas 8</t>
  </si>
  <si>
    <t>Upstream oil and gas 9</t>
  </si>
  <si>
    <t>Upstream oil and gas 10</t>
  </si>
  <si>
    <t>Upstream oil and gas 11</t>
  </si>
  <si>
    <t>Upstream oil and gas 12</t>
  </si>
  <si>
    <t>Gas-to-power operation 1</t>
  </si>
  <si>
    <t>Gas-to-power operation 2</t>
  </si>
  <si>
    <t>Gas-to-power operation 3</t>
  </si>
  <si>
    <t>Gas-to-power operation 4</t>
  </si>
  <si>
    <t>Gas-to-power operation 5</t>
  </si>
  <si>
    <t>Gas-to-power operation 6</t>
  </si>
  <si>
    <t>Gas-to-power operation 7</t>
  </si>
  <si>
    <t>Gas-to-power operation 8</t>
  </si>
  <si>
    <t>I.Compliance.P1ReductionPeriod</t>
  </si>
  <si>
    <t>I.Compliance.P1GTPReductionPeriod</t>
  </si>
  <si>
    <t>I.Compliance.P2aReductionPeriod</t>
  </si>
  <si>
    <t>I.Compliance.P2aGTPReductionPeriod</t>
  </si>
  <si>
    <t>I.Compliance.P2bReductionPeriod</t>
  </si>
  <si>
    <t>I.Compliance.P2bGTPReductionPeriod</t>
  </si>
  <si>
    <t>I.Compliance.P3ReductionPeriod</t>
  </si>
  <si>
    <t>I.Compliance.P3GTPReductionPeriod</t>
  </si>
  <si>
    <t>I.Compliance.P4ReductionPeriod</t>
  </si>
  <si>
    <t>I.Compliance.P4GTPReductionPeriod</t>
  </si>
  <si>
    <t>S.Compliance.P1</t>
  </si>
  <si>
    <t>S.Compliance.P1Drilling</t>
  </si>
  <si>
    <t>S.Compliance.P2a</t>
  </si>
  <si>
    <t>S.Compliance.P2aDrilling</t>
  </si>
  <si>
    <t>S.Compliance.P2b</t>
  </si>
  <si>
    <t>S.Compliance.P2bDrilling</t>
  </si>
  <si>
    <t>S.Compliance.P3</t>
  </si>
  <si>
    <t>S.Compliance.P3Drilling</t>
  </si>
  <si>
    <t>S.Compliance.P4</t>
  </si>
  <si>
    <t>S.Compliance.P4Drilling</t>
  </si>
  <si>
    <t>S.Compliance.Drilling</t>
  </si>
  <si>
    <t>S.Developer.Lookups</t>
  </si>
  <si>
    <t>R.Compliance.PrintArea</t>
  </si>
  <si>
    <t>R.Compliance.Timestamp</t>
  </si>
  <si>
    <t>R.Compliance.Notification</t>
  </si>
  <si>
    <t>Enter the reduction period for the BOE product for production class 1.</t>
  </si>
  <si>
    <t>Enter the reduction period for the BOE product for production class 2a.</t>
  </si>
  <si>
    <t>Enter the reduction period for the BOE product for production class 2b.</t>
  </si>
  <si>
    <t>Enter the reduction period for the BOE product for production class 3.</t>
  </si>
  <si>
    <t>Enter the reduction period for the BOE product for production class 4.</t>
  </si>
  <si>
    <t>Enter the baseline emissions intensity for the BOE product for production class 1.</t>
  </si>
  <si>
    <t>Enter the reduction period for the gas-to-power product for production class 1.</t>
  </si>
  <si>
    <t>Enter the baseline emissions intensity for the gas-to-power product for production class 1.</t>
  </si>
  <si>
    <t>Enter the baseline emissions intensity for the BOE product for production class 2a.</t>
  </si>
  <si>
    <t>Enter the reduction period for the gas-to-power product for production class 2a.</t>
  </si>
  <si>
    <t>Enter the baseline emissions intensity for the gas-to-power product for production class 2a.</t>
  </si>
  <si>
    <t>Enter the baseline emissions intensity for the BOE product for production class 2b.</t>
  </si>
  <si>
    <t>Enter the reduction period for the gas-to-power product for production class 2b.</t>
  </si>
  <si>
    <t>Enter the baseline emissions intensity for the gas-to-power product for production class 2b.</t>
  </si>
  <si>
    <t>Enter the baseline emissions intensity for the BOE product for production class 3.</t>
  </si>
  <si>
    <t>Enter the reduction period for the gas-to-power product for production class 3.</t>
  </si>
  <si>
    <t>Enter the baseline emissions intensity for the gas-to-power product for production class 3.</t>
  </si>
  <si>
    <t>Enter the baseline emissions intensity for the BOE product for production class 4.</t>
  </si>
  <si>
    <t>Enter the reduction period for the gas-to-power product for production class 4.</t>
  </si>
  <si>
    <t>Enter the baseline emissions intensity for the gas-to-power product for production class 4.</t>
  </si>
  <si>
    <t>R.Facility.Notification</t>
  </si>
  <si>
    <t>R.Product.Notification</t>
  </si>
  <si>
    <t>='Product Information'!$C$129</t>
  </si>
  <si>
    <t>R.Production.Notification</t>
  </si>
  <si>
    <t>='Production Data'!$C$299</t>
  </si>
  <si>
    <t>R.Electricity.Notification</t>
  </si>
  <si>
    <t>='Electricity Data'!$C$282</t>
  </si>
  <si>
    <t>R.Gas.Notification</t>
  </si>
  <si>
    <t>='Gas-to-Power Data'!$C$327</t>
  </si>
  <si>
    <t>R.Drilling.Notification</t>
  </si>
  <si>
    <t>='Drilling Data'!$C$69</t>
  </si>
  <si>
    <t>R.Declaration.Notification</t>
  </si>
  <si>
    <t>S.Compliance.P1GasToPower</t>
  </si>
  <si>
    <t>S.Compliance.P2aGasToPower</t>
  </si>
  <si>
    <t>S.Compliance.P2bGasToPower</t>
  </si>
  <si>
    <t>S.Compliance.P3GasToPower</t>
  </si>
  <si>
    <t>S.Compliance.P4GasToPower</t>
  </si>
  <si>
    <r>
      <t>tonnes CO</t>
    </r>
    <r>
      <rPr>
        <vertAlign val="subscript"/>
        <sz val="11"/>
        <color rgb="FF000000"/>
        <rFont val="Aptos Narrow"/>
        <family val="2"/>
      </rPr>
      <t>2</t>
    </r>
    <r>
      <rPr>
        <sz val="11"/>
        <color rgb="FF000000"/>
        <rFont val="Aptos Narrow"/>
        <family val="2"/>
      </rPr>
      <t>e/metres</t>
    </r>
  </si>
  <si>
    <t>Compliance</t>
  </si>
  <si>
    <t>Compliance Summary</t>
  </si>
  <si>
    <t>=Compliance!$B$1:$F$170</t>
  </si>
  <si>
    <t>=Compliance!$C$164</t>
  </si>
  <si>
    <t>=Compliance!$C$168</t>
  </si>
  <si>
    <t>I.Compliance.P1BaselineEmissionsIntensity</t>
  </si>
  <si>
    <t>I.Compliance.P1GTPBaselineEmissionsIntensity</t>
  </si>
  <si>
    <t>I.Compliance.P2aBaselineEmissionsIntensity</t>
  </si>
  <si>
    <t>I.Compliance.P2aGTPBaselineEmissionsIntensity</t>
  </si>
  <si>
    <t>I.Compliance.P2bBaselineEmissionsIntensity</t>
  </si>
  <si>
    <t>I.Compliance.P2bGTPBaselineEmissionsIntensity</t>
  </si>
  <si>
    <t>I.Compliance.P3BaselineEmissionsIntensity</t>
  </si>
  <si>
    <t>I.Compliance.P3GTPBaselineEmissionsIntensity</t>
  </si>
  <si>
    <t>I.Compliance.P4BaselineEmissionsIntensity</t>
  </si>
  <si>
    <t>I.Compliance.P4GTPBaselineEmissionsIntensity</t>
  </si>
  <si>
    <t>The reduction period must be the same for all BOE products.</t>
  </si>
  <si>
    <t>The reduction period for a product is equal to the compliance year minus the year prior to that product's first compliance year. The BOE product in all production classes share the same reduction period, even if new production classes are added. The reduction period for a gas-to-power product may differ from the reduction period of the BOE product, or from the gas-to-power product within any other production class.</t>
  </si>
  <si>
    <t>(authorized signing officer) confirm that all the information</t>
  </si>
  <si>
    <t>Both an Excel and PDF version of this form must be submitted along with any other required documents. After reviewing each tab, the authorized signing officer must enter their name and the date and click the button below to convert this form to a PDF. The PDF must be signed by the authorized signing officer on the line below.</t>
  </si>
  <si>
    <t>Emissions return form for aggregate facilities</t>
  </si>
  <si>
    <t>=Declaration!$B$1:$G$38</t>
  </si>
  <si>
    <t>=Declaration!$C$31</t>
  </si>
  <si>
    <t>=Declaration!$C$36</t>
  </si>
  <si>
    <t>=Appendix!$B$1:$F$30</t>
  </si>
  <si>
    <t>Before using this form, ensure it is saved in a trusted location.</t>
  </si>
  <si>
    <t>The authorized signing officer must provide a signature on the Declaration tab of the PDF.</t>
  </si>
  <si>
    <t>Both the Excel and PDF versions of this form must be submitted in their entirety along with any other required documents.</t>
  </si>
  <si>
    <t>The timestamp on each tab of this Excel form must match the timestamp on each tab of the PDF version.</t>
  </si>
  <si>
    <t>Contact Information</t>
  </si>
  <si>
    <r>
      <t xml:space="preserve">All information included in support of this submission is considered public in accordance with section 61(1) of </t>
    </r>
    <r>
      <rPr>
        <i/>
        <sz val="11"/>
        <color rgb="FF000000"/>
        <rFont val="Aptos Narrow"/>
        <family val="2"/>
      </rPr>
      <t>The Management and Reduction of Greenhouse Gases Act.</t>
    </r>
    <r>
      <rPr>
        <sz val="11"/>
        <color rgb="FF000000"/>
        <rFont val="Aptos Narrow"/>
        <family val="2"/>
      </rPr>
      <t xml:space="preserve"> A request to keep confidential any part of this submission for a period of five years must be made in writing by submitting the </t>
    </r>
    <r>
      <rPr>
        <i/>
        <sz val="11"/>
        <color rgb="FF000000"/>
        <rFont val="Aptos Narrow"/>
        <family val="2"/>
      </rPr>
      <t>Confidentiality Request Form for Regulated Emitters Subject to The Management and Reduction of Greenhouse Gases (Standards and Compliance) Regulations, 2023</t>
    </r>
    <r>
      <rPr>
        <sz val="11"/>
        <color rgb="FF000000"/>
        <rFont val="Aptos Narrow"/>
        <family val="2"/>
      </rPr>
      <t xml:space="preserve"> with this submission per section 61(3) of </t>
    </r>
    <r>
      <rPr>
        <i/>
        <sz val="11"/>
        <color rgb="FF000000"/>
        <rFont val="Aptos Narrow"/>
        <family val="2"/>
      </rPr>
      <t>The Management and Reduction of Greenhouse Gases Act</t>
    </r>
    <r>
      <rPr>
        <sz val="11"/>
        <color rgb="FF000000"/>
        <rFont val="Aptos Narrow"/>
        <family val="2"/>
      </rPr>
      <t xml:space="preserve"> and section 32 of </t>
    </r>
    <r>
      <rPr>
        <i/>
        <sz val="11"/>
        <color rgb="FF000000"/>
        <rFont val="Aptos Narrow"/>
        <family val="2"/>
      </rPr>
      <t>The Management and Reduction of Greenhouse Gases (Standards and Compliance) Regulations, 2023.</t>
    </r>
    <r>
      <rPr>
        <sz val="11"/>
        <color rgb="FF000000"/>
        <rFont val="Aptos Narrow"/>
        <family val="2"/>
      </rPr>
      <t xml:space="preserve"> Subsequent requests may be made prior to the expiry period to extend confidentiality of all or any part of this submission on five-year intervals per section 61(4) of </t>
    </r>
    <r>
      <rPr>
        <i/>
        <sz val="11"/>
        <color rgb="FF000000"/>
        <rFont val="Aptos Narrow"/>
        <family val="2"/>
      </rPr>
      <t>The Management and Reduction of Greenhouse Gases Act.</t>
    </r>
  </si>
  <si>
    <t>This completed form must be submitted by email to OBPSENV@gov.sk.ca.</t>
  </si>
  <si>
    <t>=Instructions!$B$1:$F$82</t>
  </si>
  <si>
    <t>=Instructions!$C$82</t>
  </si>
  <si>
    <t>=Instructions!$E$82</t>
  </si>
  <si>
    <t>If the facility contains electricity generating units, a simplified process flow diagram of each distinct unit must be included with this submission. The diagrams must be in PDF format.</t>
  </si>
  <si>
    <t>An authorized signing officer is a person who has the authority to accept legal responsibility on behalf of the facility in this form.</t>
  </si>
  <si>
    <t>Proof of authority for an authorized signing officer must be submitted with the contact information form if the authorized signing officer does not hold the position of chief executive officer, chief financial officer, chief operating officer, president or vice president.</t>
  </si>
  <si>
    <r>
      <t xml:space="preserve">A </t>
    </r>
    <r>
      <rPr>
        <i/>
        <sz val="11"/>
        <color rgb="FF000000"/>
        <rFont val="Aptos Narrow"/>
        <family val="2"/>
      </rPr>
      <t>Contact Information Form for Regulated Emitters within the Saskatchewan Output-Based Performance Standards Program</t>
    </r>
    <r>
      <rPr>
        <sz val="11"/>
        <color rgb="FF000000"/>
        <rFont val="Aptos Narrow"/>
        <family val="2"/>
      </rPr>
      <t xml:space="preserve"> must be submitted if the public contact or an authorized signing officer or technical contact at this facility changes.</t>
    </r>
  </si>
  <si>
    <t>Refer to the Appendix tab for additional instructions.</t>
  </si>
  <si>
    <t>Regulated emitter name</t>
  </si>
  <si>
    <t>Facility name</t>
  </si>
  <si>
    <t>Aggregate</t>
  </si>
  <si>
    <t>I.Facility.EmitterName</t>
  </si>
  <si>
    <t>Enter the regulated emitter name.</t>
  </si>
  <si>
    <t>='Facility Information'!$C$7</t>
  </si>
  <si>
    <t>='Facility Information'!$E$10</t>
  </si>
  <si>
    <t>='Facility Information'!$C$13</t>
  </si>
  <si>
    <t>='Facility Information'!$C$19</t>
  </si>
  <si>
    <t>='Product Information'!$C$21</t>
  </si>
  <si>
    <t>='Product Information'!$C$24</t>
  </si>
  <si>
    <t>='Product Information'!$C$27</t>
  </si>
  <si>
    <t>='Product Information'!$C$45</t>
  </si>
  <si>
    <t>='Product Information'!$C$48</t>
  </si>
  <si>
    <t>='Product Information'!$C$51</t>
  </si>
  <si>
    <t>='Product Information'!$C$69</t>
  </si>
  <si>
    <t>='Product Information'!$C$72</t>
  </si>
  <si>
    <t>='Product Information'!$C$75</t>
  </si>
  <si>
    <t>='Product Information'!$C$93</t>
  </si>
  <si>
    <t>='Product Information'!$C$96</t>
  </si>
  <si>
    <t>='Product Information'!$C$99</t>
  </si>
  <si>
    <t>='Product Information'!$C$117</t>
  </si>
  <si>
    <t>='Product Information'!$C$120</t>
  </si>
  <si>
    <t>='Product Information'!$C$123</t>
  </si>
  <si>
    <t>='Production Data'!$D$9</t>
  </si>
  <si>
    <t>='Production Data'!$D$13:$D$21</t>
  </si>
  <si>
    <t>='Production Data'!$D$25:$D$45</t>
  </si>
  <si>
    <t>='Production Data'!$D$49:$D$53</t>
  </si>
  <si>
    <t>='Production Data'!$D$59:$D$61</t>
  </si>
  <si>
    <t>='Production Data'!$D$67</t>
  </si>
  <si>
    <t>='Production Data'!$D$71:$D$79</t>
  </si>
  <si>
    <t>='Production Data'!$D$83:$D$103</t>
  </si>
  <si>
    <t>='Production Data'!$D$107:$D$111</t>
  </si>
  <si>
    <t>='Production Data'!$D$117:$D$119</t>
  </si>
  <si>
    <t>='Production Data'!$D$125</t>
  </si>
  <si>
    <t>='Production Data'!$D$129:$D$137</t>
  </si>
  <si>
    <t>='Production Data'!$D$141:$D$161</t>
  </si>
  <si>
    <t>='Production Data'!$D$165:$D$169</t>
  </si>
  <si>
    <t>='Production Data'!$D$175:$D$177</t>
  </si>
  <si>
    <t>='Production Data'!$D$183</t>
  </si>
  <si>
    <t>='Production Data'!$D$187:$D$195</t>
  </si>
  <si>
    <t>='Production Data'!$D$199:$D$219</t>
  </si>
  <si>
    <t>='Production Data'!$D$223:$D$227</t>
  </si>
  <si>
    <t>='Production Data'!$D$233:$D$235</t>
  </si>
  <si>
    <t>='Production Data'!$D$241</t>
  </si>
  <si>
    <t>='Production Data'!$D$245:$D$253</t>
  </si>
  <si>
    <t>='Production Data'!$D$257:$D$277</t>
  </si>
  <si>
    <t>='Production Data'!$D$281:$D$285</t>
  </si>
  <si>
    <t>='Production Data'!$D$291:$D$293</t>
  </si>
  <si>
    <t>='Electricity Data'!$D$12:$D$20</t>
  </si>
  <si>
    <t>='Electricity Data'!$D$24:$D$44</t>
  </si>
  <si>
    <t>='Electricity Data'!$D$48:$D$52</t>
  </si>
  <si>
    <t>='Electricity Data'!$D$58:$D$60</t>
  </si>
  <si>
    <t>='Electricity Data'!$D$66:$D$74</t>
  </si>
  <si>
    <t>='Electricity Data'!$D$78:$D$98</t>
  </si>
  <si>
    <t>='Electricity Data'!$D$102:$D$106</t>
  </si>
  <si>
    <t>='Electricity Data'!$D$112:$D$114</t>
  </si>
  <si>
    <t>='Electricity Data'!$D$120:$D$128</t>
  </si>
  <si>
    <t>='Electricity Data'!$D$132:$D$152</t>
  </si>
  <si>
    <t>='Electricity Data'!$D$156:$D$160</t>
  </si>
  <si>
    <t>='Electricity Data'!$D$166:$D$168</t>
  </si>
  <si>
    <t>='Electricity Data'!$D$174:$D$182</t>
  </si>
  <si>
    <t>='Electricity Data'!$D$186:$D$206</t>
  </si>
  <si>
    <t>='Electricity Data'!$D$210:$D$214</t>
  </si>
  <si>
    <t>='Electricity Data'!$D$220:$D$222</t>
  </si>
  <si>
    <t>='Electricity Data'!$D$228:$D$236</t>
  </si>
  <si>
    <t>='Electricity Data'!$D$240:$D$260</t>
  </si>
  <si>
    <t>='Electricity Data'!$D$264:$D$268</t>
  </si>
  <si>
    <t>='Electricity Data'!$D$274:$D$276</t>
  </si>
  <si>
    <t>='Gas-to-Power Data'!$C$14</t>
  </si>
  <si>
    <t>='Gas-to-Power Data'!$D$20:$D$69</t>
  </si>
  <si>
    <t>='Gas-to-Power Data'!$E$20:$E$69</t>
  </si>
  <si>
    <t>='Gas-to-Power Data'!$F$20:$F$69</t>
  </si>
  <si>
    <t>='Gas-to-Power Data'!$G$20:$G$69</t>
  </si>
  <si>
    <t>='Gas-to-Power Data'!$H$20:$H$69</t>
  </si>
  <si>
    <t>='Gas-to-Power Data'!$I$20:$I$69</t>
  </si>
  <si>
    <t>='Gas-to-Power Data'!$J$20:$J$69</t>
  </si>
  <si>
    <t>='Gas-to-Power Data'!$C$77</t>
  </si>
  <si>
    <t>='Gas-to-Power Data'!$D$83:$D$132</t>
  </si>
  <si>
    <t>='Gas-to-Power Data'!$E$83:$E$132</t>
  </si>
  <si>
    <t>='Gas-to-Power Data'!$F$83:$F$132</t>
  </si>
  <si>
    <t>='Gas-to-Power Data'!$G$83:$G$132</t>
  </si>
  <si>
    <t>='Gas-to-Power Data'!$H$83:$H$132</t>
  </si>
  <si>
    <t>='Gas-to-Power Data'!$I$83:$I$132</t>
  </si>
  <si>
    <t>='Gas-to-Power Data'!$J$83:$J$132</t>
  </si>
  <si>
    <t>='Gas-to-Power Data'!$C$140</t>
  </si>
  <si>
    <t>='Gas-to-Power Data'!$D$146:$D$195</t>
  </si>
  <si>
    <t>='Gas-to-Power Data'!$E$146:$E$195</t>
  </si>
  <si>
    <t>='Gas-to-Power Data'!$F$146:$F$195</t>
  </si>
  <si>
    <t>='Gas-to-Power Data'!$G$146:$G$195</t>
  </si>
  <si>
    <t>='Gas-to-Power Data'!$H$146:$H$195</t>
  </si>
  <si>
    <t>='Gas-to-Power Data'!$I$146:$I$195</t>
  </si>
  <si>
    <t>='Gas-to-Power Data'!$J$146:$J$195</t>
  </si>
  <si>
    <t>='Gas-to-Power Data'!$C$203</t>
  </si>
  <si>
    <t>='Gas-to-Power Data'!$D$209:$D$258</t>
  </si>
  <si>
    <t>='Gas-to-Power Data'!$E$209:$E$258</t>
  </si>
  <si>
    <t>='Gas-to-Power Data'!$F$209:$F$258</t>
  </si>
  <si>
    <t>='Gas-to-Power Data'!$G$209:$G$258</t>
  </si>
  <si>
    <t>='Gas-to-Power Data'!$H$209:$H$258</t>
  </si>
  <si>
    <t>='Gas-to-Power Data'!$I$209:$I$258</t>
  </si>
  <si>
    <t>='Gas-to-Power Data'!$J$209:$J$258</t>
  </si>
  <si>
    <t>='Gas-to-Power Data'!$C$266</t>
  </si>
  <si>
    <t>='Gas-to-Power Data'!$D$272:$D$321</t>
  </si>
  <si>
    <t>='Gas-to-Power Data'!$E$272:$E$321</t>
  </si>
  <si>
    <t>='Gas-to-Power Data'!$F$272:$F$321</t>
  </si>
  <si>
    <t>='Gas-to-Power Data'!$G$272:$G$321</t>
  </si>
  <si>
    <t>='Gas-to-Power Data'!$H$272:$H$321</t>
  </si>
  <si>
    <t>='Gas-to-Power Data'!$I$272:$I$321</t>
  </si>
  <si>
    <t>='Gas-to-Power Data'!$J$272:$J$321</t>
  </si>
  <si>
    <t>='Drilling Data'!$D$9</t>
  </si>
  <si>
    <t>='Drilling Data'!$D$13:$D$15</t>
  </si>
  <si>
    <t>='Drilling Data'!$D$21</t>
  </si>
  <si>
    <t>='Drilling Data'!$D$25:$D$27</t>
  </si>
  <si>
    <t>='Drilling Data'!$D$33</t>
  </si>
  <si>
    <t>='Drilling Data'!$D$37:$D$39</t>
  </si>
  <si>
    <t>='Drilling Data'!$D$45</t>
  </si>
  <si>
    <t>='Drilling Data'!$D$49:$D$51</t>
  </si>
  <si>
    <t>='Drilling Data'!$D$57</t>
  </si>
  <si>
    <t>='Drilling Data'!$D$61:$D$63</t>
  </si>
  <si>
    <t>=Compliance!$D$17</t>
  </si>
  <si>
    <t>=Compliance!$D$19</t>
  </si>
  <si>
    <t>=Compliance!$D$27</t>
  </si>
  <si>
    <t>=Compliance!$D$29</t>
  </si>
  <si>
    <t>=Compliance!$D$45</t>
  </si>
  <si>
    <t>=Compliance!$D$47</t>
  </si>
  <si>
    <t>=Compliance!$D$55</t>
  </si>
  <si>
    <t>=Compliance!$D$57</t>
  </si>
  <si>
    <t>=Compliance!$D$73</t>
  </si>
  <si>
    <t>=Compliance!$D$75</t>
  </si>
  <si>
    <t>=Compliance!$D$83</t>
  </si>
  <si>
    <t>=Compliance!$D$85</t>
  </si>
  <si>
    <t>=Compliance!$D$101</t>
  </si>
  <si>
    <t>=Compliance!$D$103</t>
  </si>
  <si>
    <t>=Compliance!$D$111</t>
  </si>
  <si>
    <t>=Compliance!$D$113</t>
  </si>
  <si>
    <t>=Compliance!$D$129</t>
  </si>
  <si>
    <t>=Compliance!$D$131</t>
  </si>
  <si>
    <t>=Compliance!$D$139</t>
  </si>
  <si>
    <t>=Compliance!$D$141</t>
  </si>
  <si>
    <t>=Declaration!$D$9</t>
  </si>
  <si>
    <t>=Declaration!$F$28</t>
  </si>
  <si>
    <t>=Developer!$F$2212</t>
  </si>
  <si>
    <t>=Developer!$F$2213</t>
  </si>
  <si>
    <t>=Developer!$F$2214</t>
  </si>
  <si>
    <t>=Developer!$F$2215</t>
  </si>
  <si>
    <t>=Developer!$F$2216</t>
  </si>
  <si>
    <t>=Developer!$F$2217</t>
  </si>
  <si>
    <t>=Developer!$F$2218</t>
  </si>
  <si>
    <t>=Developer!$F$2219</t>
  </si>
  <si>
    <t>=Developer!$F$2220</t>
  </si>
  <si>
    <t>=Developer!$F$2221</t>
  </si>
  <si>
    <t>=Developer!$F$2222</t>
  </si>
  <si>
    <t>=Developer!$F$2223</t>
  </si>
  <si>
    <t>=Developer!$F$2224</t>
  </si>
  <si>
    <t>=Developer!$F$2225</t>
  </si>
  <si>
    <t>=Developer!$F$2226</t>
  </si>
  <si>
    <t>=Developer!$F$2227</t>
  </si>
  <si>
    <t>=Developer!$F$2228</t>
  </si>
  <si>
    <t>=Developer!$F$2229</t>
  </si>
  <si>
    <t>=Developer!$F$2230</t>
  </si>
  <si>
    <t>=Developer!$F$2231</t>
  </si>
  <si>
    <t>=Developer!$F$2232</t>
  </si>
  <si>
    <t>=Developer!$F$2233</t>
  </si>
  <si>
    <t>=Developer!$F$2234</t>
  </si>
  <si>
    <t>=Developer!$F$2235</t>
  </si>
  <si>
    <t>=Developer!$F$2236</t>
  </si>
  <si>
    <t>=Developer!$F$2237</t>
  </si>
  <si>
    <t>=Developer!$F$2238</t>
  </si>
  <si>
    <t>=Developer!$F$2239</t>
  </si>
  <si>
    <t>=Developer!$F$2240</t>
  </si>
  <si>
    <t>=Developer!$F$2241</t>
  </si>
  <si>
    <t>=Developer!$F$2242</t>
  </si>
  <si>
    <t>=Developer!$F$2243</t>
  </si>
  <si>
    <t>=Developer!$F$2244</t>
  </si>
  <si>
    <t>=Developer!$F$2245</t>
  </si>
  <si>
    <t>=Developer!$F$2246</t>
  </si>
  <si>
    <t>=Developer!$F$2247</t>
  </si>
  <si>
    <t>=Developer!$F$2248</t>
  </si>
  <si>
    <t>=Developer!$F$2249</t>
  </si>
  <si>
    <t>=Developer!$F$2250</t>
  </si>
  <si>
    <t>=Developer!$F$2251</t>
  </si>
  <si>
    <t>=Developer!$F$2252</t>
  </si>
  <si>
    <t>=Developer!$F$2253</t>
  </si>
  <si>
    <t>=Developer!$F$2254</t>
  </si>
  <si>
    <t>=Developer!$F$2255</t>
  </si>
  <si>
    <t>=Developer!$F$2256</t>
  </si>
  <si>
    <t>=Developer!$F$2257</t>
  </si>
  <si>
    <t>=Developer!$F$2258</t>
  </si>
  <si>
    <t>=Developer!$F$2259</t>
  </si>
  <si>
    <t>=Developer!$F$2260</t>
  </si>
  <si>
    <t>=Developer!$F$2261</t>
  </si>
  <si>
    <t>='Product Information'!$B$5:$F$28</t>
  </si>
  <si>
    <t>='Product Information'!$B$13:$F$19</t>
  </si>
  <si>
    <t>='Product Information'!$B$29:$F$52</t>
  </si>
  <si>
    <t>='Product Information'!$B$37:$F$43</t>
  </si>
  <si>
    <t>='Product Information'!$B$53:$F$76</t>
  </si>
  <si>
    <t>='Product Information'!$B$61:$F$67</t>
  </si>
  <si>
    <t>='Product Information'!$B$77:$F$100</t>
  </si>
  <si>
    <t>='Product Information'!$B$85:$F$91</t>
  </si>
  <si>
    <t>='Product Information'!$B$101:$F$124</t>
  </si>
  <si>
    <t>='Product Information'!$B$109:$F$115</t>
  </si>
  <si>
    <t>='Production Data'!$B$5:$F$62</t>
  </si>
  <si>
    <t>='Production Data'!$B$11:$F$22</t>
  </si>
  <si>
    <t>='Production Data'!$B$23:$F$46</t>
  </si>
  <si>
    <t>='Production Data'!$B$47:$F$56</t>
  </si>
  <si>
    <t>='Production Data'!$B$57:$F$62</t>
  </si>
  <si>
    <t>='Production Data'!$B$63:$F$120</t>
  </si>
  <si>
    <t>='Production Data'!$B$69:$F$80</t>
  </si>
  <si>
    <t>='Production Data'!$B$81:$F$104</t>
  </si>
  <si>
    <t>='Production Data'!$B$105:$F$114</t>
  </si>
  <si>
    <t>='Production Data'!$B$115:$F$120</t>
  </si>
  <si>
    <t>='Production Data'!$B$121:$F$178</t>
  </si>
  <si>
    <t>='Production Data'!$B$127:$F$138</t>
  </si>
  <si>
    <t>='Production Data'!$B$139:$F$162</t>
  </si>
  <si>
    <t>='Production Data'!$B$163:$F$172</t>
  </si>
  <si>
    <t>='Production Data'!$B$173:$F$178</t>
  </si>
  <si>
    <t>='Production Data'!$B$179:$F$236</t>
  </si>
  <si>
    <t>='Production Data'!$B$185:$F$196</t>
  </si>
  <si>
    <t>='Production Data'!$B$197:$F$220</t>
  </si>
  <si>
    <t>='Production Data'!$B$221:$F$230</t>
  </si>
  <si>
    <t>='Production Data'!$B$231:$F$236</t>
  </si>
  <si>
    <t>='Production Data'!$B$237:$F$294</t>
  </si>
  <si>
    <t>='Production Data'!$B$243:$F$254</t>
  </si>
  <si>
    <t>='Production Data'!$B$255:$F$278</t>
  </si>
  <si>
    <t>='Production Data'!$B$279:$F$288</t>
  </si>
  <si>
    <t>='Production Data'!$B$289:$F$294</t>
  </si>
  <si>
    <t>='Electricity Data'!$B$8:$F$61</t>
  </si>
  <si>
    <t>='Electricity Data'!$B$10:$F$21</t>
  </si>
  <si>
    <t>='Electricity Data'!$B$22:$F$45</t>
  </si>
  <si>
    <t>='Electricity Data'!$B$46:$F$55</t>
  </si>
  <si>
    <t>='Electricity Data'!$B$56:$F$61</t>
  </si>
  <si>
    <t>='Electricity Data'!$B$62:$F$115</t>
  </si>
  <si>
    <t>='Electricity Data'!$B$64:$F$75</t>
  </si>
  <si>
    <t>='Electricity Data'!$B$76:$F$99</t>
  </si>
  <si>
    <t>='Electricity Data'!$B$100:$F$109</t>
  </si>
  <si>
    <t>='Electricity Data'!$B$110:$F$115</t>
  </si>
  <si>
    <t>='Electricity Data'!$B$116:$F$169</t>
  </si>
  <si>
    <t>='Electricity Data'!$B$118:$F$129</t>
  </si>
  <si>
    <t>='Electricity Data'!$B$130:$F$153</t>
  </si>
  <si>
    <t>='Electricity Data'!$B$154:$F$163</t>
  </si>
  <si>
    <t>='Electricity Data'!$B$164:$F$169</t>
  </si>
  <si>
    <t>='Electricity Data'!$B$170:$F$223</t>
  </si>
  <si>
    <t>='Electricity Data'!$B$172:$F$183</t>
  </si>
  <si>
    <t>='Electricity Data'!$B$184:$F$207</t>
  </si>
  <si>
    <t>='Electricity Data'!$B$208:$F$217</t>
  </si>
  <si>
    <t>='Electricity Data'!$B$218:$F$223</t>
  </si>
  <si>
    <t>='Electricity Data'!$B$224:$F$277</t>
  </si>
  <si>
    <t>='Electricity Data'!$B$226:$F$237</t>
  </si>
  <si>
    <t>='Electricity Data'!$B$238:$F$261</t>
  </si>
  <si>
    <t>='Electricity Data'!$B$262:$F$271</t>
  </si>
  <si>
    <t>='Electricity Data'!$B$272:$F$277</t>
  </si>
  <si>
    <t>='Gas-to-Power Data'!$B$8:$K$70</t>
  </si>
  <si>
    <t>='Gas-to-Power Data'!$D$20:$J$69</t>
  </si>
  <si>
    <t>='Gas-to-Power Data'!$B$71:$K$133</t>
  </si>
  <si>
    <t>='Gas-to-Power Data'!$D$83:$J$132</t>
  </si>
  <si>
    <t>='Gas-to-Power Data'!$B$134:$K$196</t>
  </si>
  <si>
    <t>='Gas-to-Power Data'!$D$146:$J$195</t>
  </si>
  <si>
    <t>='Gas-to-Power Data'!$B$197:$K$259</t>
  </si>
  <si>
    <t>='Gas-to-Power Data'!$D$209:$J$258</t>
  </si>
  <si>
    <t>='Gas-to-Power Data'!$B$260:$K$322</t>
  </si>
  <si>
    <t>='Gas-to-Power Data'!$D$272:$J$321</t>
  </si>
  <si>
    <t>='Drilling Data'!$B$5:$F$16</t>
  </si>
  <si>
    <t>='Drilling Data'!$B$17:$F$28</t>
  </si>
  <si>
    <t>='Drilling Data'!$B$29:$F$40</t>
  </si>
  <si>
    <t>='Drilling Data'!$B$41:$F$52</t>
  </si>
  <si>
    <t>='Drilling Data'!$B$53:$F$64</t>
  </si>
  <si>
    <t>=Compliance!$B$9:$F$36</t>
  </si>
  <si>
    <t>=Compliance!$B$22:$F$31</t>
  </si>
  <si>
    <t>=Compliance!$B$32:$F$36</t>
  </si>
  <si>
    <t>=Compliance!$B$37:$F$64</t>
  </si>
  <si>
    <t>=Compliance!$B$50:$F$59</t>
  </si>
  <si>
    <t>=Compliance!$B$60:$F$64</t>
  </si>
  <si>
    <t>=Compliance!$B$65:$F$92</t>
  </si>
  <si>
    <t>=Compliance!$B$78:$F$87</t>
  </si>
  <si>
    <t>=Compliance!$B$88:$F$92</t>
  </si>
  <si>
    <t>=Compliance!$B$93:$F$120</t>
  </si>
  <si>
    <t>=Compliance!$B$106:$F$115</t>
  </si>
  <si>
    <t>=Compliance!$B$116:$F$120</t>
  </si>
  <si>
    <t>=Compliance!$B$121:$F$148</t>
  </si>
  <si>
    <t>=Compliance!$B$134:$F$143</t>
  </si>
  <si>
    <t>=Compliance!$B$144:$F$148</t>
  </si>
  <si>
    <t>=Compliance!$B$149:$F$155</t>
  </si>
  <si>
    <t>=Developer!$B$4:$I$2261</t>
  </si>
  <si>
    <t>=Developer!$E$4:$E$2261</t>
  </si>
  <si>
    <t>=Developer!$K$4:$L$99</t>
  </si>
  <si>
    <t>=Developer!$S$4:$T$62</t>
  </si>
  <si>
    <t>='Facility Information'!$B$1:$F$34</t>
  </si>
  <si>
    <t>='Facility Information'!$C$28</t>
  </si>
  <si>
    <t>='Facility Information'!$C$32</t>
  </si>
  <si>
    <t>=Developer!$N$4:$Q$36</t>
  </si>
  <si>
    <t>R.Gas.P1RowNumber</t>
  </si>
  <si>
    <t>='Gas-to-Power Data'!$C$20:$C$69</t>
  </si>
  <si>
    <t>R.Gas.P2aRowNumber</t>
  </si>
  <si>
    <t>='Gas-to-Power Data'!$C$83:$C$132</t>
  </si>
  <si>
    <t>R.Gas.P2bRowNumber</t>
  </si>
  <si>
    <t>='Gas-to-Power Data'!$C$146:$C$195</t>
  </si>
  <si>
    <t>R.Gas.P3RowNumber</t>
  </si>
  <si>
    <t>='Gas-to-Power Data'!$C$209:$C$258</t>
  </si>
  <si>
    <t>R.Gas.P4RowNumber</t>
  </si>
  <si>
    <t>='Gas-to-Power Data'!$C$272:$C$321</t>
  </si>
  <si>
    <t>Emissions returns are due July 31 of the year following each compliance year.</t>
  </si>
  <si>
    <r>
      <t>Emissions returns must be verified by a certified third-party verifier if the total regulated emissions for all commercial products in all production classes are more than 5,000 tonnes CO</t>
    </r>
    <r>
      <rPr>
        <vertAlign val="subscript"/>
        <sz val="11"/>
        <color rgb="FF000000"/>
        <rFont val="Aptos Narrow"/>
        <family val="2"/>
      </rPr>
      <t>2</t>
    </r>
    <r>
      <rPr>
        <sz val="11"/>
        <color rgb="FF000000"/>
        <rFont val="Aptos Narrow"/>
        <family val="2"/>
      </rPr>
      <t>e in the compliance year. The verification report must be included with this submission.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</si>
</sst>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quot;Version: &quot;0#.00"/>
    <numFmt numFmtId="165" formatCode="&quot;Date: &quot;yyyy\-mm\-dd"/>
    <numFmt numFmtId="166" formatCode="yyyy\-mm\-dd;@"/>
    <numFmt numFmtId="167" formatCode="yyyy\-mm\-dd\ hh:mm:ss\ AM/PM"/>
    <numFmt numFmtId="168" formatCode="#,##0.0000"/>
    <numFmt numFmtId="169" formatCode="&quot;Date: &quot;yyyy/mm/dd"/>
    <numFmt numFmtId="170" formatCode="yyyy/mm/dd\ hh:mm:ss"/>
    <numFmt numFmtId="171" formatCode="0.000"/>
    <numFmt numFmtId="172" formatCode="0.0000"/>
    <numFmt numFmtId="173" formatCode="#,##0.000000000000000"/>
  </numFmts>
  <fonts count="19" x14ac:knownFonts="1">
    <font>
      <sz val="11"/>
      <color theme="1"/>
      <name val="Calibri"/>
      <family val="2"/>
      <scheme val="minor"/>
    </font>
    <font>
      <sz val="11"/>
      <color rgb="FF000000"/>
      <name val="Aptos Narrow"/>
      <family val="2"/>
    </font>
    <font>
      <b/>
      <sz val="11"/>
      <color rgb="FF000000"/>
      <name val="Aptos Narrow"/>
      <family val="2"/>
    </font>
    <font>
      <vertAlign val="subscript"/>
      <sz val="11"/>
      <color rgb="FF000000"/>
      <name val="Aptos Narrow"/>
      <family val="2"/>
    </font>
    <font>
      <sz val="11"/>
      <color theme="1"/>
      <name val="Aptos Narrow"/>
      <family val="2"/>
    </font>
    <font>
      <i/>
      <sz val="11"/>
      <color theme="1"/>
      <name val="Aptos Narrow"/>
      <family val="2"/>
    </font>
    <font>
      <b/>
      <sz val="11"/>
      <color theme="0"/>
      <name val="Aptos Narrow"/>
      <family val="2"/>
    </font>
    <font>
      <b/>
      <sz val="18"/>
      <color rgb="FFFFFFFF"/>
      <name val="Aptos Narrow"/>
      <family val="2"/>
    </font>
    <font>
      <b/>
      <sz val="14"/>
      <color rgb="FF000000"/>
      <name val="Aptos Narrow"/>
      <family val="2"/>
    </font>
    <font>
      <b/>
      <i/>
      <sz val="18"/>
      <color rgb="FFFFFFFF"/>
      <name val="Aptos Narrow"/>
      <family val="2"/>
    </font>
    <font>
      <i/>
      <sz val="11"/>
      <color rgb="FF000000"/>
      <name val="Aptos Narrow"/>
      <family val="2"/>
    </font>
    <font>
      <sz val="9"/>
      <color rgb="FF000000"/>
      <name val="Aptos Narrow"/>
      <family val="2"/>
    </font>
    <font>
      <b/>
      <sz val="11"/>
      <color rgb="FFFF0000"/>
      <name val="Aptos Narrow"/>
      <family val="2"/>
    </font>
    <font>
      <sz val="10"/>
      <color rgb="FF000000"/>
      <name val="Aptos Narrow"/>
      <family val="2"/>
    </font>
    <font>
      <vertAlign val="superscript"/>
      <sz val="11"/>
      <color rgb="FF000000"/>
      <name val="Aptos Narrow"/>
      <family val="2"/>
    </font>
    <font>
      <b/>
      <vertAlign val="superscript"/>
      <sz val="11"/>
      <color rgb="FF000000"/>
      <name val="Aptos Narrow"/>
      <family val="2"/>
    </font>
    <font>
      <b/>
      <vertAlign val="subscript"/>
      <sz val="11"/>
      <color rgb="FF000000"/>
      <name val="Aptos Narrow"/>
      <family val="2"/>
    </font>
    <font>
      <b/>
      <u/>
      <sz val="11"/>
      <color rgb="FF000000"/>
      <name val="Aptos Narrow"/>
      <family val="2"/>
    </font>
    <font>
      <sz val="8"/>
      <name val="Calibri"/>
      <family val="2"/>
      <scheme val="minor"/>
    </font>
  </fonts>
  <fills count="8">
    <fill>
      <patternFill patternType="none"/>
    </fill>
    <fill>
      <patternFill patternType="gray125"/>
    </fill>
    <fill>
      <patternFill patternType="solid">
        <fgColor rgb="FFE6F0EB"/>
        <bgColor indexed="64"/>
      </patternFill>
    </fill>
    <fill>
      <patternFill patternType="solid">
        <fgColor rgb="FF046A38"/>
        <bgColor indexed="64"/>
      </patternFill>
    </fill>
    <fill>
      <patternFill patternType="solid">
        <fgColor rgb="FFFFFFFF"/>
        <bgColor indexed="64"/>
      </patternFill>
    </fill>
    <fill>
      <patternFill patternType="solid">
        <fgColor rgb="FFA7CBB9"/>
        <bgColor indexed="64"/>
      </patternFill>
    </fill>
    <fill>
      <patternFill patternType="solid">
        <fgColor rgb="FFFBDD40"/>
        <bgColor indexed="64"/>
      </patternFill>
    </fill>
    <fill>
      <patternFill patternType="solid">
        <fgColor rgb="FF2C3136"/>
        <bgColor indexed="64"/>
      </patternFill>
    </fill>
  </fills>
  <borders count="3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dashed">
        <color indexed="64"/>
      </left>
      <right/>
      <top style="dashed">
        <color indexed="64"/>
      </top>
      <bottom/>
      <diagonal/>
    </border>
    <border>
      <left style="dashed">
        <color indexed="64"/>
      </left>
      <right/>
      <top/>
      <bottom/>
      <diagonal/>
    </border>
    <border>
      <left/>
      <right style="dashed">
        <color indexed="64"/>
      </right>
      <top style="dashed">
        <color indexed="64"/>
      </top>
      <bottom/>
      <diagonal/>
    </border>
    <border>
      <left/>
      <right style="dashed">
        <color indexed="64"/>
      </right>
      <top/>
      <bottom/>
      <diagonal/>
    </border>
    <border>
      <left style="dashed">
        <color indexed="64"/>
      </left>
      <right/>
      <top/>
      <bottom style="thin">
        <color indexed="64"/>
      </bottom>
      <diagonal/>
    </border>
    <border>
      <left/>
      <right style="dashed">
        <color indexed="64"/>
      </right>
      <top/>
      <bottom style="thin">
        <color indexed="64"/>
      </bottom>
      <diagonal/>
    </border>
  </borders>
  <cellStyleXfs count="1">
    <xf numFmtId="0" fontId="0" fillId="0" borderId="0"/>
  </cellStyleXfs>
  <cellXfs count="146">
    <xf numFmtId="0" fontId="0" fillId="0" borderId="0" xfId="0"/>
    <xf numFmtId="0" fontId="1" fillId="2" borderId="5" xfId="0" applyFont="1" applyFill="1" applyBorder="1"/>
    <xf numFmtId="0" fontId="1" fillId="2" borderId="6" xfId="0" applyFont="1" applyFill="1" applyBorder="1"/>
    <xf numFmtId="0" fontId="1" fillId="2" borderId="7" xfId="0" applyFont="1" applyFill="1" applyBorder="1"/>
    <xf numFmtId="0" fontId="1" fillId="2" borderId="8" xfId="0" applyFont="1" applyFill="1" applyBorder="1"/>
    <xf numFmtId="0" fontId="1" fillId="2" borderId="9" xfId="0" applyFont="1" applyFill="1" applyBorder="1"/>
    <xf numFmtId="0" fontId="1" fillId="3" borderId="2" xfId="0" applyFont="1" applyFill="1" applyBorder="1"/>
    <xf numFmtId="0" fontId="1" fillId="3" borderId="4" xfId="0" applyFont="1" applyFill="1" applyBorder="1"/>
    <xf numFmtId="0" fontId="1" fillId="3" borderId="5" xfId="0" applyFont="1" applyFill="1" applyBorder="1"/>
    <xf numFmtId="0" fontId="1" fillId="3" borderId="6" xfId="0" applyFont="1" applyFill="1" applyBorder="1"/>
    <xf numFmtId="0" fontId="1" fillId="6" borderId="2" xfId="0" applyFont="1" applyFill="1" applyBorder="1"/>
    <xf numFmtId="0" fontId="1" fillId="6" borderId="4" xfId="0" applyFont="1" applyFill="1" applyBorder="1"/>
    <xf numFmtId="0" fontId="1" fillId="2" borderId="5" xfId="0" applyFont="1" applyFill="1" applyBorder="1" applyAlignment="1">
      <alignment horizontal="center"/>
    </xf>
    <xf numFmtId="164" fontId="11" fillId="2" borderId="8" xfId="0" applyNumberFormat="1" applyFont="1" applyFill="1" applyBorder="1" applyAlignment="1">
      <alignment horizontal="left" vertical="top"/>
    </xf>
    <xf numFmtId="165" fontId="11" fillId="2" borderId="8" xfId="0" applyNumberFormat="1" applyFont="1" applyFill="1" applyBorder="1" applyAlignment="1">
      <alignment horizontal="right" vertical="top"/>
    </xf>
    <xf numFmtId="0" fontId="1" fillId="3" borderId="10" xfId="0" applyFont="1" applyFill="1" applyBorder="1"/>
    <xf numFmtId="0" fontId="1" fillId="3" borderId="12" xfId="0" applyFont="1" applyFill="1" applyBorder="1"/>
    <xf numFmtId="49" fontId="1" fillId="4" borderId="1" xfId="0" applyNumberFormat="1" applyFont="1" applyFill="1" applyBorder="1" applyAlignment="1" applyProtection="1">
      <alignment horizontal="left" vertical="top" wrapText="1"/>
      <protection locked="0"/>
    </xf>
    <xf numFmtId="49" fontId="1" fillId="5" borderId="1" xfId="0" applyNumberFormat="1" applyFont="1" applyFill="1" applyBorder="1" applyAlignment="1">
      <alignment horizontal="left" vertical="top" wrapText="1"/>
    </xf>
    <xf numFmtId="1" fontId="1" fillId="5" borderId="1" xfId="0" applyNumberFormat="1" applyFont="1" applyFill="1" applyBorder="1" applyAlignment="1">
      <alignment horizontal="left" vertical="top" wrapText="1"/>
    </xf>
    <xf numFmtId="166" fontId="1" fillId="4" borderId="1" xfId="0" applyNumberFormat="1" applyFont="1" applyFill="1" applyBorder="1" applyAlignment="1" applyProtection="1">
      <alignment horizontal="left" vertical="top" wrapText="1"/>
      <protection locked="0"/>
    </xf>
    <xf numFmtId="1" fontId="1" fillId="4" borderId="1" xfId="0" applyNumberFormat="1" applyFont="1" applyFill="1" applyBorder="1" applyAlignment="1" applyProtection="1">
      <alignment horizontal="left" vertical="top" wrapText="1"/>
      <protection locked="0"/>
    </xf>
    <xf numFmtId="0" fontId="4" fillId="0" borderId="0" xfId="0" applyFont="1" applyAlignment="1">
      <alignment horizontal="center"/>
    </xf>
    <xf numFmtId="0" fontId="4" fillId="0" borderId="0" xfId="0" applyFont="1" applyAlignment="1">
      <alignment horizontal="left"/>
    </xf>
    <xf numFmtId="0" fontId="4" fillId="0" borderId="0" xfId="0" applyFont="1"/>
    <xf numFmtId="0" fontId="5" fillId="0" borderId="0" xfId="0" applyFont="1" applyAlignment="1">
      <alignment horizontal="left" vertical="top"/>
    </xf>
    <xf numFmtId="0" fontId="4" fillId="0" borderId="0" xfId="0" applyFont="1" applyAlignment="1">
      <alignment horizontal="left" vertical="top"/>
    </xf>
    <xf numFmtId="0" fontId="6" fillId="7" borderId="19" xfId="0" applyFont="1" applyFill="1" applyBorder="1" applyAlignment="1">
      <alignment horizontal="left" vertical="top"/>
    </xf>
    <xf numFmtId="0" fontId="6" fillId="7" borderId="18" xfId="0" applyFont="1" applyFill="1" applyBorder="1" applyAlignment="1">
      <alignment horizontal="left" vertical="top"/>
    </xf>
    <xf numFmtId="0" fontId="6" fillId="7" borderId="17" xfId="0" applyFont="1" applyFill="1" applyBorder="1" applyAlignment="1">
      <alignment horizontal="left" vertical="top"/>
    </xf>
    <xf numFmtId="0" fontId="6" fillId="7" borderId="0" xfId="0" applyFont="1" applyFill="1" applyAlignment="1">
      <alignment horizontal="left" vertical="top"/>
    </xf>
    <xf numFmtId="0" fontId="4" fillId="0" borderId="20" xfId="0" applyFont="1" applyBorder="1" applyAlignment="1">
      <alignment horizontal="left" vertical="top"/>
    </xf>
    <xf numFmtId="0" fontId="4" fillId="0" borderId="21" xfId="0" applyFont="1" applyBorder="1" applyAlignment="1">
      <alignment horizontal="left" vertical="top"/>
    </xf>
    <xf numFmtId="49" fontId="4" fillId="0" borderId="21" xfId="0" applyNumberFormat="1" applyFont="1" applyBorder="1" applyAlignment="1">
      <alignment horizontal="left" vertical="top"/>
    </xf>
    <xf numFmtId="0" fontId="4" fillId="0" borderId="22" xfId="0" applyFont="1" applyBorder="1" applyAlignment="1">
      <alignment horizontal="left" vertical="top" wrapText="1"/>
    </xf>
    <xf numFmtId="49" fontId="4" fillId="0" borderId="24" xfId="0" applyNumberFormat="1" applyFont="1" applyBorder="1" applyAlignment="1">
      <alignment horizontal="left" vertical="top"/>
    </xf>
    <xf numFmtId="0" fontId="4" fillId="0" borderId="22" xfId="0" applyFont="1" applyBorder="1" applyAlignment="1">
      <alignment horizontal="left" vertical="top"/>
    </xf>
    <xf numFmtId="0" fontId="4" fillId="0" borderId="23" xfId="0" applyFont="1" applyBorder="1" applyAlignment="1">
      <alignment horizontal="left" vertical="top"/>
    </xf>
    <xf numFmtId="49" fontId="4" fillId="0" borderId="0" xfId="0" applyNumberFormat="1" applyFont="1" applyAlignment="1">
      <alignment horizontal="left" vertical="top"/>
    </xf>
    <xf numFmtId="0" fontId="4" fillId="0" borderId="24" xfId="0" applyFont="1" applyBorder="1" applyAlignment="1">
      <alignment horizontal="left" vertical="top" wrapText="1"/>
    </xf>
    <xf numFmtId="0" fontId="4" fillId="0" borderId="25" xfId="0" applyFont="1" applyBorder="1" applyAlignment="1">
      <alignment horizontal="left" vertical="top"/>
    </xf>
    <xf numFmtId="49" fontId="4" fillId="0" borderId="26" xfId="0" applyNumberFormat="1" applyFont="1" applyBorder="1" applyAlignment="1">
      <alignment horizontal="left" vertical="top"/>
    </xf>
    <xf numFmtId="0" fontId="4" fillId="0" borderId="24" xfId="0" applyFont="1" applyBorder="1" applyAlignment="1">
      <alignment horizontal="left" vertical="top"/>
    </xf>
    <xf numFmtId="1" fontId="4" fillId="0" borderId="0" xfId="0" applyNumberFormat="1" applyFont="1" applyAlignment="1">
      <alignment horizontal="left" vertical="top"/>
    </xf>
    <xf numFmtId="49" fontId="4" fillId="0" borderId="13" xfId="0" applyNumberFormat="1" applyFont="1" applyBorder="1" applyAlignment="1">
      <alignment horizontal="left" vertical="top"/>
    </xf>
    <xf numFmtId="0" fontId="4" fillId="0" borderId="26" xfId="0" applyFont="1" applyBorder="1" applyAlignment="1">
      <alignment horizontal="left" vertical="top"/>
    </xf>
    <xf numFmtId="0" fontId="4" fillId="0" borderId="13" xfId="0" applyFont="1" applyBorder="1" applyAlignment="1">
      <alignment horizontal="left" vertical="top"/>
    </xf>
    <xf numFmtId="0" fontId="4" fillId="0" borderId="26" xfId="0" applyFont="1" applyBorder="1" applyAlignment="1">
      <alignment horizontal="left" vertical="top" wrapText="1"/>
    </xf>
    <xf numFmtId="1" fontId="4" fillId="0" borderId="13" xfId="0" applyNumberFormat="1" applyFont="1" applyBorder="1" applyAlignment="1">
      <alignment horizontal="left" vertical="top"/>
    </xf>
    <xf numFmtId="0" fontId="4" fillId="0" borderId="23" xfId="0" applyFont="1" applyBorder="1"/>
    <xf numFmtId="0" fontId="4" fillId="0" borderId="25" xfId="0" applyFont="1" applyBorder="1"/>
    <xf numFmtId="49" fontId="4" fillId="0" borderId="13" xfId="0" applyNumberFormat="1" applyFont="1" applyBorder="1"/>
    <xf numFmtId="0" fontId="4" fillId="0" borderId="17" xfId="0" applyFont="1" applyBorder="1"/>
    <xf numFmtId="49" fontId="4" fillId="0" borderId="19" xfId="0" applyNumberFormat="1" applyFont="1" applyBorder="1" applyAlignment="1">
      <alignment horizontal="left" vertical="top"/>
    </xf>
    <xf numFmtId="2" fontId="4" fillId="0" borderId="24" xfId="0" applyNumberFormat="1" applyFont="1" applyBorder="1" applyAlignment="1">
      <alignment horizontal="left" vertical="top"/>
    </xf>
    <xf numFmtId="0" fontId="4" fillId="0" borderId="17" xfId="0" applyFont="1" applyBorder="1" applyAlignment="1">
      <alignment horizontal="left" vertical="top"/>
    </xf>
    <xf numFmtId="0" fontId="4" fillId="0" borderId="19" xfId="0" applyFont="1" applyBorder="1" applyAlignment="1">
      <alignment horizontal="left" vertical="top"/>
    </xf>
    <xf numFmtId="168" fontId="4" fillId="0" borderId="19" xfId="0" applyNumberFormat="1" applyFont="1" applyBorder="1" applyAlignment="1">
      <alignment horizontal="left" vertical="top"/>
    </xf>
    <xf numFmtId="0" fontId="4" fillId="0" borderId="18" xfId="0" applyFont="1" applyBorder="1" applyAlignment="1">
      <alignment horizontal="left" vertical="top" wrapText="1"/>
    </xf>
    <xf numFmtId="168" fontId="4" fillId="0" borderId="0" xfId="0" applyNumberFormat="1" applyFont="1" applyAlignment="1">
      <alignment horizontal="left" vertical="top"/>
    </xf>
    <xf numFmtId="2" fontId="4" fillId="0" borderId="26" xfId="0" applyNumberFormat="1" applyFont="1" applyBorder="1" applyAlignment="1">
      <alignment horizontal="left" vertical="top"/>
    </xf>
    <xf numFmtId="171" fontId="4" fillId="0" borderId="24" xfId="0" applyNumberFormat="1" applyFont="1" applyBorder="1" applyAlignment="1">
      <alignment horizontal="left" vertical="top"/>
    </xf>
    <xf numFmtId="171" fontId="4" fillId="0" borderId="26" xfId="0" applyNumberFormat="1" applyFont="1" applyBorder="1" applyAlignment="1">
      <alignment horizontal="left" vertical="top"/>
    </xf>
    <xf numFmtId="168" fontId="4" fillId="0" borderId="13" xfId="0" applyNumberFormat="1" applyFont="1" applyBorder="1" applyAlignment="1">
      <alignment horizontal="left" vertical="top"/>
    </xf>
    <xf numFmtId="0" fontId="4" fillId="0" borderId="24" xfId="0" applyFont="1" applyBorder="1" applyAlignment="1">
      <alignment horizontal="left"/>
    </xf>
    <xf numFmtId="0" fontId="4" fillId="0" borderId="26" xfId="0" applyFont="1" applyBorder="1" applyAlignment="1">
      <alignment horizontal="left"/>
    </xf>
    <xf numFmtId="0" fontId="4" fillId="0" borderId="23" xfId="0" applyFont="1" applyBorder="1" applyAlignment="1">
      <alignment horizontal="left"/>
    </xf>
    <xf numFmtId="172" fontId="4" fillId="0" borderId="24" xfId="0" applyNumberFormat="1" applyFont="1" applyBorder="1" applyAlignment="1">
      <alignment horizontal="left"/>
    </xf>
    <xf numFmtId="0" fontId="4" fillId="0" borderId="25" xfId="0" applyFont="1" applyBorder="1" applyAlignment="1">
      <alignment horizontal="left"/>
    </xf>
    <xf numFmtId="172" fontId="4" fillId="0" borderId="26" xfId="0" applyNumberFormat="1" applyFont="1" applyBorder="1" applyAlignment="1">
      <alignment horizontal="left"/>
    </xf>
    <xf numFmtId="49" fontId="4" fillId="0" borderId="18" xfId="0" applyNumberFormat="1" applyFont="1" applyBorder="1"/>
    <xf numFmtId="49" fontId="4" fillId="0" borderId="26" xfId="0" applyNumberFormat="1" applyFont="1" applyBorder="1"/>
    <xf numFmtId="49" fontId="4" fillId="0" borderId="24" xfId="0" applyNumberFormat="1" applyFont="1" applyBorder="1"/>
    <xf numFmtId="1" fontId="4" fillId="0" borderId="19" xfId="0" applyNumberFormat="1" applyFont="1" applyBorder="1" applyAlignment="1">
      <alignment horizontal="left" vertical="top"/>
    </xf>
    <xf numFmtId="173" fontId="4" fillId="0" borderId="0" xfId="0" applyNumberFormat="1" applyFont="1" applyAlignment="1">
      <alignment horizontal="left" vertical="top"/>
    </xf>
    <xf numFmtId="173" fontId="4" fillId="0" borderId="13" xfId="0" applyNumberFormat="1" applyFont="1" applyBorder="1" applyAlignment="1">
      <alignment horizontal="left" vertical="top"/>
    </xf>
    <xf numFmtId="0" fontId="4" fillId="0" borderId="21" xfId="0" applyFont="1" applyBorder="1" applyAlignment="1">
      <alignment horizontal="left" vertical="top" wrapText="1"/>
    </xf>
    <xf numFmtId="169" fontId="4" fillId="0" borderId="13" xfId="0" applyNumberFormat="1" applyFont="1" applyBorder="1" applyAlignment="1">
      <alignment horizontal="left" vertical="top" wrapText="1"/>
    </xf>
    <xf numFmtId="0" fontId="4" fillId="0" borderId="13" xfId="0" applyFont="1" applyBorder="1" applyAlignment="1">
      <alignment horizontal="left" vertical="top" wrapText="1"/>
    </xf>
    <xf numFmtId="164" fontId="4" fillId="0" borderId="0" xfId="0" applyNumberFormat="1" applyFont="1" applyAlignment="1">
      <alignment horizontal="left" vertical="top" wrapText="1"/>
    </xf>
    <xf numFmtId="164" fontId="4" fillId="0" borderId="24" xfId="0" applyNumberFormat="1" applyFont="1" applyBorder="1" applyAlignment="1">
      <alignment horizontal="left" vertical="top" wrapText="1"/>
    </xf>
    <xf numFmtId="169" fontId="4" fillId="0" borderId="26" xfId="0" applyNumberFormat="1" applyFont="1" applyBorder="1" applyAlignment="1">
      <alignment horizontal="left" vertical="top" wrapText="1"/>
    </xf>
    <xf numFmtId="170" fontId="4" fillId="0" borderId="0" xfId="0" applyNumberFormat="1" applyFont="1" applyAlignment="1">
      <alignment horizontal="left" vertical="top" wrapText="1"/>
    </xf>
    <xf numFmtId="170" fontId="4" fillId="0" borderId="24" xfId="0" applyNumberFormat="1" applyFont="1" applyBorder="1" applyAlignment="1">
      <alignment horizontal="left" vertical="top" wrapText="1"/>
    </xf>
    <xf numFmtId="166" fontId="4" fillId="0" borderId="13" xfId="0" applyNumberFormat="1" applyFont="1" applyBorder="1" applyAlignment="1">
      <alignment horizontal="left" vertical="top"/>
    </xf>
    <xf numFmtId="170" fontId="4" fillId="0" borderId="13" xfId="0" applyNumberFormat="1" applyFont="1" applyBorder="1" applyAlignment="1">
      <alignment horizontal="left" vertical="top" wrapText="1"/>
    </xf>
    <xf numFmtId="170" fontId="4" fillId="0" borderId="26" xfId="0" applyNumberFormat="1" applyFont="1" applyBorder="1" applyAlignment="1">
      <alignment horizontal="left" vertical="top" wrapText="1"/>
    </xf>
    <xf numFmtId="0" fontId="4" fillId="0" borderId="20" xfId="0" applyFont="1" applyBorder="1"/>
    <xf numFmtId="0" fontId="4" fillId="0" borderId="0" xfId="0" applyFont="1" applyAlignment="1">
      <alignment horizontal="left" vertical="top" wrapText="1"/>
    </xf>
    <xf numFmtId="49" fontId="4" fillId="0" borderId="0" xfId="0" applyNumberFormat="1" applyFont="1"/>
    <xf numFmtId="49" fontId="4" fillId="0" borderId="19" xfId="0" applyNumberFormat="1" applyFont="1" applyBorder="1"/>
    <xf numFmtId="0" fontId="4" fillId="0" borderId="19" xfId="0" applyFont="1" applyBorder="1" applyAlignment="1">
      <alignment horizontal="left" vertical="top" wrapText="1"/>
    </xf>
    <xf numFmtId="0" fontId="4" fillId="0" borderId="0" xfId="0" applyFont="1" applyAlignment="1" applyProtection="1">
      <alignment horizontal="left" vertical="top"/>
      <protection locked="0"/>
    </xf>
    <xf numFmtId="0" fontId="4" fillId="0" borderId="13" xfId="0" applyFont="1" applyBorder="1" applyAlignment="1" applyProtection="1">
      <alignment horizontal="left" vertical="top"/>
      <protection locked="0"/>
    </xf>
    <xf numFmtId="0" fontId="1" fillId="2" borderId="0" xfId="0" applyFont="1" applyFill="1"/>
    <xf numFmtId="0" fontId="1" fillId="5" borderId="1" xfId="0" applyFont="1" applyFill="1" applyBorder="1" applyAlignment="1">
      <alignment horizontal="left" vertical="top" wrapText="1"/>
    </xf>
    <xf numFmtId="0" fontId="2" fillId="5" borderId="1" xfId="0" applyFont="1" applyFill="1" applyBorder="1" applyAlignment="1">
      <alignment horizontal="left" vertical="top" wrapText="1"/>
    </xf>
    <xf numFmtId="0" fontId="2" fillId="5" borderId="10" xfId="0" applyFont="1" applyFill="1" applyBorder="1" applyAlignment="1">
      <alignment horizontal="left" vertical="top" wrapText="1"/>
    </xf>
    <xf numFmtId="0" fontId="1" fillId="5" borderId="10" xfId="0" applyFont="1" applyFill="1" applyBorder="1" applyAlignment="1">
      <alignment horizontal="left" vertical="top" wrapText="1"/>
    </xf>
    <xf numFmtId="168" fontId="1" fillId="5" borderId="1" xfId="0" applyNumberFormat="1" applyFont="1" applyFill="1" applyBorder="1" applyAlignment="1">
      <alignment horizontal="right" vertical="top" wrapText="1"/>
    </xf>
    <xf numFmtId="0" fontId="2" fillId="5" borderId="10" xfId="0" applyFont="1" applyFill="1" applyBorder="1" applyAlignment="1">
      <alignment horizontal="right" vertical="top" wrapText="1"/>
    </xf>
    <xf numFmtId="168" fontId="1" fillId="5" borderId="10" xfId="0" applyNumberFormat="1" applyFont="1" applyFill="1" applyBorder="1" applyAlignment="1">
      <alignment horizontal="right" vertical="top" wrapText="1"/>
    </xf>
    <xf numFmtId="1" fontId="1" fillId="5" borderId="1" xfId="0" applyNumberFormat="1" applyFont="1" applyFill="1" applyBorder="1" applyAlignment="1">
      <alignment horizontal="right" vertical="top" wrapText="1"/>
    </xf>
    <xf numFmtId="173" fontId="1" fillId="5" borderId="1" xfId="0" applyNumberFormat="1" applyFont="1" applyFill="1" applyBorder="1" applyAlignment="1">
      <alignment horizontal="right" vertical="top" wrapText="1"/>
    </xf>
    <xf numFmtId="0" fontId="1" fillId="5" borderId="1" xfId="0" applyFont="1" applyFill="1" applyBorder="1" applyAlignment="1">
      <alignment horizontal="left" wrapText="1"/>
    </xf>
    <xf numFmtId="0" fontId="2" fillId="5" borderId="1" xfId="0" applyFont="1" applyFill="1" applyBorder="1" applyAlignment="1">
      <alignment horizontal="left" wrapText="1"/>
    </xf>
    <xf numFmtId="3" fontId="1" fillId="5" borderId="10" xfId="0" applyNumberFormat="1" applyFont="1" applyFill="1" applyBorder="1" applyAlignment="1">
      <alignment horizontal="right" vertical="top" wrapText="1"/>
    </xf>
    <xf numFmtId="167" fontId="11" fillId="2" borderId="0" xfId="0" applyNumberFormat="1" applyFont="1" applyFill="1" applyAlignment="1">
      <alignment horizontal="left"/>
    </xf>
    <xf numFmtId="0" fontId="1" fillId="5" borderId="10" xfId="0" applyFont="1" applyFill="1" applyBorder="1" applyAlignment="1">
      <alignment horizontal="center" vertical="top" wrapText="1"/>
    </xf>
    <xf numFmtId="0" fontId="2" fillId="5" borderId="7" xfId="0" applyFont="1" applyFill="1" applyBorder="1" applyAlignment="1">
      <alignment horizontal="right" vertical="top" wrapText="1"/>
    </xf>
    <xf numFmtId="0" fontId="2" fillId="5" borderId="7" xfId="0" applyFont="1" applyFill="1" applyBorder="1" applyAlignment="1">
      <alignment horizontal="right" vertical="center" wrapText="1"/>
    </xf>
    <xf numFmtId="0" fontId="2" fillId="5" borderId="7" xfId="0" applyFont="1" applyFill="1" applyBorder="1" applyAlignment="1">
      <alignment horizontal="right" wrapText="1"/>
    </xf>
    <xf numFmtId="0" fontId="2" fillId="5" borderId="16" xfId="0" applyFont="1" applyFill="1" applyBorder="1" applyAlignment="1">
      <alignment horizontal="right" wrapText="1"/>
    </xf>
    <xf numFmtId="0" fontId="1" fillId="2" borderId="0" xfId="0" applyFont="1" applyFill="1" applyAlignment="1">
      <alignment horizontal="left" vertical="top" wrapText="1"/>
    </xf>
    <xf numFmtId="0" fontId="2" fillId="2" borderId="0" xfId="0" applyFont="1" applyFill="1" applyAlignment="1">
      <alignment horizontal="left" vertical="top" wrapText="1"/>
    </xf>
    <xf numFmtId="0" fontId="1" fillId="2" borderId="8" xfId="0" applyFont="1" applyFill="1" applyBorder="1" applyAlignment="1">
      <alignment horizontal="left" vertical="top" wrapText="1"/>
    </xf>
    <xf numFmtId="0" fontId="7" fillId="3" borderId="3" xfId="0" applyFont="1" applyFill="1" applyBorder="1" applyAlignment="1">
      <alignment horizontal="center" vertical="top" wrapText="1"/>
    </xf>
    <xf numFmtId="0" fontId="7" fillId="3" borderId="0" xfId="0" applyFont="1" applyFill="1" applyAlignment="1">
      <alignment horizontal="center" vertical="top" wrapText="1"/>
    </xf>
    <xf numFmtId="0" fontId="8" fillId="6" borderId="3" xfId="0" applyFont="1" applyFill="1" applyBorder="1" applyAlignment="1">
      <alignment horizontal="center" vertical="top"/>
    </xf>
    <xf numFmtId="0" fontId="12" fillId="0" borderId="0" xfId="0" applyFont="1" applyAlignment="1">
      <alignment horizontal="center" vertical="top" wrapText="1"/>
    </xf>
    <xf numFmtId="0" fontId="7" fillId="3" borderId="11" xfId="0" applyFont="1" applyFill="1" applyBorder="1" applyAlignment="1">
      <alignment horizontal="center" vertical="top" wrapText="1"/>
    </xf>
    <xf numFmtId="0" fontId="1" fillId="2" borderId="0" xfId="0" applyFont="1" applyFill="1" applyAlignment="1">
      <alignment horizontal="left" wrapText="1"/>
    </xf>
    <xf numFmtId="0" fontId="13" fillId="2" borderId="3" xfId="0" applyFont="1" applyFill="1" applyBorder="1" applyAlignment="1">
      <alignment horizontal="left" vertical="top" wrapText="1"/>
    </xf>
    <xf numFmtId="0" fontId="1" fillId="2" borderId="3" xfId="0" applyFont="1" applyFill="1" applyBorder="1" applyAlignment="1">
      <alignment horizontal="left" vertical="top" wrapText="1"/>
    </xf>
    <xf numFmtId="0" fontId="13" fillId="2" borderId="0" xfId="0" applyFont="1" applyFill="1" applyAlignment="1">
      <alignment horizontal="left" vertical="top" wrapText="1"/>
    </xf>
    <xf numFmtId="0" fontId="2" fillId="5" borderId="14" xfId="0" applyFont="1" applyFill="1" applyBorder="1" applyAlignment="1">
      <alignment horizontal="right" vertical="top" wrapText="1"/>
    </xf>
    <xf numFmtId="0" fontId="2" fillId="5" borderId="15" xfId="0" applyFont="1" applyFill="1" applyBorder="1" applyAlignment="1">
      <alignment horizontal="right" vertical="top" wrapText="1"/>
    </xf>
    <xf numFmtId="164" fontId="11" fillId="2" borderId="8" xfId="0" applyNumberFormat="1" applyFont="1" applyFill="1" applyBorder="1" applyAlignment="1">
      <alignment horizontal="left" vertical="top"/>
    </xf>
    <xf numFmtId="0" fontId="2" fillId="5" borderId="14" xfId="0" applyFont="1" applyFill="1" applyBorder="1" applyAlignment="1">
      <alignment horizontal="center" vertical="top" wrapText="1"/>
    </xf>
    <xf numFmtId="0" fontId="2" fillId="5" borderId="15" xfId="0" applyFont="1" applyFill="1" applyBorder="1" applyAlignment="1">
      <alignment horizontal="center" vertical="top" wrapText="1"/>
    </xf>
    <xf numFmtId="0" fontId="2" fillId="5" borderId="16" xfId="0" applyFont="1" applyFill="1" applyBorder="1" applyAlignment="1">
      <alignment horizontal="center" vertical="top" wrapText="1"/>
    </xf>
    <xf numFmtId="0" fontId="1" fillId="5" borderId="10" xfId="0" applyFont="1" applyFill="1" applyBorder="1" applyAlignment="1">
      <alignment horizontal="left" vertical="top" wrapText="1"/>
    </xf>
    <xf numFmtId="0" fontId="1" fillId="5" borderId="12" xfId="0" applyFont="1" applyFill="1" applyBorder="1" applyAlignment="1">
      <alignment horizontal="left" vertical="top" wrapText="1"/>
    </xf>
    <xf numFmtId="167" fontId="11" fillId="2" borderId="0" xfId="0" applyNumberFormat="1" applyFont="1" applyFill="1" applyAlignment="1">
      <alignment horizontal="left"/>
    </xf>
    <xf numFmtId="1" fontId="1" fillId="5" borderId="10" xfId="0" applyNumberFormat="1" applyFont="1" applyFill="1" applyBorder="1" applyAlignment="1">
      <alignment horizontal="left" vertical="top" wrapText="1"/>
    </xf>
    <xf numFmtId="1" fontId="1" fillId="5" borderId="12" xfId="0" applyNumberFormat="1" applyFont="1" applyFill="1" applyBorder="1" applyAlignment="1">
      <alignment horizontal="left" vertical="top" wrapText="1"/>
    </xf>
    <xf numFmtId="49" fontId="1" fillId="5" borderId="10" xfId="0" applyNumberFormat="1" applyFont="1" applyFill="1" applyBorder="1" applyAlignment="1">
      <alignment horizontal="left" vertical="top" wrapText="1"/>
    </xf>
    <xf numFmtId="49" fontId="1" fillId="5" borderId="12" xfId="0" applyNumberFormat="1" applyFont="1" applyFill="1" applyBorder="1" applyAlignment="1">
      <alignment horizontal="left" vertical="top" wrapText="1"/>
    </xf>
    <xf numFmtId="0" fontId="11" fillId="2" borderId="0" xfId="0" applyFont="1" applyFill="1" applyAlignment="1">
      <alignment horizontal="left" vertical="top"/>
    </xf>
    <xf numFmtId="0" fontId="1" fillId="4" borderId="27" xfId="0" applyFont="1" applyFill="1" applyBorder="1"/>
    <xf numFmtId="0" fontId="1" fillId="4" borderId="29" xfId="0" applyFont="1" applyFill="1" applyBorder="1"/>
    <xf numFmtId="0" fontId="1" fillId="4" borderId="28" xfId="0" applyFont="1" applyFill="1" applyBorder="1"/>
    <xf numFmtId="0" fontId="1" fillId="4" borderId="30" xfId="0" applyFont="1" applyFill="1" applyBorder="1"/>
    <xf numFmtId="0" fontId="1" fillId="4" borderId="31" xfId="0" applyFont="1" applyFill="1" applyBorder="1"/>
    <xf numFmtId="0" fontId="1" fillId="4" borderId="32" xfId="0" applyFont="1" applyFill="1" applyBorder="1"/>
    <xf numFmtId="0" fontId="17" fillId="2" borderId="0" xfId="0" applyFont="1" applyFill="1" applyAlignment="1">
      <alignment horizontal="left" vertical="top" wrapText="1"/>
    </xf>
  </cellXfs>
  <cellStyles count="1">
    <cellStyle name="Normal" xfId="0" builtinId="0"/>
  </cellStyles>
  <dxfs count="8">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s>
  <tableStyles count="0" defaultTableStyle="TableStyleMedium2" defaultPivotStyle="PivotStyleLight16"/>
  <colors>
    <mruColors>
      <color rgb="FFA7CBB9"/>
      <color rgb="FFE6F0EB"/>
      <color rgb="FF046A38"/>
      <color rgb="FF2C313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microsoft.com/office/2023/09/relationships/Python" Target="pyth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CheckBox" fmlaLink="I.Developer.P1" lockText="1" noThreeD="1"/>
</file>

<file path=xl/ctrlProps/ctrlProp2.xml><?xml version="1.0" encoding="utf-8"?>
<formControlPr xmlns="http://schemas.microsoft.com/office/spreadsheetml/2009/9/main" objectType="CheckBox" fmlaLink="I.Developer.P2a" lockText="1" noThreeD="1"/>
</file>

<file path=xl/ctrlProps/ctrlProp3.xml><?xml version="1.0" encoding="utf-8"?>
<formControlPr xmlns="http://schemas.microsoft.com/office/spreadsheetml/2009/9/main" objectType="CheckBox" fmlaLink="I.Developer.P2b" lockText="1" noThreeD="1"/>
</file>

<file path=xl/ctrlProps/ctrlProp4.xml><?xml version="1.0" encoding="utf-8"?>
<formControlPr xmlns="http://schemas.microsoft.com/office/spreadsheetml/2009/9/main" objectType="CheckBox" fmlaLink="I.Developer.P3" lockText="1" noThreeD="1"/>
</file>

<file path=xl/ctrlProps/ctrlProp5.xml><?xml version="1.0" encoding="utf-8"?>
<formControlPr xmlns="http://schemas.microsoft.com/office/spreadsheetml/2009/9/main" objectType="CheckBox" fmlaLink="I.Developer.P4" lockText="1" noThreeD="1"/>
</file>

<file path=xl/ctrlProps/ctrlProp6.xml><?xml version="1.0" encoding="utf-8"?>
<formControlPr xmlns="http://schemas.microsoft.com/office/spreadsheetml/2009/9/main" objectType="CheckBox" fmlaLink="I.Developer.P1C1" lockText="1" noThreeD="1"/>
</file>

<file path=xl/ctrlProps/ctrlProp7.xml><?xml version="1.0" encoding="utf-8"?>
<formControlPr xmlns="http://schemas.microsoft.com/office/spreadsheetml/2009/9/main" objectType="CheckBox" fmlaLink="I.Developer.P1C2" lockText="1" noThreeD="1"/>
</file>

<file path=xl/ctrlProps/ctrlProp8.xml><?xml version="1.0" encoding="utf-8"?>
<formControlPr xmlns="http://schemas.microsoft.com/office/spreadsheetml/2009/9/main" objectType="CheckBox" fmlaLink="I.Developer.P1C3" lockText="1" noThreeD="1"/>
</file>

<file path=xl/ctrlProps/ctrlProp9.xml><?xml version="1.0" encoding="utf-8"?>
<formControlPr xmlns="http://schemas.microsoft.com/office/spreadsheetml/2009/9/main" objectType="CheckBox" fmlaLink="I.Developer.P1C4" lockText="1" noThreeD="1"/>
</file>

<file path=xl/ctrlProps/ctrlProp10.xml><?xml version="1.0" encoding="utf-8"?>
<formControlPr xmlns="http://schemas.microsoft.com/office/spreadsheetml/2009/9/main" objectType="CheckBox" fmlaLink="I.Developer.P1C1V2" lockText="1" noThreeD="1"/>
</file>

<file path=xl/ctrlProps/ctrlProp11.xml><?xml version="1.0" encoding="utf-8"?>
<formControlPr xmlns="http://schemas.microsoft.com/office/spreadsheetml/2009/9/main" objectType="CheckBox" fmlaLink="I.Developer.P1C1V4" lockText="1" noThreeD="1"/>
</file>

<file path=xl/ctrlProps/ctrlProp12.xml><?xml version="1.0" encoding="utf-8"?>
<formControlPr xmlns="http://schemas.microsoft.com/office/spreadsheetml/2009/9/main" objectType="CheckBox" fmlaLink="I.Developer.P1C1V3" lockText="1" noThreeD="1"/>
</file>

<file path=xl/ctrlProps/ctrlProp13.xml><?xml version="1.0" encoding="utf-8"?>
<formControlPr xmlns="http://schemas.microsoft.com/office/spreadsheetml/2009/9/main" objectType="CheckBox" fmlaLink="I.Developer.P1C1V5" lockText="1" noThreeD="1"/>
</file>

<file path=xl/ctrlProps/ctrlProp14.xml><?xml version="1.0" encoding="utf-8"?>
<formControlPr xmlns="http://schemas.microsoft.com/office/spreadsheetml/2009/9/main" objectType="CheckBox" fmlaLink="I.Developer.P1C1V6" lockText="1" noThreeD="1"/>
</file>

<file path=xl/ctrlProps/ctrlProp15.xml><?xml version="1.0" encoding="utf-8"?>
<formControlPr xmlns="http://schemas.microsoft.com/office/spreadsheetml/2009/9/main" objectType="CheckBox" fmlaLink="I.Developer.P2aC1" lockText="1" noThreeD="1"/>
</file>

<file path=xl/ctrlProps/ctrlProp16.xml><?xml version="1.0" encoding="utf-8"?>
<formControlPr xmlns="http://schemas.microsoft.com/office/spreadsheetml/2009/9/main" objectType="CheckBox" fmlaLink="I.Developer.P2bC1" lockText="1" noThreeD="1"/>
</file>

<file path=xl/ctrlProps/ctrlProp17.xml><?xml version="1.0" encoding="utf-8"?>
<formControlPr xmlns="http://schemas.microsoft.com/office/spreadsheetml/2009/9/main" objectType="CheckBox" fmlaLink="I.Developer.P3C1" lockText="1" noThreeD="1"/>
</file>

<file path=xl/ctrlProps/ctrlProp18.xml><?xml version="1.0" encoding="utf-8"?>
<formControlPr xmlns="http://schemas.microsoft.com/office/spreadsheetml/2009/9/main" objectType="CheckBox" fmlaLink="I.Developer.P4C1" lockText="1" noThreeD="1"/>
</file>

<file path=xl/ctrlProps/ctrlProp19.xml><?xml version="1.0" encoding="utf-8"?>
<formControlPr xmlns="http://schemas.microsoft.com/office/spreadsheetml/2009/9/main" objectType="CheckBox" fmlaLink="I.Developer.P2aC1V2" lockText="1" noThreeD="1"/>
</file>

<file path=xl/ctrlProps/ctrlProp20.xml><?xml version="1.0" encoding="utf-8"?>
<formControlPr xmlns="http://schemas.microsoft.com/office/spreadsheetml/2009/9/main" objectType="CheckBox" fmlaLink="I.Developer.P2bC1V2" lockText="1" noThreeD="1"/>
</file>

<file path=xl/ctrlProps/ctrlProp21.xml><?xml version="1.0" encoding="utf-8"?>
<formControlPr xmlns="http://schemas.microsoft.com/office/spreadsheetml/2009/9/main" objectType="CheckBox" fmlaLink="I.Developer.P3C1V2" lockText="1" noThreeD="1"/>
</file>

<file path=xl/ctrlProps/ctrlProp22.xml><?xml version="1.0" encoding="utf-8"?>
<formControlPr xmlns="http://schemas.microsoft.com/office/spreadsheetml/2009/9/main" objectType="CheckBox" fmlaLink="I.Developer.P4C1V2" lockText="1" noThreeD="1"/>
</file>

<file path=xl/ctrlProps/ctrlProp23.xml><?xml version="1.0" encoding="utf-8"?>
<formControlPr xmlns="http://schemas.microsoft.com/office/spreadsheetml/2009/9/main" objectType="CheckBox" fmlaLink="I.Developer.P2aC1V6" lockText="1" noThreeD="1"/>
</file>

<file path=xl/ctrlProps/ctrlProp24.xml><?xml version="1.0" encoding="utf-8"?>
<formControlPr xmlns="http://schemas.microsoft.com/office/spreadsheetml/2009/9/main" objectType="CheckBox" fmlaLink="I.Developer.P2bC1V6" lockText="1" noThreeD="1"/>
</file>

<file path=xl/ctrlProps/ctrlProp25.xml><?xml version="1.0" encoding="utf-8"?>
<formControlPr xmlns="http://schemas.microsoft.com/office/spreadsheetml/2009/9/main" objectType="CheckBox" fmlaLink="I.Developer.P3C1V6" lockText="1" noThreeD="1"/>
</file>

<file path=xl/ctrlProps/ctrlProp26.xml><?xml version="1.0" encoding="utf-8"?>
<formControlPr xmlns="http://schemas.microsoft.com/office/spreadsheetml/2009/9/main" objectType="CheckBox" fmlaLink="I.Developer.P4C1V6" lockText="1" noThreeD="1"/>
</file>

<file path=xl/ctrlProps/ctrlProp27.xml><?xml version="1.0" encoding="utf-8"?>
<formControlPr xmlns="http://schemas.microsoft.com/office/spreadsheetml/2009/9/main" objectType="CheckBox" fmlaLink="I.Developer.P2aC2" lockText="1" noThreeD="1"/>
</file>

<file path=xl/ctrlProps/ctrlProp28.xml><?xml version="1.0" encoding="utf-8"?>
<formControlPr xmlns="http://schemas.microsoft.com/office/spreadsheetml/2009/9/main" objectType="CheckBox" fmlaLink="I.Developer.P2bC2" lockText="1" noThreeD="1"/>
</file>

<file path=xl/ctrlProps/ctrlProp29.xml><?xml version="1.0" encoding="utf-8"?>
<formControlPr xmlns="http://schemas.microsoft.com/office/spreadsheetml/2009/9/main" objectType="CheckBox" fmlaLink="I.Developer.P3C2" lockText="1" noThreeD="1"/>
</file>

<file path=xl/ctrlProps/ctrlProp30.xml><?xml version="1.0" encoding="utf-8"?>
<formControlPr xmlns="http://schemas.microsoft.com/office/spreadsheetml/2009/9/main" objectType="CheckBox" fmlaLink="I.Developer.P4C2" lockText="1" noThreeD="1"/>
</file>

<file path=xl/ctrlProps/ctrlProp31.xml><?xml version="1.0" encoding="utf-8"?>
<formControlPr xmlns="http://schemas.microsoft.com/office/spreadsheetml/2009/9/main" objectType="CheckBox" fmlaLink="I.Developer.P2aC3" lockText="1" noThreeD="1"/>
</file>

<file path=xl/ctrlProps/ctrlProp32.xml><?xml version="1.0" encoding="utf-8"?>
<formControlPr xmlns="http://schemas.microsoft.com/office/spreadsheetml/2009/9/main" objectType="CheckBox" fmlaLink="I.Developer.P2bC3" lockText="1" noThreeD="1"/>
</file>

<file path=xl/ctrlProps/ctrlProp33.xml><?xml version="1.0" encoding="utf-8"?>
<formControlPr xmlns="http://schemas.microsoft.com/office/spreadsheetml/2009/9/main" objectType="CheckBox" fmlaLink="I.Developer.P3C3" lockText="1" noThreeD="1"/>
</file>

<file path=xl/ctrlProps/ctrlProp34.xml><?xml version="1.0" encoding="utf-8"?>
<formControlPr xmlns="http://schemas.microsoft.com/office/spreadsheetml/2009/9/main" objectType="CheckBox" fmlaLink="I.Developer.P4C3" lockText="1" noThreeD="1"/>
</file>

<file path=xl/ctrlProps/ctrlProp35.xml><?xml version="1.0" encoding="utf-8"?>
<formControlPr xmlns="http://schemas.microsoft.com/office/spreadsheetml/2009/9/main" objectType="CheckBox" fmlaLink="I.Developer.P2aC1V4" lockText="1" noThreeD="1"/>
</file>

<file path=xl/ctrlProps/ctrlProp36.xml><?xml version="1.0" encoding="utf-8"?>
<formControlPr xmlns="http://schemas.microsoft.com/office/spreadsheetml/2009/9/main" objectType="CheckBox" fmlaLink="I.Developer.P2bC1V4" lockText="1" noThreeD="1"/>
</file>

<file path=xl/ctrlProps/ctrlProp37.xml><?xml version="1.0" encoding="utf-8"?>
<formControlPr xmlns="http://schemas.microsoft.com/office/spreadsheetml/2009/9/main" objectType="CheckBox" fmlaLink="I.Developer.P3C1V4" lockText="1" noThreeD="1"/>
</file>

<file path=xl/ctrlProps/ctrlProp38.xml><?xml version="1.0" encoding="utf-8"?>
<formControlPr xmlns="http://schemas.microsoft.com/office/spreadsheetml/2009/9/main" objectType="CheckBox" fmlaLink="I.Developer.P4C1V4" lockText="1" noThreeD="1"/>
</file>

<file path=xl/ctrlProps/ctrlProp39.xml><?xml version="1.0" encoding="utf-8"?>
<formControlPr xmlns="http://schemas.microsoft.com/office/spreadsheetml/2009/9/main" objectType="CheckBox" fmlaLink="I.Developer.P2aC1V5" lockText="1" noThreeD="1"/>
</file>

<file path=xl/ctrlProps/ctrlProp40.xml><?xml version="1.0" encoding="utf-8"?>
<formControlPr xmlns="http://schemas.microsoft.com/office/spreadsheetml/2009/9/main" objectType="CheckBox" fmlaLink="I.Developer.P2bC1V5" lockText="1" noThreeD="1"/>
</file>

<file path=xl/ctrlProps/ctrlProp41.xml><?xml version="1.0" encoding="utf-8"?>
<formControlPr xmlns="http://schemas.microsoft.com/office/spreadsheetml/2009/9/main" objectType="CheckBox" fmlaLink="I.Developer.P3C1V5" lockText="1" noThreeD="1"/>
</file>

<file path=xl/ctrlProps/ctrlProp42.xml><?xml version="1.0" encoding="utf-8"?>
<formControlPr xmlns="http://schemas.microsoft.com/office/spreadsheetml/2009/9/main" objectType="CheckBox" fmlaLink="I.Developer.P4C1V5" lockText="1" noThreeD="1"/>
</file>

<file path=xl/ctrlProps/ctrlProp43.xml><?xml version="1.0" encoding="utf-8"?>
<formControlPr xmlns="http://schemas.microsoft.com/office/spreadsheetml/2009/9/main" objectType="CheckBox" fmlaLink="I.Developer.P2aC4" lockText="1" noThreeD="1"/>
</file>

<file path=xl/ctrlProps/ctrlProp44.xml><?xml version="1.0" encoding="utf-8"?>
<formControlPr xmlns="http://schemas.microsoft.com/office/spreadsheetml/2009/9/main" objectType="CheckBox" fmlaLink="I.Developer.P2bC4" lockText="1" noThreeD="1"/>
</file>

<file path=xl/ctrlProps/ctrlProp45.xml><?xml version="1.0" encoding="utf-8"?>
<formControlPr xmlns="http://schemas.microsoft.com/office/spreadsheetml/2009/9/main" objectType="CheckBox" fmlaLink="I.Developer.P3C4" lockText="1" noThreeD="1"/>
</file>

<file path=xl/ctrlProps/ctrlProp46.xml><?xml version="1.0" encoding="utf-8"?>
<formControlPr xmlns="http://schemas.microsoft.com/office/spreadsheetml/2009/9/main" objectType="CheckBox" fmlaLink="I.Developer.P4C4" lockText="1" noThreeD="1"/>
</file>

<file path=xl/ctrlProps/ctrlProp47.xml><?xml version="1.0" encoding="utf-8"?>
<formControlPr xmlns="http://schemas.microsoft.com/office/spreadsheetml/2009/9/main" objectType="CheckBox" fmlaLink="I.Developer.P2aC1V3" lockText="1" noThreeD="1"/>
</file>

<file path=xl/ctrlProps/ctrlProp48.xml><?xml version="1.0" encoding="utf-8"?>
<formControlPr xmlns="http://schemas.microsoft.com/office/spreadsheetml/2009/9/main" objectType="CheckBox" fmlaLink="I.Developer.P2bC1V3" lockText="1" noThreeD="1"/>
</file>

<file path=xl/ctrlProps/ctrlProp49.xml><?xml version="1.0" encoding="utf-8"?>
<formControlPr xmlns="http://schemas.microsoft.com/office/spreadsheetml/2009/9/main" objectType="CheckBox" fmlaLink="I.Developer.P3C1V3" lockText="1" noThreeD="1"/>
</file>

<file path=xl/ctrlProps/ctrlProp50.xml><?xml version="1.0" encoding="utf-8"?>
<formControlPr xmlns="http://schemas.microsoft.com/office/spreadsheetml/2009/9/main" objectType="CheckBox" fmlaLink="I.Developer.P4C1V3" lockText="1" noThreeD="1"/>
</file>

<file path=xl/ctrlProps/ctrlProp5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3</xdr:col>
      <xdr:colOff>306164</xdr:colOff>
      <xdr:row>2</xdr:row>
      <xdr:rowOff>295275</xdr:rowOff>
    </xdr:to>
    <xdr:pic>
      <xdr:nvPicPr>
        <xdr:cNvPr id="2" name="Picture 1">
          <a:extLst>
            <a:ext uri="{FF2B5EF4-FFF2-40B4-BE49-F238E27FC236}">
              <a16:creationId xmlns:a16="http://schemas.microsoft.com/office/drawing/2014/main" id="{00000000-0008-0000-00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187325</xdr:colOff>
      <xdr:row>25</xdr:row>
      <xdr:rowOff>0</xdr:rowOff>
    </xdr:from>
    <xdr:to>
      <xdr:col>3</xdr:col>
      <xdr:colOff>107950</xdr:colOff>
      <xdr:row>26</xdr:row>
      <xdr:rowOff>0</xdr:rowOff>
    </xdr:to>
    <xdr:sp macro="" textlink="">
      <xdr:nvSpPr>
        <xdr:cNvPr id="8" name="Text Box P4">
          <a:extLst>
            <a:ext uri="{FF2B5EF4-FFF2-40B4-BE49-F238E27FC236}">
              <a16:creationId xmlns:a16="http://schemas.microsoft.com/office/drawing/2014/main" id="{00000000-0008-0000-0100-000008000000}"/>
            </a:ext>
          </a:extLst>
        </xdr:cNvPr>
        <xdr:cNvSpPr txBox="1"/>
      </xdr:nvSpPr>
      <xdr:spPr>
        <a:xfrm>
          <a:off x="949325" y="5257800"/>
          <a:ext cx="3302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Production class 4: Estevan heavy and non-heavy</a:t>
          </a:r>
        </a:p>
      </xdr:txBody>
    </xdr:sp>
    <xdr:clientData/>
  </xdr:twoCellAnchor>
  <xdr:twoCellAnchor>
    <xdr:from>
      <xdr:col>2</xdr:col>
      <xdr:colOff>187325</xdr:colOff>
      <xdr:row>24</xdr:row>
      <xdr:rowOff>0</xdr:rowOff>
    </xdr:from>
    <xdr:to>
      <xdr:col>3</xdr:col>
      <xdr:colOff>107950</xdr:colOff>
      <xdr:row>25</xdr:row>
      <xdr:rowOff>0</xdr:rowOff>
    </xdr:to>
    <xdr:sp macro="" textlink="">
      <xdr:nvSpPr>
        <xdr:cNvPr id="7" name="Text Box P3">
          <a:extLst>
            <a:ext uri="{FF2B5EF4-FFF2-40B4-BE49-F238E27FC236}">
              <a16:creationId xmlns:a16="http://schemas.microsoft.com/office/drawing/2014/main" id="{00000000-0008-0000-0100-000007000000}"/>
            </a:ext>
          </a:extLst>
        </xdr:cNvPr>
        <xdr:cNvSpPr txBox="1"/>
      </xdr:nvSpPr>
      <xdr:spPr>
        <a:xfrm>
          <a:off x="949325" y="5067300"/>
          <a:ext cx="3302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Production class 3: Swift</a:t>
          </a:r>
          <a:r>
            <a:rPr lang="en-US" sz="1100" baseline="0">
              <a:latin typeface="Aptos Narrow" panose="020B0004020202020204" pitchFamily="34" charset="0"/>
            </a:rPr>
            <a:t> Current heavy and non-heavy</a:t>
          </a:r>
          <a:endParaRPr lang="en-US" sz="1100">
            <a:latin typeface="Aptos Narrow" panose="020B0004020202020204" pitchFamily="34" charset="0"/>
          </a:endParaRPr>
        </a:p>
      </xdr:txBody>
    </xdr:sp>
    <xdr:clientData/>
  </xdr:twoCellAnchor>
  <xdr:twoCellAnchor>
    <xdr:from>
      <xdr:col>2</xdr:col>
      <xdr:colOff>187325</xdr:colOff>
      <xdr:row>23</xdr:row>
      <xdr:rowOff>0</xdr:rowOff>
    </xdr:from>
    <xdr:to>
      <xdr:col>3</xdr:col>
      <xdr:colOff>107950</xdr:colOff>
      <xdr:row>24</xdr:row>
      <xdr:rowOff>0</xdr:rowOff>
    </xdr:to>
    <xdr:sp macro="" textlink="">
      <xdr:nvSpPr>
        <xdr:cNvPr id="6" name="Text Box P2b">
          <a:extLst>
            <a:ext uri="{FF2B5EF4-FFF2-40B4-BE49-F238E27FC236}">
              <a16:creationId xmlns:a16="http://schemas.microsoft.com/office/drawing/2014/main" id="{00000000-0008-0000-0100-000006000000}"/>
            </a:ext>
          </a:extLst>
        </xdr:cNvPr>
        <xdr:cNvSpPr txBox="1"/>
      </xdr:nvSpPr>
      <xdr:spPr>
        <a:xfrm>
          <a:off x="949325" y="4876800"/>
          <a:ext cx="3302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Production class 2b: Kindersley non-heavy</a:t>
          </a:r>
        </a:p>
      </xdr:txBody>
    </xdr:sp>
    <xdr:clientData/>
  </xdr:twoCellAnchor>
  <xdr:twoCellAnchor>
    <xdr:from>
      <xdr:col>2</xdr:col>
      <xdr:colOff>187325</xdr:colOff>
      <xdr:row>22</xdr:row>
      <xdr:rowOff>0</xdr:rowOff>
    </xdr:from>
    <xdr:to>
      <xdr:col>3</xdr:col>
      <xdr:colOff>107950</xdr:colOff>
      <xdr:row>23</xdr:row>
      <xdr:rowOff>0</xdr:rowOff>
    </xdr:to>
    <xdr:sp macro="" textlink="">
      <xdr:nvSpPr>
        <xdr:cNvPr id="5" name="Text Box P2a">
          <a:extLst>
            <a:ext uri="{FF2B5EF4-FFF2-40B4-BE49-F238E27FC236}">
              <a16:creationId xmlns:a16="http://schemas.microsoft.com/office/drawing/2014/main" id="{00000000-0008-0000-0100-000005000000}"/>
            </a:ext>
          </a:extLst>
        </xdr:cNvPr>
        <xdr:cNvSpPr txBox="1"/>
      </xdr:nvSpPr>
      <xdr:spPr>
        <a:xfrm>
          <a:off x="949325" y="4686300"/>
          <a:ext cx="3302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Production class 2a: Kindersley</a:t>
          </a:r>
          <a:r>
            <a:rPr lang="en-US" sz="1100" baseline="0">
              <a:latin typeface="Aptos Narrow" panose="020B0004020202020204" pitchFamily="34" charset="0"/>
            </a:rPr>
            <a:t> heavy</a:t>
          </a:r>
          <a:endParaRPr lang="en-US" sz="1100">
            <a:latin typeface="Aptos Narrow" panose="020B0004020202020204" pitchFamily="34" charset="0"/>
          </a:endParaRPr>
        </a:p>
      </xdr:txBody>
    </xdr:sp>
    <xdr:clientData/>
  </xdr:twoCellAnchor>
  <xdr:twoCellAnchor>
    <xdr:from>
      <xdr:col>2</xdr:col>
      <xdr:colOff>187325</xdr:colOff>
      <xdr:row>21</xdr:row>
      <xdr:rowOff>0</xdr:rowOff>
    </xdr:from>
    <xdr:to>
      <xdr:col>3</xdr:col>
      <xdr:colOff>107950</xdr:colOff>
      <xdr:row>22</xdr:row>
      <xdr:rowOff>0</xdr:rowOff>
    </xdr:to>
    <xdr:sp macro="" textlink="">
      <xdr:nvSpPr>
        <xdr:cNvPr id="3" name="Text Box P1">
          <a:extLst>
            <a:ext uri="{FF2B5EF4-FFF2-40B4-BE49-F238E27FC236}">
              <a16:creationId xmlns:a16="http://schemas.microsoft.com/office/drawing/2014/main" id="{00000000-0008-0000-0100-000003000000}"/>
            </a:ext>
          </a:extLst>
        </xdr:cNvPr>
        <xdr:cNvSpPr txBox="1"/>
      </xdr:nvSpPr>
      <xdr:spPr>
        <a:xfrm>
          <a:off x="949325" y="4495800"/>
          <a:ext cx="3302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Production class 1: Lloydminster heavy and non-heavy</a:t>
          </a:r>
        </a:p>
      </xdr:txBody>
    </xdr:sp>
    <xdr:clientData/>
  </xdr:twoCellAnchor>
  <mc:AlternateContent xmlns:mc="http://schemas.openxmlformats.org/markup-compatibility/2006">
    <mc:Choice xmlns:a14="http://schemas.microsoft.com/office/drawing/2010/main" Requires="a14">
      <xdr:twoCellAnchor>
        <xdr:from>
          <xdr:col>2</xdr:col>
          <xdr:colOff>0</xdr:colOff>
          <xdr:row>25</xdr:row>
          <xdr:rowOff>0</xdr:rowOff>
        </xdr:from>
        <xdr:to>
          <xdr:col>2</xdr:col>
          <xdr:colOff>219075</xdr:colOff>
          <xdr:row>26</xdr:row>
          <xdr:rowOff>0</xdr:rowOff>
        </xdr:to>
        <xdr:sp macro="" textlink="">
          <xdr:nvSpPr>
            <xdr:cNvPr id="2053" name="Check Box P4"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24</xdr:row>
          <xdr:rowOff>0</xdr:rowOff>
        </xdr:from>
        <xdr:to>
          <xdr:col>2</xdr:col>
          <xdr:colOff>219075</xdr:colOff>
          <xdr:row>25</xdr:row>
          <xdr:rowOff>0</xdr:rowOff>
        </xdr:to>
        <xdr:sp macro="" textlink="">
          <xdr:nvSpPr>
            <xdr:cNvPr id="2052" name="Check Box P3"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23</xdr:row>
          <xdr:rowOff>0</xdr:rowOff>
        </xdr:from>
        <xdr:to>
          <xdr:col>2</xdr:col>
          <xdr:colOff>219075</xdr:colOff>
          <xdr:row>24</xdr:row>
          <xdr:rowOff>0</xdr:rowOff>
        </xdr:to>
        <xdr:sp macro="" textlink="">
          <xdr:nvSpPr>
            <xdr:cNvPr id="2051" name="Check Box P2b"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22</xdr:row>
          <xdr:rowOff>0</xdr:rowOff>
        </xdr:from>
        <xdr:to>
          <xdr:col>2</xdr:col>
          <xdr:colOff>219075</xdr:colOff>
          <xdr:row>23</xdr:row>
          <xdr:rowOff>0</xdr:rowOff>
        </xdr:to>
        <xdr:sp macro="" textlink="">
          <xdr:nvSpPr>
            <xdr:cNvPr id="2050" name="Check Box P2a"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21</xdr:row>
          <xdr:rowOff>0</xdr:rowOff>
        </xdr:from>
        <xdr:to>
          <xdr:col>2</xdr:col>
          <xdr:colOff>219075</xdr:colOff>
          <xdr:row>22</xdr:row>
          <xdr:rowOff>0</xdr:rowOff>
        </xdr:to>
        <xdr:sp macro="" textlink="">
          <xdr:nvSpPr>
            <xdr:cNvPr id="2049" name="Check Box P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0</xdr:row>
      <xdr:rowOff>23925</xdr:rowOff>
    </xdr:from>
    <xdr:to>
      <xdr:col>3</xdr:col>
      <xdr:colOff>306164</xdr:colOff>
      <xdr:row>2</xdr:row>
      <xdr:rowOff>295275</xdr:rowOff>
    </xdr:to>
    <xdr:pic>
      <xdr:nvPicPr>
        <xdr:cNvPr id="2" name="Picture 1">
          <a:extLst>
            <a:ext uri="{FF2B5EF4-FFF2-40B4-BE49-F238E27FC236}">
              <a16:creationId xmlns:a16="http://schemas.microsoft.com/office/drawing/2014/main" id="{00000000-0008-0000-01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187325</xdr:colOff>
      <xdr:row>113</xdr:row>
      <xdr:rowOff>0</xdr:rowOff>
    </xdr:from>
    <xdr:to>
      <xdr:col>2</xdr:col>
      <xdr:colOff>1965325</xdr:colOff>
      <xdr:row>114</xdr:row>
      <xdr:rowOff>0</xdr:rowOff>
    </xdr:to>
    <xdr:sp macro="" textlink="">
      <xdr:nvSpPr>
        <xdr:cNvPr id="50" name="Text Box P4V6">
          <a:extLst>
            <a:ext uri="{FF2B5EF4-FFF2-40B4-BE49-F238E27FC236}">
              <a16:creationId xmlns:a16="http://schemas.microsoft.com/office/drawing/2014/main" id="{00000000-0008-0000-0200-000032000000}"/>
            </a:ext>
          </a:extLst>
        </xdr:cNvPr>
        <xdr:cNvSpPr txBox="1"/>
      </xdr:nvSpPr>
      <xdr:spPr>
        <a:xfrm>
          <a:off x="949325" y="223075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Propane</a:t>
          </a:r>
        </a:p>
      </xdr:txBody>
    </xdr:sp>
    <xdr:clientData/>
  </xdr:twoCellAnchor>
  <xdr:twoCellAnchor>
    <xdr:from>
      <xdr:col>2</xdr:col>
      <xdr:colOff>187325</xdr:colOff>
      <xdr:row>112</xdr:row>
      <xdr:rowOff>0</xdr:rowOff>
    </xdr:from>
    <xdr:to>
      <xdr:col>2</xdr:col>
      <xdr:colOff>1965325</xdr:colOff>
      <xdr:row>113</xdr:row>
      <xdr:rowOff>0</xdr:rowOff>
    </xdr:to>
    <xdr:sp macro="" textlink="">
      <xdr:nvSpPr>
        <xdr:cNvPr id="47" name="Text Box P4V5">
          <a:extLst>
            <a:ext uri="{FF2B5EF4-FFF2-40B4-BE49-F238E27FC236}">
              <a16:creationId xmlns:a16="http://schemas.microsoft.com/office/drawing/2014/main" id="{00000000-0008-0000-0200-00002F000000}"/>
            </a:ext>
          </a:extLst>
        </xdr:cNvPr>
        <xdr:cNvSpPr txBox="1"/>
      </xdr:nvSpPr>
      <xdr:spPr>
        <a:xfrm>
          <a:off x="949325" y="221170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Gasoline</a:t>
          </a:r>
        </a:p>
      </xdr:txBody>
    </xdr:sp>
    <xdr:clientData/>
  </xdr:twoCellAnchor>
  <xdr:twoCellAnchor>
    <xdr:from>
      <xdr:col>2</xdr:col>
      <xdr:colOff>187325</xdr:colOff>
      <xdr:row>111</xdr:row>
      <xdr:rowOff>0</xdr:rowOff>
    </xdr:from>
    <xdr:to>
      <xdr:col>2</xdr:col>
      <xdr:colOff>1965325</xdr:colOff>
      <xdr:row>112</xdr:row>
      <xdr:rowOff>0</xdr:rowOff>
    </xdr:to>
    <xdr:sp macro="" textlink="">
      <xdr:nvSpPr>
        <xdr:cNvPr id="44" name="Text Box P4V4">
          <a:extLst>
            <a:ext uri="{FF2B5EF4-FFF2-40B4-BE49-F238E27FC236}">
              <a16:creationId xmlns:a16="http://schemas.microsoft.com/office/drawing/2014/main" id="{00000000-0008-0000-0200-00002C000000}"/>
            </a:ext>
          </a:extLst>
        </xdr:cNvPr>
        <xdr:cNvSpPr txBox="1"/>
      </xdr:nvSpPr>
      <xdr:spPr>
        <a:xfrm>
          <a:off x="949325" y="219265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Ethane</a:t>
          </a:r>
        </a:p>
      </xdr:txBody>
    </xdr:sp>
    <xdr:clientData/>
  </xdr:twoCellAnchor>
  <xdr:twoCellAnchor>
    <xdr:from>
      <xdr:col>2</xdr:col>
      <xdr:colOff>187325</xdr:colOff>
      <xdr:row>110</xdr:row>
      <xdr:rowOff>0</xdr:rowOff>
    </xdr:from>
    <xdr:to>
      <xdr:col>2</xdr:col>
      <xdr:colOff>1965325</xdr:colOff>
      <xdr:row>111</xdr:row>
      <xdr:rowOff>0</xdr:rowOff>
    </xdr:to>
    <xdr:sp macro="" textlink="">
      <xdr:nvSpPr>
        <xdr:cNvPr id="41" name="Text Box P4V3">
          <a:extLst>
            <a:ext uri="{FF2B5EF4-FFF2-40B4-BE49-F238E27FC236}">
              <a16:creationId xmlns:a16="http://schemas.microsoft.com/office/drawing/2014/main" id="{00000000-0008-0000-0200-000029000000}"/>
            </a:ext>
          </a:extLst>
        </xdr:cNvPr>
        <xdr:cNvSpPr txBox="1"/>
      </xdr:nvSpPr>
      <xdr:spPr>
        <a:xfrm>
          <a:off x="949325" y="217360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Diesel</a:t>
          </a:r>
        </a:p>
      </xdr:txBody>
    </xdr:sp>
    <xdr:clientData/>
  </xdr:twoCellAnchor>
  <xdr:twoCellAnchor>
    <xdr:from>
      <xdr:col>2</xdr:col>
      <xdr:colOff>187325</xdr:colOff>
      <xdr:row>109</xdr:row>
      <xdr:rowOff>0</xdr:rowOff>
    </xdr:from>
    <xdr:to>
      <xdr:col>2</xdr:col>
      <xdr:colOff>1965325</xdr:colOff>
      <xdr:row>110</xdr:row>
      <xdr:rowOff>0</xdr:rowOff>
    </xdr:to>
    <xdr:sp macro="" textlink="">
      <xdr:nvSpPr>
        <xdr:cNvPr id="38" name="Text Box P4V2">
          <a:extLst>
            <a:ext uri="{FF2B5EF4-FFF2-40B4-BE49-F238E27FC236}">
              <a16:creationId xmlns:a16="http://schemas.microsoft.com/office/drawing/2014/main" id="{00000000-0008-0000-0200-000026000000}"/>
            </a:ext>
          </a:extLst>
        </xdr:cNvPr>
        <xdr:cNvSpPr txBox="1"/>
      </xdr:nvSpPr>
      <xdr:spPr>
        <a:xfrm>
          <a:off x="949325" y="215455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Butane</a:t>
          </a:r>
        </a:p>
      </xdr:txBody>
    </xdr:sp>
    <xdr:clientData/>
  </xdr:twoCellAnchor>
  <mc:AlternateContent xmlns:mc="http://schemas.openxmlformats.org/markup-compatibility/2006">
    <mc:Choice xmlns:a14="http://schemas.microsoft.com/office/drawing/2010/main" Requires="a14">
      <xdr:twoCellAnchor>
        <xdr:from>
          <xdr:col>2</xdr:col>
          <xdr:colOff>0</xdr:colOff>
          <xdr:row>113</xdr:row>
          <xdr:rowOff>0</xdr:rowOff>
        </xdr:from>
        <xdr:to>
          <xdr:col>2</xdr:col>
          <xdr:colOff>219075</xdr:colOff>
          <xdr:row>114</xdr:row>
          <xdr:rowOff>0</xdr:rowOff>
        </xdr:to>
        <xdr:sp macro="" textlink="">
          <xdr:nvSpPr>
            <xdr:cNvPr id="3120" name="Check Box P4V6" hidden="1">
              <a:extLst>
                <a:ext uri="{63B3BB69-23CF-44E3-9099-C40C66FF867C}">
                  <a14:compatExt spid="_x0000_s3120"/>
                </a:ext>
                <a:ext uri="{FF2B5EF4-FFF2-40B4-BE49-F238E27FC236}">
                  <a16:creationId xmlns:a16="http://schemas.microsoft.com/office/drawing/2014/main" id="{00000000-0008-0000-0200-00003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112</xdr:row>
          <xdr:rowOff>0</xdr:rowOff>
        </xdr:from>
        <xdr:to>
          <xdr:col>2</xdr:col>
          <xdr:colOff>219075</xdr:colOff>
          <xdr:row>113</xdr:row>
          <xdr:rowOff>0</xdr:rowOff>
        </xdr:to>
        <xdr:sp macro="" textlink="">
          <xdr:nvSpPr>
            <xdr:cNvPr id="3144" name="Check Box P4V5" hidden="1">
              <a:extLst>
                <a:ext uri="{63B3BB69-23CF-44E3-9099-C40C66FF867C}">
                  <a14:compatExt spid="_x0000_s3144"/>
                </a:ext>
                <a:ext uri="{FF2B5EF4-FFF2-40B4-BE49-F238E27FC236}">
                  <a16:creationId xmlns:a16="http://schemas.microsoft.com/office/drawing/2014/main" id="{00000000-0008-0000-0200-00004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111</xdr:row>
          <xdr:rowOff>0</xdr:rowOff>
        </xdr:from>
        <xdr:to>
          <xdr:col>2</xdr:col>
          <xdr:colOff>219075</xdr:colOff>
          <xdr:row>112</xdr:row>
          <xdr:rowOff>0</xdr:rowOff>
        </xdr:to>
        <xdr:sp macro="" textlink="">
          <xdr:nvSpPr>
            <xdr:cNvPr id="3136" name="Check Box P4V4" hidden="1">
              <a:extLst>
                <a:ext uri="{63B3BB69-23CF-44E3-9099-C40C66FF867C}">
                  <a14:compatExt spid="_x0000_s3136"/>
                </a:ext>
                <a:ext uri="{FF2B5EF4-FFF2-40B4-BE49-F238E27FC236}">
                  <a16:creationId xmlns:a16="http://schemas.microsoft.com/office/drawing/2014/main" id="{00000000-0008-0000-0200-00004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110</xdr:row>
          <xdr:rowOff>0</xdr:rowOff>
        </xdr:from>
        <xdr:to>
          <xdr:col>2</xdr:col>
          <xdr:colOff>219075</xdr:colOff>
          <xdr:row>111</xdr:row>
          <xdr:rowOff>0</xdr:rowOff>
        </xdr:to>
        <xdr:sp macro="" textlink="">
          <xdr:nvSpPr>
            <xdr:cNvPr id="3152" name="Check Box P4V3" hidden="1">
              <a:extLst>
                <a:ext uri="{63B3BB69-23CF-44E3-9099-C40C66FF867C}">
                  <a14:compatExt spid="_x0000_s3152"/>
                </a:ext>
                <a:ext uri="{FF2B5EF4-FFF2-40B4-BE49-F238E27FC236}">
                  <a16:creationId xmlns:a16="http://schemas.microsoft.com/office/drawing/2014/main" id="{00000000-0008-0000-0200-00005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109</xdr:row>
          <xdr:rowOff>0</xdr:rowOff>
        </xdr:from>
        <xdr:to>
          <xdr:col>2</xdr:col>
          <xdr:colOff>219075</xdr:colOff>
          <xdr:row>110</xdr:row>
          <xdr:rowOff>0</xdr:rowOff>
        </xdr:to>
        <xdr:sp macro="" textlink="">
          <xdr:nvSpPr>
            <xdr:cNvPr id="3104" name="Check Box P4V2" hidden="1">
              <a:extLst>
                <a:ext uri="{63B3BB69-23CF-44E3-9099-C40C66FF867C}">
                  <a14:compatExt spid="_x0000_s3104"/>
                </a:ext>
                <a:ext uri="{FF2B5EF4-FFF2-40B4-BE49-F238E27FC236}">
                  <a16:creationId xmlns:a16="http://schemas.microsoft.com/office/drawing/2014/main" id="{00000000-0008-0000-02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187325</xdr:colOff>
      <xdr:row>106</xdr:row>
      <xdr:rowOff>0</xdr:rowOff>
    </xdr:from>
    <xdr:to>
      <xdr:col>2</xdr:col>
      <xdr:colOff>1965325</xdr:colOff>
      <xdr:row>107</xdr:row>
      <xdr:rowOff>0</xdr:rowOff>
    </xdr:to>
    <xdr:sp macro="" textlink="">
      <xdr:nvSpPr>
        <xdr:cNvPr id="30" name="Text Box P4C4">
          <a:extLst>
            <a:ext uri="{FF2B5EF4-FFF2-40B4-BE49-F238E27FC236}">
              <a16:creationId xmlns:a16="http://schemas.microsoft.com/office/drawing/2014/main" id="{00000000-0008-0000-0200-00001E000000}"/>
            </a:ext>
          </a:extLst>
        </xdr:cNvPr>
        <xdr:cNvSpPr txBox="1"/>
      </xdr:nvSpPr>
      <xdr:spPr>
        <a:xfrm>
          <a:off x="949325" y="209740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On-site transportation</a:t>
          </a:r>
        </a:p>
      </xdr:txBody>
    </xdr:sp>
    <xdr:clientData/>
  </xdr:twoCellAnchor>
  <xdr:twoCellAnchor>
    <xdr:from>
      <xdr:col>2</xdr:col>
      <xdr:colOff>187325</xdr:colOff>
      <xdr:row>105</xdr:row>
      <xdr:rowOff>0</xdr:rowOff>
    </xdr:from>
    <xdr:to>
      <xdr:col>2</xdr:col>
      <xdr:colOff>1965325</xdr:colOff>
      <xdr:row>106</xdr:row>
      <xdr:rowOff>0</xdr:rowOff>
    </xdr:to>
    <xdr:sp macro="" textlink="">
      <xdr:nvSpPr>
        <xdr:cNvPr id="26" name="Text Box P4C3">
          <a:extLst>
            <a:ext uri="{FF2B5EF4-FFF2-40B4-BE49-F238E27FC236}">
              <a16:creationId xmlns:a16="http://schemas.microsoft.com/office/drawing/2014/main" id="{00000000-0008-0000-0200-00001A000000}"/>
            </a:ext>
          </a:extLst>
        </xdr:cNvPr>
        <xdr:cNvSpPr txBox="1"/>
      </xdr:nvSpPr>
      <xdr:spPr>
        <a:xfrm>
          <a:off x="949325" y="207835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Flaring</a:t>
          </a:r>
        </a:p>
      </xdr:txBody>
    </xdr:sp>
    <xdr:clientData/>
  </xdr:twoCellAnchor>
  <xdr:twoCellAnchor>
    <xdr:from>
      <xdr:col>2</xdr:col>
      <xdr:colOff>187325</xdr:colOff>
      <xdr:row>104</xdr:row>
      <xdr:rowOff>0</xdr:rowOff>
    </xdr:from>
    <xdr:to>
      <xdr:col>2</xdr:col>
      <xdr:colOff>1965325</xdr:colOff>
      <xdr:row>105</xdr:row>
      <xdr:rowOff>0</xdr:rowOff>
    </xdr:to>
    <xdr:sp macro="" textlink="">
      <xdr:nvSpPr>
        <xdr:cNvPr id="22" name="Text Box P4C2">
          <a:extLst>
            <a:ext uri="{FF2B5EF4-FFF2-40B4-BE49-F238E27FC236}">
              <a16:creationId xmlns:a16="http://schemas.microsoft.com/office/drawing/2014/main" id="{00000000-0008-0000-0200-000016000000}"/>
            </a:ext>
          </a:extLst>
        </xdr:cNvPr>
        <xdr:cNvSpPr txBox="1"/>
      </xdr:nvSpPr>
      <xdr:spPr>
        <a:xfrm>
          <a:off x="949325" y="205930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Industrial product use</a:t>
          </a:r>
        </a:p>
      </xdr:txBody>
    </xdr:sp>
    <xdr:clientData/>
  </xdr:twoCellAnchor>
  <xdr:twoCellAnchor>
    <xdr:from>
      <xdr:col>2</xdr:col>
      <xdr:colOff>187325</xdr:colOff>
      <xdr:row>103</xdr:row>
      <xdr:rowOff>0</xdr:rowOff>
    </xdr:from>
    <xdr:to>
      <xdr:col>2</xdr:col>
      <xdr:colOff>1965325</xdr:colOff>
      <xdr:row>104</xdr:row>
      <xdr:rowOff>0</xdr:rowOff>
    </xdr:to>
    <xdr:sp macro="" textlink="">
      <xdr:nvSpPr>
        <xdr:cNvPr id="18" name="Text Box P4C1">
          <a:extLst>
            <a:ext uri="{FF2B5EF4-FFF2-40B4-BE49-F238E27FC236}">
              <a16:creationId xmlns:a16="http://schemas.microsoft.com/office/drawing/2014/main" id="{00000000-0008-0000-0200-000012000000}"/>
            </a:ext>
          </a:extLst>
        </xdr:cNvPr>
        <xdr:cNvSpPr txBox="1"/>
      </xdr:nvSpPr>
      <xdr:spPr>
        <a:xfrm>
          <a:off x="949325" y="204025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Stationary</a:t>
          </a:r>
          <a:r>
            <a:rPr lang="en-US" sz="1100" baseline="0">
              <a:latin typeface="Aptos Narrow" panose="020B0004020202020204" pitchFamily="34" charset="0"/>
            </a:rPr>
            <a:t> fuel combustion</a:t>
          </a:r>
          <a:endParaRPr lang="en-US" sz="1100">
            <a:latin typeface="Aptos Narrow" panose="020B0004020202020204" pitchFamily="34" charset="0"/>
          </a:endParaRPr>
        </a:p>
      </xdr:txBody>
    </xdr:sp>
    <xdr:clientData/>
  </xdr:twoCellAnchor>
  <mc:AlternateContent xmlns:mc="http://schemas.openxmlformats.org/markup-compatibility/2006">
    <mc:Choice xmlns:a14="http://schemas.microsoft.com/office/drawing/2010/main" Requires="a14">
      <xdr:twoCellAnchor>
        <xdr:from>
          <xdr:col>2</xdr:col>
          <xdr:colOff>0</xdr:colOff>
          <xdr:row>106</xdr:row>
          <xdr:rowOff>0</xdr:rowOff>
        </xdr:from>
        <xdr:to>
          <xdr:col>2</xdr:col>
          <xdr:colOff>219075</xdr:colOff>
          <xdr:row>107</xdr:row>
          <xdr:rowOff>0</xdr:rowOff>
        </xdr:to>
        <xdr:sp macro="" textlink="">
          <xdr:nvSpPr>
            <xdr:cNvPr id="3148" name="Check Box P4C4" hidden="1">
              <a:extLst>
                <a:ext uri="{63B3BB69-23CF-44E3-9099-C40C66FF867C}">
                  <a14:compatExt spid="_x0000_s3148"/>
                </a:ext>
                <a:ext uri="{FF2B5EF4-FFF2-40B4-BE49-F238E27FC236}">
                  <a16:creationId xmlns:a16="http://schemas.microsoft.com/office/drawing/2014/main" id="{00000000-0008-0000-0200-00004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105</xdr:row>
          <xdr:rowOff>0</xdr:rowOff>
        </xdr:from>
        <xdr:to>
          <xdr:col>2</xdr:col>
          <xdr:colOff>219075</xdr:colOff>
          <xdr:row>106</xdr:row>
          <xdr:rowOff>0</xdr:rowOff>
        </xdr:to>
        <xdr:sp macro="" textlink="">
          <xdr:nvSpPr>
            <xdr:cNvPr id="3128" name="Check Box P4C3" hidden="1">
              <a:extLst>
                <a:ext uri="{63B3BB69-23CF-44E3-9099-C40C66FF867C}">
                  <a14:compatExt spid="_x0000_s3128"/>
                </a:ext>
                <a:ext uri="{FF2B5EF4-FFF2-40B4-BE49-F238E27FC236}">
                  <a16:creationId xmlns:a16="http://schemas.microsoft.com/office/drawing/2014/main" id="{00000000-0008-0000-0200-00003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104</xdr:row>
          <xdr:rowOff>0</xdr:rowOff>
        </xdr:from>
        <xdr:to>
          <xdr:col>2</xdr:col>
          <xdr:colOff>219075</xdr:colOff>
          <xdr:row>105</xdr:row>
          <xdr:rowOff>0</xdr:rowOff>
        </xdr:to>
        <xdr:sp macro="" textlink="">
          <xdr:nvSpPr>
            <xdr:cNvPr id="3124" name="Check Box P4C2" hidden="1">
              <a:extLst>
                <a:ext uri="{63B3BB69-23CF-44E3-9099-C40C66FF867C}">
                  <a14:compatExt spid="_x0000_s3124"/>
                </a:ext>
                <a:ext uri="{FF2B5EF4-FFF2-40B4-BE49-F238E27FC236}">
                  <a16:creationId xmlns:a16="http://schemas.microsoft.com/office/drawing/2014/main" id="{00000000-0008-0000-0200-00003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103</xdr:row>
          <xdr:rowOff>0</xdr:rowOff>
        </xdr:from>
        <xdr:to>
          <xdr:col>2</xdr:col>
          <xdr:colOff>219075</xdr:colOff>
          <xdr:row>104</xdr:row>
          <xdr:rowOff>0</xdr:rowOff>
        </xdr:to>
        <xdr:sp macro="" textlink="">
          <xdr:nvSpPr>
            <xdr:cNvPr id="3086" name="Check Box P4C1"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187325</xdr:colOff>
      <xdr:row>89</xdr:row>
      <xdr:rowOff>0</xdr:rowOff>
    </xdr:from>
    <xdr:to>
      <xdr:col>2</xdr:col>
      <xdr:colOff>1965325</xdr:colOff>
      <xdr:row>90</xdr:row>
      <xdr:rowOff>0</xdr:rowOff>
    </xdr:to>
    <xdr:sp macro="" textlink="">
      <xdr:nvSpPr>
        <xdr:cNvPr id="49" name="Text Box P3V6">
          <a:extLst>
            <a:ext uri="{FF2B5EF4-FFF2-40B4-BE49-F238E27FC236}">
              <a16:creationId xmlns:a16="http://schemas.microsoft.com/office/drawing/2014/main" id="{00000000-0008-0000-0200-000031000000}"/>
            </a:ext>
          </a:extLst>
        </xdr:cNvPr>
        <xdr:cNvSpPr txBox="1"/>
      </xdr:nvSpPr>
      <xdr:spPr>
        <a:xfrm>
          <a:off x="949325" y="1767840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Propane</a:t>
          </a:r>
        </a:p>
      </xdr:txBody>
    </xdr:sp>
    <xdr:clientData/>
  </xdr:twoCellAnchor>
  <xdr:twoCellAnchor>
    <xdr:from>
      <xdr:col>2</xdr:col>
      <xdr:colOff>187325</xdr:colOff>
      <xdr:row>88</xdr:row>
      <xdr:rowOff>0</xdr:rowOff>
    </xdr:from>
    <xdr:to>
      <xdr:col>2</xdr:col>
      <xdr:colOff>1965325</xdr:colOff>
      <xdr:row>89</xdr:row>
      <xdr:rowOff>0</xdr:rowOff>
    </xdr:to>
    <xdr:sp macro="" textlink="">
      <xdr:nvSpPr>
        <xdr:cNvPr id="46" name="Text Box P3V5">
          <a:extLst>
            <a:ext uri="{FF2B5EF4-FFF2-40B4-BE49-F238E27FC236}">
              <a16:creationId xmlns:a16="http://schemas.microsoft.com/office/drawing/2014/main" id="{00000000-0008-0000-0200-00002E000000}"/>
            </a:ext>
          </a:extLst>
        </xdr:cNvPr>
        <xdr:cNvSpPr txBox="1"/>
      </xdr:nvSpPr>
      <xdr:spPr>
        <a:xfrm>
          <a:off x="949325" y="1748790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Gasoline</a:t>
          </a:r>
        </a:p>
      </xdr:txBody>
    </xdr:sp>
    <xdr:clientData/>
  </xdr:twoCellAnchor>
  <xdr:twoCellAnchor>
    <xdr:from>
      <xdr:col>2</xdr:col>
      <xdr:colOff>187325</xdr:colOff>
      <xdr:row>87</xdr:row>
      <xdr:rowOff>0</xdr:rowOff>
    </xdr:from>
    <xdr:to>
      <xdr:col>2</xdr:col>
      <xdr:colOff>1965325</xdr:colOff>
      <xdr:row>88</xdr:row>
      <xdr:rowOff>0</xdr:rowOff>
    </xdr:to>
    <xdr:sp macro="" textlink="">
      <xdr:nvSpPr>
        <xdr:cNvPr id="43" name="Text Box P3V4">
          <a:extLst>
            <a:ext uri="{FF2B5EF4-FFF2-40B4-BE49-F238E27FC236}">
              <a16:creationId xmlns:a16="http://schemas.microsoft.com/office/drawing/2014/main" id="{00000000-0008-0000-0200-00002B000000}"/>
            </a:ext>
          </a:extLst>
        </xdr:cNvPr>
        <xdr:cNvSpPr txBox="1"/>
      </xdr:nvSpPr>
      <xdr:spPr>
        <a:xfrm>
          <a:off x="949325" y="1729740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Ethane</a:t>
          </a:r>
        </a:p>
      </xdr:txBody>
    </xdr:sp>
    <xdr:clientData/>
  </xdr:twoCellAnchor>
  <xdr:twoCellAnchor>
    <xdr:from>
      <xdr:col>2</xdr:col>
      <xdr:colOff>187325</xdr:colOff>
      <xdr:row>86</xdr:row>
      <xdr:rowOff>0</xdr:rowOff>
    </xdr:from>
    <xdr:to>
      <xdr:col>2</xdr:col>
      <xdr:colOff>1965325</xdr:colOff>
      <xdr:row>87</xdr:row>
      <xdr:rowOff>0</xdr:rowOff>
    </xdr:to>
    <xdr:sp macro="" textlink="">
      <xdr:nvSpPr>
        <xdr:cNvPr id="40" name="Text Box P3V3">
          <a:extLst>
            <a:ext uri="{FF2B5EF4-FFF2-40B4-BE49-F238E27FC236}">
              <a16:creationId xmlns:a16="http://schemas.microsoft.com/office/drawing/2014/main" id="{00000000-0008-0000-0200-000028000000}"/>
            </a:ext>
          </a:extLst>
        </xdr:cNvPr>
        <xdr:cNvSpPr txBox="1"/>
      </xdr:nvSpPr>
      <xdr:spPr>
        <a:xfrm>
          <a:off x="949325" y="1710690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Diesel</a:t>
          </a:r>
        </a:p>
      </xdr:txBody>
    </xdr:sp>
    <xdr:clientData/>
  </xdr:twoCellAnchor>
  <xdr:twoCellAnchor>
    <xdr:from>
      <xdr:col>2</xdr:col>
      <xdr:colOff>187325</xdr:colOff>
      <xdr:row>85</xdr:row>
      <xdr:rowOff>0</xdr:rowOff>
    </xdr:from>
    <xdr:to>
      <xdr:col>2</xdr:col>
      <xdr:colOff>1965325</xdr:colOff>
      <xdr:row>86</xdr:row>
      <xdr:rowOff>0</xdr:rowOff>
    </xdr:to>
    <xdr:sp macro="" textlink="">
      <xdr:nvSpPr>
        <xdr:cNvPr id="37" name="Text Box P3V2">
          <a:extLst>
            <a:ext uri="{FF2B5EF4-FFF2-40B4-BE49-F238E27FC236}">
              <a16:creationId xmlns:a16="http://schemas.microsoft.com/office/drawing/2014/main" id="{00000000-0008-0000-0200-000025000000}"/>
            </a:ext>
          </a:extLst>
        </xdr:cNvPr>
        <xdr:cNvSpPr txBox="1"/>
      </xdr:nvSpPr>
      <xdr:spPr>
        <a:xfrm>
          <a:off x="949325" y="1691640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Butane</a:t>
          </a:r>
        </a:p>
      </xdr:txBody>
    </xdr:sp>
    <xdr:clientData/>
  </xdr:twoCellAnchor>
  <mc:AlternateContent xmlns:mc="http://schemas.openxmlformats.org/markup-compatibility/2006">
    <mc:Choice xmlns:a14="http://schemas.microsoft.com/office/drawing/2010/main" Requires="a14">
      <xdr:twoCellAnchor>
        <xdr:from>
          <xdr:col>2</xdr:col>
          <xdr:colOff>0</xdr:colOff>
          <xdr:row>89</xdr:row>
          <xdr:rowOff>0</xdr:rowOff>
        </xdr:from>
        <xdr:to>
          <xdr:col>2</xdr:col>
          <xdr:colOff>219075</xdr:colOff>
          <xdr:row>90</xdr:row>
          <xdr:rowOff>0</xdr:rowOff>
        </xdr:to>
        <xdr:sp macro="" textlink="">
          <xdr:nvSpPr>
            <xdr:cNvPr id="3119" name="Check Box P3V6" hidden="1">
              <a:extLst>
                <a:ext uri="{63B3BB69-23CF-44E3-9099-C40C66FF867C}">
                  <a14:compatExt spid="_x0000_s3119"/>
                </a:ext>
                <a:ext uri="{FF2B5EF4-FFF2-40B4-BE49-F238E27FC236}">
                  <a16:creationId xmlns:a16="http://schemas.microsoft.com/office/drawing/2014/main" id="{00000000-0008-0000-02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88</xdr:row>
          <xdr:rowOff>0</xdr:rowOff>
        </xdr:from>
        <xdr:to>
          <xdr:col>2</xdr:col>
          <xdr:colOff>219075</xdr:colOff>
          <xdr:row>89</xdr:row>
          <xdr:rowOff>0</xdr:rowOff>
        </xdr:to>
        <xdr:sp macro="" textlink="">
          <xdr:nvSpPr>
            <xdr:cNvPr id="3143" name="Check Box P3V5" hidden="1">
              <a:extLst>
                <a:ext uri="{63B3BB69-23CF-44E3-9099-C40C66FF867C}">
                  <a14:compatExt spid="_x0000_s3143"/>
                </a:ext>
                <a:ext uri="{FF2B5EF4-FFF2-40B4-BE49-F238E27FC236}">
                  <a16:creationId xmlns:a16="http://schemas.microsoft.com/office/drawing/2014/main" id="{00000000-0008-0000-0200-00004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87</xdr:row>
          <xdr:rowOff>0</xdr:rowOff>
        </xdr:from>
        <xdr:to>
          <xdr:col>2</xdr:col>
          <xdr:colOff>219075</xdr:colOff>
          <xdr:row>88</xdr:row>
          <xdr:rowOff>0</xdr:rowOff>
        </xdr:to>
        <xdr:sp macro="" textlink="">
          <xdr:nvSpPr>
            <xdr:cNvPr id="3135" name="Check Box P3V4" hidden="1">
              <a:extLst>
                <a:ext uri="{63B3BB69-23CF-44E3-9099-C40C66FF867C}">
                  <a14:compatExt spid="_x0000_s3135"/>
                </a:ext>
                <a:ext uri="{FF2B5EF4-FFF2-40B4-BE49-F238E27FC236}">
                  <a16:creationId xmlns:a16="http://schemas.microsoft.com/office/drawing/2014/main" id="{00000000-0008-0000-0200-00003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86</xdr:row>
          <xdr:rowOff>0</xdr:rowOff>
        </xdr:from>
        <xdr:to>
          <xdr:col>2</xdr:col>
          <xdr:colOff>219075</xdr:colOff>
          <xdr:row>87</xdr:row>
          <xdr:rowOff>0</xdr:rowOff>
        </xdr:to>
        <xdr:sp macro="" textlink="">
          <xdr:nvSpPr>
            <xdr:cNvPr id="3151" name="Check Box P3V3" hidden="1">
              <a:extLst>
                <a:ext uri="{63B3BB69-23CF-44E3-9099-C40C66FF867C}">
                  <a14:compatExt spid="_x0000_s3151"/>
                </a:ext>
                <a:ext uri="{FF2B5EF4-FFF2-40B4-BE49-F238E27FC236}">
                  <a16:creationId xmlns:a16="http://schemas.microsoft.com/office/drawing/2014/main" id="{00000000-0008-0000-0200-00004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85</xdr:row>
          <xdr:rowOff>0</xdr:rowOff>
        </xdr:from>
        <xdr:to>
          <xdr:col>2</xdr:col>
          <xdr:colOff>219075</xdr:colOff>
          <xdr:row>86</xdr:row>
          <xdr:rowOff>0</xdr:rowOff>
        </xdr:to>
        <xdr:sp macro="" textlink="">
          <xdr:nvSpPr>
            <xdr:cNvPr id="3103" name="Check Box P3V2" hidden="1">
              <a:extLst>
                <a:ext uri="{63B3BB69-23CF-44E3-9099-C40C66FF867C}">
                  <a14:compatExt spid="_x0000_s3103"/>
                </a:ext>
                <a:ext uri="{FF2B5EF4-FFF2-40B4-BE49-F238E27FC236}">
                  <a16:creationId xmlns:a16="http://schemas.microsoft.com/office/drawing/2014/main" id="{00000000-0008-0000-02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187325</xdr:colOff>
      <xdr:row>82</xdr:row>
      <xdr:rowOff>0</xdr:rowOff>
    </xdr:from>
    <xdr:to>
      <xdr:col>2</xdr:col>
      <xdr:colOff>1965325</xdr:colOff>
      <xdr:row>83</xdr:row>
      <xdr:rowOff>0</xdr:rowOff>
    </xdr:to>
    <xdr:sp macro="" textlink="">
      <xdr:nvSpPr>
        <xdr:cNvPr id="29" name="Text Box P3C4">
          <a:extLst>
            <a:ext uri="{FF2B5EF4-FFF2-40B4-BE49-F238E27FC236}">
              <a16:creationId xmlns:a16="http://schemas.microsoft.com/office/drawing/2014/main" id="{00000000-0008-0000-0200-00001D000000}"/>
            </a:ext>
          </a:extLst>
        </xdr:cNvPr>
        <xdr:cNvSpPr txBox="1"/>
      </xdr:nvSpPr>
      <xdr:spPr>
        <a:xfrm>
          <a:off x="949325" y="1634490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On-site transportation</a:t>
          </a:r>
        </a:p>
      </xdr:txBody>
    </xdr:sp>
    <xdr:clientData/>
  </xdr:twoCellAnchor>
  <xdr:twoCellAnchor>
    <xdr:from>
      <xdr:col>2</xdr:col>
      <xdr:colOff>187325</xdr:colOff>
      <xdr:row>81</xdr:row>
      <xdr:rowOff>0</xdr:rowOff>
    </xdr:from>
    <xdr:to>
      <xdr:col>2</xdr:col>
      <xdr:colOff>1965325</xdr:colOff>
      <xdr:row>82</xdr:row>
      <xdr:rowOff>0</xdr:rowOff>
    </xdr:to>
    <xdr:sp macro="" textlink="">
      <xdr:nvSpPr>
        <xdr:cNvPr id="25" name="Text Box P3C3">
          <a:extLst>
            <a:ext uri="{FF2B5EF4-FFF2-40B4-BE49-F238E27FC236}">
              <a16:creationId xmlns:a16="http://schemas.microsoft.com/office/drawing/2014/main" id="{00000000-0008-0000-0200-000019000000}"/>
            </a:ext>
          </a:extLst>
        </xdr:cNvPr>
        <xdr:cNvSpPr txBox="1"/>
      </xdr:nvSpPr>
      <xdr:spPr>
        <a:xfrm>
          <a:off x="949325" y="1615440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Flaring</a:t>
          </a:r>
        </a:p>
      </xdr:txBody>
    </xdr:sp>
    <xdr:clientData/>
  </xdr:twoCellAnchor>
  <xdr:twoCellAnchor>
    <xdr:from>
      <xdr:col>2</xdr:col>
      <xdr:colOff>187325</xdr:colOff>
      <xdr:row>80</xdr:row>
      <xdr:rowOff>0</xdr:rowOff>
    </xdr:from>
    <xdr:to>
      <xdr:col>2</xdr:col>
      <xdr:colOff>1965325</xdr:colOff>
      <xdr:row>81</xdr:row>
      <xdr:rowOff>0</xdr:rowOff>
    </xdr:to>
    <xdr:sp macro="" textlink="">
      <xdr:nvSpPr>
        <xdr:cNvPr id="21" name="Text Box P3C2">
          <a:extLst>
            <a:ext uri="{FF2B5EF4-FFF2-40B4-BE49-F238E27FC236}">
              <a16:creationId xmlns:a16="http://schemas.microsoft.com/office/drawing/2014/main" id="{00000000-0008-0000-0200-000015000000}"/>
            </a:ext>
          </a:extLst>
        </xdr:cNvPr>
        <xdr:cNvSpPr txBox="1"/>
      </xdr:nvSpPr>
      <xdr:spPr>
        <a:xfrm>
          <a:off x="949325" y="1596390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Industrial product use</a:t>
          </a:r>
        </a:p>
      </xdr:txBody>
    </xdr:sp>
    <xdr:clientData/>
  </xdr:twoCellAnchor>
  <xdr:twoCellAnchor>
    <xdr:from>
      <xdr:col>2</xdr:col>
      <xdr:colOff>187325</xdr:colOff>
      <xdr:row>79</xdr:row>
      <xdr:rowOff>0</xdr:rowOff>
    </xdr:from>
    <xdr:to>
      <xdr:col>2</xdr:col>
      <xdr:colOff>1965325</xdr:colOff>
      <xdr:row>80</xdr:row>
      <xdr:rowOff>0</xdr:rowOff>
    </xdr:to>
    <xdr:sp macro="" textlink="">
      <xdr:nvSpPr>
        <xdr:cNvPr id="17" name="Text Box P3C1">
          <a:extLst>
            <a:ext uri="{FF2B5EF4-FFF2-40B4-BE49-F238E27FC236}">
              <a16:creationId xmlns:a16="http://schemas.microsoft.com/office/drawing/2014/main" id="{00000000-0008-0000-0200-000011000000}"/>
            </a:ext>
          </a:extLst>
        </xdr:cNvPr>
        <xdr:cNvSpPr txBox="1"/>
      </xdr:nvSpPr>
      <xdr:spPr>
        <a:xfrm>
          <a:off x="949325" y="1577340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Stationary</a:t>
          </a:r>
          <a:r>
            <a:rPr lang="en-US" sz="1100" baseline="0">
              <a:latin typeface="Aptos Narrow" panose="020B0004020202020204" pitchFamily="34" charset="0"/>
            </a:rPr>
            <a:t> fuel combustion</a:t>
          </a:r>
          <a:endParaRPr lang="en-US" sz="1100">
            <a:latin typeface="Aptos Narrow" panose="020B0004020202020204" pitchFamily="34" charset="0"/>
          </a:endParaRPr>
        </a:p>
      </xdr:txBody>
    </xdr:sp>
    <xdr:clientData/>
  </xdr:twoCellAnchor>
  <mc:AlternateContent xmlns:mc="http://schemas.openxmlformats.org/markup-compatibility/2006">
    <mc:Choice xmlns:a14="http://schemas.microsoft.com/office/drawing/2010/main" Requires="a14">
      <xdr:twoCellAnchor>
        <xdr:from>
          <xdr:col>2</xdr:col>
          <xdr:colOff>0</xdr:colOff>
          <xdr:row>82</xdr:row>
          <xdr:rowOff>0</xdr:rowOff>
        </xdr:from>
        <xdr:to>
          <xdr:col>2</xdr:col>
          <xdr:colOff>219075</xdr:colOff>
          <xdr:row>83</xdr:row>
          <xdr:rowOff>0</xdr:rowOff>
        </xdr:to>
        <xdr:sp macro="" textlink="">
          <xdr:nvSpPr>
            <xdr:cNvPr id="3147" name="Check Box P3C4" hidden="1">
              <a:extLst>
                <a:ext uri="{63B3BB69-23CF-44E3-9099-C40C66FF867C}">
                  <a14:compatExt spid="_x0000_s3147"/>
                </a:ext>
                <a:ext uri="{FF2B5EF4-FFF2-40B4-BE49-F238E27FC236}">
                  <a16:creationId xmlns:a16="http://schemas.microsoft.com/office/drawing/2014/main" id="{00000000-0008-0000-0200-00004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81</xdr:row>
          <xdr:rowOff>0</xdr:rowOff>
        </xdr:from>
        <xdr:to>
          <xdr:col>2</xdr:col>
          <xdr:colOff>219075</xdr:colOff>
          <xdr:row>82</xdr:row>
          <xdr:rowOff>0</xdr:rowOff>
        </xdr:to>
        <xdr:sp macro="" textlink="">
          <xdr:nvSpPr>
            <xdr:cNvPr id="3127" name="Check Box P3C3" hidden="1">
              <a:extLst>
                <a:ext uri="{63B3BB69-23CF-44E3-9099-C40C66FF867C}">
                  <a14:compatExt spid="_x0000_s3127"/>
                </a:ext>
                <a:ext uri="{FF2B5EF4-FFF2-40B4-BE49-F238E27FC236}">
                  <a16:creationId xmlns:a16="http://schemas.microsoft.com/office/drawing/2014/main" id="{00000000-0008-0000-0200-00003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80</xdr:row>
          <xdr:rowOff>0</xdr:rowOff>
        </xdr:from>
        <xdr:to>
          <xdr:col>2</xdr:col>
          <xdr:colOff>219075</xdr:colOff>
          <xdr:row>81</xdr:row>
          <xdr:rowOff>0</xdr:rowOff>
        </xdr:to>
        <xdr:sp macro="" textlink="">
          <xdr:nvSpPr>
            <xdr:cNvPr id="3123" name="Check Box P3C2" hidden="1">
              <a:extLst>
                <a:ext uri="{63B3BB69-23CF-44E3-9099-C40C66FF867C}">
                  <a14:compatExt spid="_x0000_s3123"/>
                </a:ext>
                <a:ext uri="{FF2B5EF4-FFF2-40B4-BE49-F238E27FC236}">
                  <a16:creationId xmlns:a16="http://schemas.microsoft.com/office/drawing/2014/main" id="{00000000-0008-0000-0200-00003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79</xdr:row>
          <xdr:rowOff>0</xdr:rowOff>
        </xdr:from>
        <xdr:to>
          <xdr:col>2</xdr:col>
          <xdr:colOff>219075</xdr:colOff>
          <xdr:row>80</xdr:row>
          <xdr:rowOff>0</xdr:rowOff>
        </xdr:to>
        <xdr:sp macro="" textlink="">
          <xdr:nvSpPr>
            <xdr:cNvPr id="3085" name="Check Box P3C1"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187325</xdr:colOff>
      <xdr:row>65</xdr:row>
      <xdr:rowOff>0</xdr:rowOff>
    </xdr:from>
    <xdr:to>
      <xdr:col>2</xdr:col>
      <xdr:colOff>1965325</xdr:colOff>
      <xdr:row>66</xdr:row>
      <xdr:rowOff>0</xdr:rowOff>
    </xdr:to>
    <xdr:sp macro="" textlink="">
      <xdr:nvSpPr>
        <xdr:cNvPr id="48" name="Text Box P2bV6">
          <a:extLst>
            <a:ext uri="{FF2B5EF4-FFF2-40B4-BE49-F238E27FC236}">
              <a16:creationId xmlns:a16="http://schemas.microsoft.com/office/drawing/2014/main" id="{00000000-0008-0000-0200-000030000000}"/>
            </a:ext>
          </a:extLst>
        </xdr:cNvPr>
        <xdr:cNvSpPr txBox="1"/>
      </xdr:nvSpPr>
      <xdr:spPr>
        <a:xfrm>
          <a:off x="949325" y="130492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Propane</a:t>
          </a:r>
        </a:p>
      </xdr:txBody>
    </xdr:sp>
    <xdr:clientData/>
  </xdr:twoCellAnchor>
  <xdr:twoCellAnchor>
    <xdr:from>
      <xdr:col>2</xdr:col>
      <xdr:colOff>187325</xdr:colOff>
      <xdr:row>64</xdr:row>
      <xdr:rowOff>0</xdr:rowOff>
    </xdr:from>
    <xdr:to>
      <xdr:col>2</xdr:col>
      <xdr:colOff>1965325</xdr:colOff>
      <xdr:row>65</xdr:row>
      <xdr:rowOff>0</xdr:rowOff>
    </xdr:to>
    <xdr:sp macro="" textlink="">
      <xdr:nvSpPr>
        <xdr:cNvPr id="45" name="Text Box P2bV5">
          <a:extLst>
            <a:ext uri="{FF2B5EF4-FFF2-40B4-BE49-F238E27FC236}">
              <a16:creationId xmlns:a16="http://schemas.microsoft.com/office/drawing/2014/main" id="{00000000-0008-0000-0200-00002D000000}"/>
            </a:ext>
          </a:extLst>
        </xdr:cNvPr>
        <xdr:cNvSpPr txBox="1"/>
      </xdr:nvSpPr>
      <xdr:spPr>
        <a:xfrm>
          <a:off x="949325" y="128587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Gasoline</a:t>
          </a:r>
        </a:p>
      </xdr:txBody>
    </xdr:sp>
    <xdr:clientData/>
  </xdr:twoCellAnchor>
  <xdr:twoCellAnchor>
    <xdr:from>
      <xdr:col>2</xdr:col>
      <xdr:colOff>187325</xdr:colOff>
      <xdr:row>63</xdr:row>
      <xdr:rowOff>0</xdr:rowOff>
    </xdr:from>
    <xdr:to>
      <xdr:col>2</xdr:col>
      <xdr:colOff>1965325</xdr:colOff>
      <xdr:row>64</xdr:row>
      <xdr:rowOff>0</xdr:rowOff>
    </xdr:to>
    <xdr:sp macro="" textlink="">
      <xdr:nvSpPr>
        <xdr:cNvPr id="42" name="Text Box P2bV4">
          <a:extLst>
            <a:ext uri="{FF2B5EF4-FFF2-40B4-BE49-F238E27FC236}">
              <a16:creationId xmlns:a16="http://schemas.microsoft.com/office/drawing/2014/main" id="{00000000-0008-0000-0200-00002A000000}"/>
            </a:ext>
          </a:extLst>
        </xdr:cNvPr>
        <xdr:cNvSpPr txBox="1"/>
      </xdr:nvSpPr>
      <xdr:spPr>
        <a:xfrm>
          <a:off x="949325" y="126682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Ethane</a:t>
          </a:r>
        </a:p>
      </xdr:txBody>
    </xdr:sp>
    <xdr:clientData/>
  </xdr:twoCellAnchor>
  <xdr:twoCellAnchor>
    <xdr:from>
      <xdr:col>2</xdr:col>
      <xdr:colOff>187325</xdr:colOff>
      <xdr:row>62</xdr:row>
      <xdr:rowOff>0</xdr:rowOff>
    </xdr:from>
    <xdr:to>
      <xdr:col>2</xdr:col>
      <xdr:colOff>1965325</xdr:colOff>
      <xdr:row>63</xdr:row>
      <xdr:rowOff>0</xdr:rowOff>
    </xdr:to>
    <xdr:sp macro="" textlink="">
      <xdr:nvSpPr>
        <xdr:cNvPr id="39" name="Text Box P2bV3">
          <a:extLst>
            <a:ext uri="{FF2B5EF4-FFF2-40B4-BE49-F238E27FC236}">
              <a16:creationId xmlns:a16="http://schemas.microsoft.com/office/drawing/2014/main" id="{00000000-0008-0000-0200-000027000000}"/>
            </a:ext>
          </a:extLst>
        </xdr:cNvPr>
        <xdr:cNvSpPr txBox="1"/>
      </xdr:nvSpPr>
      <xdr:spPr>
        <a:xfrm>
          <a:off x="949325" y="124777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Diesel</a:t>
          </a:r>
        </a:p>
      </xdr:txBody>
    </xdr:sp>
    <xdr:clientData/>
  </xdr:twoCellAnchor>
  <xdr:twoCellAnchor>
    <xdr:from>
      <xdr:col>2</xdr:col>
      <xdr:colOff>187325</xdr:colOff>
      <xdr:row>61</xdr:row>
      <xdr:rowOff>0</xdr:rowOff>
    </xdr:from>
    <xdr:to>
      <xdr:col>2</xdr:col>
      <xdr:colOff>1965325</xdr:colOff>
      <xdr:row>62</xdr:row>
      <xdr:rowOff>0</xdr:rowOff>
    </xdr:to>
    <xdr:sp macro="" textlink="">
      <xdr:nvSpPr>
        <xdr:cNvPr id="36" name="Text Box P2bV2">
          <a:extLst>
            <a:ext uri="{FF2B5EF4-FFF2-40B4-BE49-F238E27FC236}">
              <a16:creationId xmlns:a16="http://schemas.microsoft.com/office/drawing/2014/main" id="{00000000-0008-0000-0200-000024000000}"/>
            </a:ext>
          </a:extLst>
        </xdr:cNvPr>
        <xdr:cNvSpPr txBox="1"/>
      </xdr:nvSpPr>
      <xdr:spPr>
        <a:xfrm>
          <a:off x="949325" y="122872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Butane</a:t>
          </a:r>
        </a:p>
      </xdr:txBody>
    </xdr:sp>
    <xdr:clientData/>
  </xdr:twoCellAnchor>
  <mc:AlternateContent xmlns:mc="http://schemas.openxmlformats.org/markup-compatibility/2006">
    <mc:Choice xmlns:a14="http://schemas.microsoft.com/office/drawing/2010/main" Requires="a14">
      <xdr:twoCellAnchor>
        <xdr:from>
          <xdr:col>2</xdr:col>
          <xdr:colOff>0</xdr:colOff>
          <xdr:row>65</xdr:row>
          <xdr:rowOff>0</xdr:rowOff>
        </xdr:from>
        <xdr:to>
          <xdr:col>2</xdr:col>
          <xdr:colOff>219075</xdr:colOff>
          <xdr:row>66</xdr:row>
          <xdr:rowOff>0</xdr:rowOff>
        </xdr:to>
        <xdr:sp macro="" textlink="">
          <xdr:nvSpPr>
            <xdr:cNvPr id="3118" name="Check Box P2bV6" hidden="1">
              <a:extLst>
                <a:ext uri="{63B3BB69-23CF-44E3-9099-C40C66FF867C}">
                  <a14:compatExt spid="_x0000_s3118"/>
                </a:ext>
                <a:ext uri="{FF2B5EF4-FFF2-40B4-BE49-F238E27FC236}">
                  <a16:creationId xmlns:a16="http://schemas.microsoft.com/office/drawing/2014/main" id="{00000000-0008-0000-0200-00002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64</xdr:row>
          <xdr:rowOff>0</xdr:rowOff>
        </xdr:from>
        <xdr:to>
          <xdr:col>2</xdr:col>
          <xdr:colOff>219075</xdr:colOff>
          <xdr:row>65</xdr:row>
          <xdr:rowOff>0</xdr:rowOff>
        </xdr:to>
        <xdr:sp macro="" textlink="">
          <xdr:nvSpPr>
            <xdr:cNvPr id="3142" name="Check Box P2bV5" hidden="1">
              <a:extLst>
                <a:ext uri="{63B3BB69-23CF-44E3-9099-C40C66FF867C}">
                  <a14:compatExt spid="_x0000_s3142"/>
                </a:ext>
                <a:ext uri="{FF2B5EF4-FFF2-40B4-BE49-F238E27FC236}">
                  <a16:creationId xmlns:a16="http://schemas.microsoft.com/office/drawing/2014/main" id="{00000000-0008-0000-0200-00004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63</xdr:row>
          <xdr:rowOff>0</xdr:rowOff>
        </xdr:from>
        <xdr:to>
          <xdr:col>2</xdr:col>
          <xdr:colOff>219075</xdr:colOff>
          <xdr:row>64</xdr:row>
          <xdr:rowOff>0</xdr:rowOff>
        </xdr:to>
        <xdr:sp macro="" textlink="">
          <xdr:nvSpPr>
            <xdr:cNvPr id="3134" name="Check Box P2bV4" hidden="1">
              <a:extLst>
                <a:ext uri="{63B3BB69-23CF-44E3-9099-C40C66FF867C}">
                  <a14:compatExt spid="_x0000_s3134"/>
                </a:ext>
                <a:ext uri="{FF2B5EF4-FFF2-40B4-BE49-F238E27FC236}">
                  <a16:creationId xmlns:a16="http://schemas.microsoft.com/office/drawing/2014/main" id="{00000000-0008-0000-0200-00003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62</xdr:row>
          <xdr:rowOff>0</xdr:rowOff>
        </xdr:from>
        <xdr:to>
          <xdr:col>2</xdr:col>
          <xdr:colOff>219075</xdr:colOff>
          <xdr:row>63</xdr:row>
          <xdr:rowOff>0</xdr:rowOff>
        </xdr:to>
        <xdr:sp macro="" textlink="">
          <xdr:nvSpPr>
            <xdr:cNvPr id="3150" name="Check Box P2bV3" hidden="1">
              <a:extLst>
                <a:ext uri="{63B3BB69-23CF-44E3-9099-C40C66FF867C}">
                  <a14:compatExt spid="_x0000_s3150"/>
                </a:ext>
                <a:ext uri="{FF2B5EF4-FFF2-40B4-BE49-F238E27FC236}">
                  <a16:creationId xmlns:a16="http://schemas.microsoft.com/office/drawing/2014/main" id="{00000000-0008-0000-0200-00004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61</xdr:row>
          <xdr:rowOff>0</xdr:rowOff>
        </xdr:from>
        <xdr:to>
          <xdr:col>2</xdr:col>
          <xdr:colOff>219075</xdr:colOff>
          <xdr:row>62</xdr:row>
          <xdr:rowOff>0</xdr:rowOff>
        </xdr:to>
        <xdr:sp macro="" textlink="">
          <xdr:nvSpPr>
            <xdr:cNvPr id="3102" name="Check Box P2bV2" hidden="1">
              <a:extLst>
                <a:ext uri="{63B3BB69-23CF-44E3-9099-C40C66FF867C}">
                  <a14:compatExt spid="_x0000_s3102"/>
                </a:ext>
                <a:ext uri="{FF2B5EF4-FFF2-40B4-BE49-F238E27FC236}">
                  <a16:creationId xmlns:a16="http://schemas.microsoft.com/office/drawing/2014/main" id="{00000000-0008-0000-02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187325</xdr:colOff>
      <xdr:row>58</xdr:row>
      <xdr:rowOff>0</xdr:rowOff>
    </xdr:from>
    <xdr:to>
      <xdr:col>2</xdr:col>
      <xdr:colOff>1965325</xdr:colOff>
      <xdr:row>59</xdr:row>
      <xdr:rowOff>0</xdr:rowOff>
    </xdr:to>
    <xdr:sp macro="" textlink="">
      <xdr:nvSpPr>
        <xdr:cNvPr id="28" name="Text Box P2bC4">
          <a:extLst>
            <a:ext uri="{FF2B5EF4-FFF2-40B4-BE49-F238E27FC236}">
              <a16:creationId xmlns:a16="http://schemas.microsoft.com/office/drawing/2014/main" id="{00000000-0008-0000-0200-00001C000000}"/>
            </a:ext>
          </a:extLst>
        </xdr:cNvPr>
        <xdr:cNvSpPr txBox="1"/>
      </xdr:nvSpPr>
      <xdr:spPr>
        <a:xfrm>
          <a:off x="949325" y="117157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On-site transportation</a:t>
          </a:r>
        </a:p>
      </xdr:txBody>
    </xdr:sp>
    <xdr:clientData/>
  </xdr:twoCellAnchor>
  <xdr:twoCellAnchor>
    <xdr:from>
      <xdr:col>2</xdr:col>
      <xdr:colOff>187325</xdr:colOff>
      <xdr:row>57</xdr:row>
      <xdr:rowOff>0</xdr:rowOff>
    </xdr:from>
    <xdr:to>
      <xdr:col>2</xdr:col>
      <xdr:colOff>1965325</xdr:colOff>
      <xdr:row>58</xdr:row>
      <xdr:rowOff>0</xdr:rowOff>
    </xdr:to>
    <xdr:sp macro="" textlink="">
      <xdr:nvSpPr>
        <xdr:cNvPr id="24" name="Text Box P2bC3">
          <a:extLst>
            <a:ext uri="{FF2B5EF4-FFF2-40B4-BE49-F238E27FC236}">
              <a16:creationId xmlns:a16="http://schemas.microsoft.com/office/drawing/2014/main" id="{00000000-0008-0000-0200-000018000000}"/>
            </a:ext>
          </a:extLst>
        </xdr:cNvPr>
        <xdr:cNvSpPr txBox="1"/>
      </xdr:nvSpPr>
      <xdr:spPr>
        <a:xfrm>
          <a:off x="949325" y="115252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Flaring</a:t>
          </a:r>
        </a:p>
      </xdr:txBody>
    </xdr:sp>
    <xdr:clientData/>
  </xdr:twoCellAnchor>
  <xdr:twoCellAnchor>
    <xdr:from>
      <xdr:col>2</xdr:col>
      <xdr:colOff>187325</xdr:colOff>
      <xdr:row>56</xdr:row>
      <xdr:rowOff>0</xdr:rowOff>
    </xdr:from>
    <xdr:to>
      <xdr:col>2</xdr:col>
      <xdr:colOff>1965325</xdr:colOff>
      <xdr:row>57</xdr:row>
      <xdr:rowOff>0</xdr:rowOff>
    </xdr:to>
    <xdr:sp macro="" textlink="">
      <xdr:nvSpPr>
        <xdr:cNvPr id="20" name="Text Box P2bC2">
          <a:extLst>
            <a:ext uri="{FF2B5EF4-FFF2-40B4-BE49-F238E27FC236}">
              <a16:creationId xmlns:a16="http://schemas.microsoft.com/office/drawing/2014/main" id="{00000000-0008-0000-0200-000014000000}"/>
            </a:ext>
          </a:extLst>
        </xdr:cNvPr>
        <xdr:cNvSpPr txBox="1"/>
      </xdr:nvSpPr>
      <xdr:spPr>
        <a:xfrm>
          <a:off x="949325" y="113347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Industrial product use</a:t>
          </a:r>
        </a:p>
      </xdr:txBody>
    </xdr:sp>
    <xdr:clientData/>
  </xdr:twoCellAnchor>
  <xdr:twoCellAnchor>
    <xdr:from>
      <xdr:col>2</xdr:col>
      <xdr:colOff>187325</xdr:colOff>
      <xdr:row>55</xdr:row>
      <xdr:rowOff>0</xdr:rowOff>
    </xdr:from>
    <xdr:to>
      <xdr:col>2</xdr:col>
      <xdr:colOff>1965325</xdr:colOff>
      <xdr:row>56</xdr:row>
      <xdr:rowOff>0</xdr:rowOff>
    </xdr:to>
    <xdr:sp macro="" textlink="">
      <xdr:nvSpPr>
        <xdr:cNvPr id="16" name="Text Box P2bC1">
          <a:extLst>
            <a:ext uri="{FF2B5EF4-FFF2-40B4-BE49-F238E27FC236}">
              <a16:creationId xmlns:a16="http://schemas.microsoft.com/office/drawing/2014/main" id="{00000000-0008-0000-0200-000010000000}"/>
            </a:ext>
          </a:extLst>
        </xdr:cNvPr>
        <xdr:cNvSpPr txBox="1"/>
      </xdr:nvSpPr>
      <xdr:spPr>
        <a:xfrm>
          <a:off x="949325" y="111442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Stationary</a:t>
          </a:r>
          <a:r>
            <a:rPr lang="en-US" sz="1100" baseline="0">
              <a:latin typeface="Aptos Narrow" panose="020B0004020202020204" pitchFamily="34" charset="0"/>
            </a:rPr>
            <a:t> fuel combustion</a:t>
          </a:r>
          <a:endParaRPr lang="en-US" sz="1100">
            <a:latin typeface="Aptos Narrow" panose="020B0004020202020204" pitchFamily="34" charset="0"/>
          </a:endParaRPr>
        </a:p>
      </xdr:txBody>
    </xdr:sp>
    <xdr:clientData/>
  </xdr:twoCellAnchor>
  <mc:AlternateContent xmlns:mc="http://schemas.openxmlformats.org/markup-compatibility/2006">
    <mc:Choice xmlns:a14="http://schemas.microsoft.com/office/drawing/2010/main" Requires="a14">
      <xdr:twoCellAnchor>
        <xdr:from>
          <xdr:col>2</xdr:col>
          <xdr:colOff>0</xdr:colOff>
          <xdr:row>58</xdr:row>
          <xdr:rowOff>0</xdr:rowOff>
        </xdr:from>
        <xdr:to>
          <xdr:col>2</xdr:col>
          <xdr:colOff>219075</xdr:colOff>
          <xdr:row>59</xdr:row>
          <xdr:rowOff>0</xdr:rowOff>
        </xdr:to>
        <xdr:sp macro="" textlink="">
          <xdr:nvSpPr>
            <xdr:cNvPr id="3146" name="Check Box P2bC4" hidden="1">
              <a:extLst>
                <a:ext uri="{63B3BB69-23CF-44E3-9099-C40C66FF867C}">
                  <a14:compatExt spid="_x0000_s3146"/>
                </a:ext>
                <a:ext uri="{FF2B5EF4-FFF2-40B4-BE49-F238E27FC236}">
                  <a16:creationId xmlns:a16="http://schemas.microsoft.com/office/drawing/2014/main" id="{00000000-0008-0000-0200-00004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57</xdr:row>
          <xdr:rowOff>0</xdr:rowOff>
        </xdr:from>
        <xdr:to>
          <xdr:col>2</xdr:col>
          <xdr:colOff>219075</xdr:colOff>
          <xdr:row>58</xdr:row>
          <xdr:rowOff>0</xdr:rowOff>
        </xdr:to>
        <xdr:sp macro="" textlink="">
          <xdr:nvSpPr>
            <xdr:cNvPr id="3126" name="Check Box P2bC3" hidden="1">
              <a:extLst>
                <a:ext uri="{63B3BB69-23CF-44E3-9099-C40C66FF867C}">
                  <a14:compatExt spid="_x0000_s3126"/>
                </a:ext>
                <a:ext uri="{FF2B5EF4-FFF2-40B4-BE49-F238E27FC236}">
                  <a16:creationId xmlns:a16="http://schemas.microsoft.com/office/drawing/2014/main" id="{00000000-0008-0000-0200-00003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56</xdr:row>
          <xdr:rowOff>0</xdr:rowOff>
        </xdr:from>
        <xdr:to>
          <xdr:col>2</xdr:col>
          <xdr:colOff>219075</xdr:colOff>
          <xdr:row>57</xdr:row>
          <xdr:rowOff>0</xdr:rowOff>
        </xdr:to>
        <xdr:sp macro="" textlink="">
          <xdr:nvSpPr>
            <xdr:cNvPr id="3122" name="Check Box P2bC2" hidden="1">
              <a:extLst>
                <a:ext uri="{63B3BB69-23CF-44E3-9099-C40C66FF867C}">
                  <a14:compatExt spid="_x0000_s3122"/>
                </a:ext>
                <a:ext uri="{FF2B5EF4-FFF2-40B4-BE49-F238E27FC236}">
                  <a16:creationId xmlns:a16="http://schemas.microsoft.com/office/drawing/2014/main" id="{00000000-0008-0000-0200-00003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55</xdr:row>
          <xdr:rowOff>0</xdr:rowOff>
        </xdr:from>
        <xdr:to>
          <xdr:col>2</xdr:col>
          <xdr:colOff>219075</xdr:colOff>
          <xdr:row>56</xdr:row>
          <xdr:rowOff>0</xdr:rowOff>
        </xdr:to>
        <xdr:sp macro="" textlink="">
          <xdr:nvSpPr>
            <xdr:cNvPr id="3084" name="Check Box P2bC1"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187325</xdr:colOff>
      <xdr:row>41</xdr:row>
      <xdr:rowOff>0</xdr:rowOff>
    </xdr:from>
    <xdr:to>
      <xdr:col>2</xdr:col>
      <xdr:colOff>1965325</xdr:colOff>
      <xdr:row>42</xdr:row>
      <xdr:rowOff>0</xdr:rowOff>
    </xdr:to>
    <xdr:sp macro="" textlink="">
      <xdr:nvSpPr>
        <xdr:cNvPr id="35" name="Text Box P2aV6">
          <a:extLst>
            <a:ext uri="{FF2B5EF4-FFF2-40B4-BE49-F238E27FC236}">
              <a16:creationId xmlns:a16="http://schemas.microsoft.com/office/drawing/2014/main" id="{00000000-0008-0000-0200-000023000000}"/>
            </a:ext>
          </a:extLst>
        </xdr:cNvPr>
        <xdr:cNvSpPr txBox="1"/>
      </xdr:nvSpPr>
      <xdr:spPr>
        <a:xfrm>
          <a:off x="949325" y="842010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Propane</a:t>
          </a:r>
        </a:p>
      </xdr:txBody>
    </xdr:sp>
    <xdr:clientData/>
  </xdr:twoCellAnchor>
  <xdr:twoCellAnchor>
    <xdr:from>
      <xdr:col>2</xdr:col>
      <xdr:colOff>187325</xdr:colOff>
      <xdr:row>40</xdr:row>
      <xdr:rowOff>0</xdr:rowOff>
    </xdr:from>
    <xdr:to>
      <xdr:col>2</xdr:col>
      <xdr:colOff>1965325</xdr:colOff>
      <xdr:row>41</xdr:row>
      <xdr:rowOff>0</xdr:rowOff>
    </xdr:to>
    <xdr:sp macro="" textlink="">
      <xdr:nvSpPr>
        <xdr:cNvPr id="34" name="Text Box P2aV5">
          <a:extLst>
            <a:ext uri="{FF2B5EF4-FFF2-40B4-BE49-F238E27FC236}">
              <a16:creationId xmlns:a16="http://schemas.microsoft.com/office/drawing/2014/main" id="{00000000-0008-0000-0200-000022000000}"/>
            </a:ext>
          </a:extLst>
        </xdr:cNvPr>
        <xdr:cNvSpPr txBox="1"/>
      </xdr:nvSpPr>
      <xdr:spPr>
        <a:xfrm>
          <a:off x="949325" y="822960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Gasoline</a:t>
          </a:r>
        </a:p>
      </xdr:txBody>
    </xdr:sp>
    <xdr:clientData/>
  </xdr:twoCellAnchor>
  <xdr:twoCellAnchor>
    <xdr:from>
      <xdr:col>2</xdr:col>
      <xdr:colOff>187325</xdr:colOff>
      <xdr:row>39</xdr:row>
      <xdr:rowOff>0</xdr:rowOff>
    </xdr:from>
    <xdr:to>
      <xdr:col>2</xdr:col>
      <xdr:colOff>1965325</xdr:colOff>
      <xdr:row>40</xdr:row>
      <xdr:rowOff>0</xdr:rowOff>
    </xdr:to>
    <xdr:sp macro="" textlink="">
      <xdr:nvSpPr>
        <xdr:cNvPr id="33" name="Text Box P2aV4">
          <a:extLst>
            <a:ext uri="{FF2B5EF4-FFF2-40B4-BE49-F238E27FC236}">
              <a16:creationId xmlns:a16="http://schemas.microsoft.com/office/drawing/2014/main" id="{00000000-0008-0000-0200-000021000000}"/>
            </a:ext>
          </a:extLst>
        </xdr:cNvPr>
        <xdr:cNvSpPr txBox="1"/>
      </xdr:nvSpPr>
      <xdr:spPr>
        <a:xfrm>
          <a:off x="949325" y="803910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Ethane</a:t>
          </a:r>
        </a:p>
      </xdr:txBody>
    </xdr:sp>
    <xdr:clientData/>
  </xdr:twoCellAnchor>
  <xdr:twoCellAnchor>
    <xdr:from>
      <xdr:col>2</xdr:col>
      <xdr:colOff>187325</xdr:colOff>
      <xdr:row>38</xdr:row>
      <xdr:rowOff>0</xdr:rowOff>
    </xdr:from>
    <xdr:to>
      <xdr:col>2</xdr:col>
      <xdr:colOff>1965325</xdr:colOff>
      <xdr:row>39</xdr:row>
      <xdr:rowOff>0</xdr:rowOff>
    </xdr:to>
    <xdr:sp macro="" textlink="">
      <xdr:nvSpPr>
        <xdr:cNvPr id="32" name="Text Box P2aV3">
          <a:extLst>
            <a:ext uri="{FF2B5EF4-FFF2-40B4-BE49-F238E27FC236}">
              <a16:creationId xmlns:a16="http://schemas.microsoft.com/office/drawing/2014/main" id="{00000000-0008-0000-0200-000020000000}"/>
            </a:ext>
          </a:extLst>
        </xdr:cNvPr>
        <xdr:cNvSpPr txBox="1"/>
      </xdr:nvSpPr>
      <xdr:spPr>
        <a:xfrm>
          <a:off x="949325" y="784860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Diesel</a:t>
          </a:r>
        </a:p>
      </xdr:txBody>
    </xdr:sp>
    <xdr:clientData/>
  </xdr:twoCellAnchor>
  <xdr:twoCellAnchor>
    <xdr:from>
      <xdr:col>2</xdr:col>
      <xdr:colOff>187325</xdr:colOff>
      <xdr:row>37</xdr:row>
      <xdr:rowOff>0</xdr:rowOff>
    </xdr:from>
    <xdr:to>
      <xdr:col>2</xdr:col>
      <xdr:colOff>1965325</xdr:colOff>
      <xdr:row>38</xdr:row>
      <xdr:rowOff>0</xdr:rowOff>
    </xdr:to>
    <xdr:sp macro="" textlink="">
      <xdr:nvSpPr>
        <xdr:cNvPr id="31" name="Text Box P2aV2">
          <a:extLst>
            <a:ext uri="{FF2B5EF4-FFF2-40B4-BE49-F238E27FC236}">
              <a16:creationId xmlns:a16="http://schemas.microsoft.com/office/drawing/2014/main" id="{00000000-0008-0000-0200-00001F000000}"/>
            </a:ext>
          </a:extLst>
        </xdr:cNvPr>
        <xdr:cNvSpPr txBox="1"/>
      </xdr:nvSpPr>
      <xdr:spPr>
        <a:xfrm>
          <a:off x="949325" y="765810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Butane</a:t>
          </a:r>
        </a:p>
      </xdr:txBody>
    </xdr:sp>
    <xdr:clientData/>
  </xdr:twoCellAnchor>
  <mc:AlternateContent xmlns:mc="http://schemas.openxmlformats.org/markup-compatibility/2006">
    <mc:Choice xmlns:a14="http://schemas.microsoft.com/office/drawing/2010/main" Requires="a14">
      <xdr:twoCellAnchor>
        <xdr:from>
          <xdr:col>2</xdr:col>
          <xdr:colOff>0</xdr:colOff>
          <xdr:row>41</xdr:row>
          <xdr:rowOff>0</xdr:rowOff>
        </xdr:from>
        <xdr:to>
          <xdr:col>2</xdr:col>
          <xdr:colOff>219075</xdr:colOff>
          <xdr:row>42</xdr:row>
          <xdr:rowOff>0</xdr:rowOff>
        </xdr:to>
        <xdr:sp macro="" textlink="">
          <xdr:nvSpPr>
            <xdr:cNvPr id="3117" name="Check Box P2aV6" hidden="1">
              <a:extLst>
                <a:ext uri="{63B3BB69-23CF-44E3-9099-C40C66FF867C}">
                  <a14:compatExt spid="_x0000_s3117"/>
                </a:ext>
                <a:ext uri="{FF2B5EF4-FFF2-40B4-BE49-F238E27FC236}">
                  <a16:creationId xmlns:a16="http://schemas.microsoft.com/office/drawing/2014/main" id="{00000000-0008-0000-0200-00002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40</xdr:row>
          <xdr:rowOff>0</xdr:rowOff>
        </xdr:from>
        <xdr:to>
          <xdr:col>2</xdr:col>
          <xdr:colOff>219075</xdr:colOff>
          <xdr:row>41</xdr:row>
          <xdr:rowOff>0</xdr:rowOff>
        </xdr:to>
        <xdr:sp macro="" textlink="">
          <xdr:nvSpPr>
            <xdr:cNvPr id="3141" name="Check Box P2aV5" hidden="1">
              <a:extLst>
                <a:ext uri="{63B3BB69-23CF-44E3-9099-C40C66FF867C}">
                  <a14:compatExt spid="_x0000_s3141"/>
                </a:ext>
                <a:ext uri="{FF2B5EF4-FFF2-40B4-BE49-F238E27FC236}">
                  <a16:creationId xmlns:a16="http://schemas.microsoft.com/office/drawing/2014/main" id="{00000000-0008-0000-0200-00004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39</xdr:row>
          <xdr:rowOff>0</xdr:rowOff>
        </xdr:from>
        <xdr:to>
          <xdr:col>2</xdr:col>
          <xdr:colOff>219075</xdr:colOff>
          <xdr:row>40</xdr:row>
          <xdr:rowOff>0</xdr:rowOff>
        </xdr:to>
        <xdr:sp macro="" textlink="">
          <xdr:nvSpPr>
            <xdr:cNvPr id="3133" name="Check Box P2aV4" hidden="1">
              <a:extLst>
                <a:ext uri="{63B3BB69-23CF-44E3-9099-C40C66FF867C}">
                  <a14:compatExt spid="_x0000_s3133"/>
                </a:ext>
                <a:ext uri="{FF2B5EF4-FFF2-40B4-BE49-F238E27FC236}">
                  <a16:creationId xmlns:a16="http://schemas.microsoft.com/office/drawing/2014/main" id="{00000000-0008-0000-0200-00003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38</xdr:row>
          <xdr:rowOff>0</xdr:rowOff>
        </xdr:from>
        <xdr:to>
          <xdr:col>2</xdr:col>
          <xdr:colOff>219075</xdr:colOff>
          <xdr:row>39</xdr:row>
          <xdr:rowOff>0</xdr:rowOff>
        </xdr:to>
        <xdr:sp macro="" textlink="">
          <xdr:nvSpPr>
            <xdr:cNvPr id="3149" name="Check Box P2aV3" hidden="1">
              <a:extLst>
                <a:ext uri="{63B3BB69-23CF-44E3-9099-C40C66FF867C}">
                  <a14:compatExt spid="_x0000_s3149"/>
                </a:ext>
                <a:ext uri="{FF2B5EF4-FFF2-40B4-BE49-F238E27FC236}">
                  <a16:creationId xmlns:a16="http://schemas.microsoft.com/office/drawing/2014/main" id="{00000000-0008-0000-0200-00004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37</xdr:row>
          <xdr:rowOff>0</xdr:rowOff>
        </xdr:from>
        <xdr:to>
          <xdr:col>2</xdr:col>
          <xdr:colOff>219075</xdr:colOff>
          <xdr:row>38</xdr:row>
          <xdr:rowOff>0</xdr:rowOff>
        </xdr:to>
        <xdr:sp macro="" textlink="">
          <xdr:nvSpPr>
            <xdr:cNvPr id="3101" name="Check Box P2aV2" hidden="1">
              <a:extLst>
                <a:ext uri="{63B3BB69-23CF-44E3-9099-C40C66FF867C}">
                  <a14:compatExt spid="_x0000_s3101"/>
                </a:ext>
                <a:ext uri="{FF2B5EF4-FFF2-40B4-BE49-F238E27FC236}">
                  <a16:creationId xmlns:a16="http://schemas.microsoft.com/office/drawing/2014/main" id="{00000000-0008-0000-02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187325</xdr:colOff>
      <xdr:row>34</xdr:row>
      <xdr:rowOff>0</xdr:rowOff>
    </xdr:from>
    <xdr:to>
      <xdr:col>2</xdr:col>
      <xdr:colOff>1965325</xdr:colOff>
      <xdr:row>35</xdr:row>
      <xdr:rowOff>0</xdr:rowOff>
    </xdr:to>
    <xdr:sp macro="" textlink="">
      <xdr:nvSpPr>
        <xdr:cNvPr id="27" name="Text Box P2aC4">
          <a:extLst>
            <a:ext uri="{FF2B5EF4-FFF2-40B4-BE49-F238E27FC236}">
              <a16:creationId xmlns:a16="http://schemas.microsoft.com/office/drawing/2014/main" id="{00000000-0008-0000-0200-00001B000000}"/>
            </a:ext>
          </a:extLst>
        </xdr:cNvPr>
        <xdr:cNvSpPr txBox="1"/>
      </xdr:nvSpPr>
      <xdr:spPr>
        <a:xfrm>
          <a:off x="949325" y="708660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On-site transportation</a:t>
          </a:r>
        </a:p>
      </xdr:txBody>
    </xdr:sp>
    <xdr:clientData/>
  </xdr:twoCellAnchor>
  <xdr:twoCellAnchor>
    <xdr:from>
      <xdr:col>2</xdr:col>
      <xdr:colOff>187325</xdr:colOff>
      <xdr:row>33</xdr:row>
      <xdr:rowOff>0</xdr:rowOff>
    </xdr:from>
    <xdr:to>
      <xdr:col>2</xdr:col>
      <xdr:colOff>1965325</xdr:colOff>
      <xdr:row>34</xdr:row>
      <xdr:rowOff>0</xdr:rowOff>
    </xdr:to>
    <xdr:sp macro="" textlink="">
      <xdr:nvSpPr>
        <xdr:cNvPr id="23" name="Text Box P2aC3">
          <a:extLst>
            <a:ext uri="{FF2B5EF4-FFF2-40B4-BE49-F238E27FC236}">
              <a16:creationId xmlns:a16="http://schemas.microsoft.com/office/drawing/2014/main" id="{00000000-0008-0000-0200-000017000000}"/>
            </a:ext>
          </a:extLst>
        </xdr:cNvPr>
        <xdr:cNvSpPr txBox="1"/>
      </xdr:nvSpPr>
      <xdr:spPr>
        <a:xfrm>
          <a:off x="949325" y="689610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Flaring</a:t>
          </a:r>
        </a:p>
      </xdr:txBody>
    </xdr:sp>
    <xdr:clientData/>
  </xdr:twoCellAnchor>
  <xdr:twoCellAnchor>
    <xdr:from>
      <xdr:col>2</xdr:col>
      <xdr:colOff>187325</xdr:colOff>
      <xdr:row>32</xdr:row>
      <xdr:rowOff>0</xdr:rowOff>
    </xdr:from>
    <xdr:to>
      <xdr:col>2</xdr:col>
      <xdr:colOff>1965325</xdr:colOff>
      <xdr:row>33</xdr:row>
      <xdr:rowOff>0</xdr:rowOff>
    </xdr:to>
    <xdr:sp macro="" textlink="">
      <xdr:nvSpPr>
        <xdr:cNvPr id="19" name="Text Box P2aC2">
          <a:extLst>
            <a:ext uri="{FF2B5EF4-FFF2-40B4-BE49-F238E27FC236}">
              <a16:creationId xmlns:a16="http://schemas.microsoft.com/office/drawing/2014/main" id="{00000000-0008-0000-0200-000013000000}"/>
            </a:ext>
          </a:extLst>
        </xdr:cNvPr>
        <xdr:cNvSpPr txBox="1"/>
      </xdr:nvSpPr>
      <xdr:spPr>
        <a:xfrm>
          <a:off x="949325" y="670560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Industrial product use</a:t>
          </a:r>
        </a:p>
      </xdr:txBody>
    </xdr:sp>
    <xdr:clientData/>
  </xdr:twoCellAnchor>
  <xdr:twoCellAnchor>
    <xdr:from>
      <xdr:col>2</xdr:col>
      <xdr:colOff>187325</xdr:colOff>
      <xdr:row>31</xdr:row>
      <xdr:rowOff>0</xdr:rowOff>
    </xdr:from>
    <xdr:to>
      <xdr:col>2</xdr:col>
      <xdr:colOff>1965325</xdr:colOff>
      <xdr:row>32</xdr:row>
      <xdr:rowOff>0</xdr:rowOff>
    </xdr:to>
    <xdr:sp macro="" textlink="">
      <xdr:nvSpPr>
        <xdr:cNvPr id="15" name="Text Box P2aC1">
          <a:extLst>
            <a:ext uri="{FF2B5EF4-FFF2-40B4-BE49-F238E27FC236}">
              <a16:creationId xmlns:a16="http://schemas.microsoft.com/office/drawing/2014/main" id="{00000000-0008-0000-0200-00000F000000}"/>
            </a:ext>
          </a:extLst>
        </xdr:cNvPr>
        <xdr:cNvSpPr txBox="1"/>
      </xdr:nvSpPr>
      <xdr:spPr>
        <a:xfrm>
          <a:off x="949325" y="651510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Stationary</a:t>
          </a:r>
          <a:r>
            <a:rPr lang="en-US" sz="1100" baseline="0">
              <a:latin typeface="Aptos Narrow" panose="020B0004020202020204" pitchFamily="34" charset="0"/>
            </a:rPr>
            <a:t> fuel combustion</a:t>
          </a:r>
          <a:endParaRPr lang="en-US" sz="1100">
            <a:latin typeface="Aptos Narrow" panose="020B0004020202020204" pitchFamily="34" charset="0"/>
          </a:endParaRPr>
        </a:p>
      </xdr:txBody>
    </xdr:sp>
    <xdr:clientData/>
  </xdr:twoCellAnchor>
  <mc:AlternateContent xmlns:mc="http://schemas.openxmlformats.org/markup-compatibility/2006">
    <mc:Choice xmlns:a14="http://schemas.microsoft.com/office/drawing/2010/main" Requires="a14">
      <xdr:twoCellAnchor>
        <xdr:from>
          <xdr:col>2</xdr:col>
          <xdr:colOff>0</xdr:colOff>
          <xdr:row>34</xdr:row>
          <xdr:rowOff>0</xdr:rowOff>
        </xdr:from>
        <xdr:to>
          <xdr:col>2</xdr:col>
          <xdr:colOff>219075</xdr:colOff>
          <xdr:row>35</xdr:row>
          <xdr:rowOff>0</xdr:rowOff>
        </xdr:to>
        <xdr:sp macro="" textlink="">
          <xdr:nvSpPr>
            <xdr:cNvPr id="3145" name="Check Box P2aC4" hidden="1">
              <a:extLst>
                <a:ext uri="{63B3BB69-23CF-44E3-9099-C40C66FF867C}">
                  <a14:compatExt spid="_x0000_s3145"/>
                </a:ext>
                <a:ext uri="{FF2B5EF4-FFF2-40B4-BE49-F238E27FC236}">
                  <a16:creationId xmlns:a16="http://schemas.microsoft.com/office/drawing/2014/main" id="{00000000-0008-0000-0200-00004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33</xdr:row>
          <xdr:rowOff>0</xdr:rowOff>
        </xdr:from>
        <xdr:to>
          <xdr:col>2</xdr:col>
          <xdr:colOff>219075</xdr:colOff>
          <xdr:row>34</xdr:row>
          <xdr:rowOff>0</xdr:rowOff>
        </xdr:to>
        <xdr:sp macro="" textlink="">
          <xdr:nvSpPr>
            <xdr:cNvPr id="3125" name="Check Box P2aC3" hidden="1">
              <a:extLst>
                <a:ext uri="{63B3BB69-23CF-44E3-9099-C40C66FF867C}">
                  <a14:compatExt spid="_x0000_s3125"/>
                </a:ext>
                <a:ext uri="{FF2B5EF4-FFF2-40B4-BE49-F238E27FC236}">
                  <a16:creationId xmlns:a16="http://schemas.microsoft.com/office/drawing/2014/main" id="{00000000-0008-0000-0200-00003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32</xdr:row>
          <xdr:rowOff>0</xdr:rowOff>
        </xdr:from>
        <xdr:to>
          <xdr:col>2</xdr:col>
          <xdr:colOff>219075</xdr:colOff>
          <xdr:row>33</xdr:row>
          <xdr:rowOff>0</xdr:rowOff>
        </xdr:to>
        <xdr:sp macro="" textlink="">
          <xdr:nvSpPr>
            <xdr:cNvPr id="3121" name="Check Box P2aC2" hidden="1">
              <a:extLst>
                <a:ext uri="{63B3BB69-23CF-44E3-9099-C40C66FF867C}">
                  <a14:compatExt spid="_x0000_s3121"/>
                </a:ext>
                <a:ext uri="{FF2B5EF4-FFF2-40B4-BE49-F238E27FC236}">
                  <a16:creationId xmlns:a16="http://schemas.microsoft.com/office/drawing/2014/main" id="{00000000-0008-0000-0200-00003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31</xdr:row>
          <xdr:rowOff>0</xdr:rowOff>
        </xdr:from>
        <xdr:to>
          <xdr:col>2</xdr:col>
          <xdr:colOff>219075</xdr:colOff>
          <xdr:row>32</xdr:row>
          <xdr:rowOff>0</xdr:rowOff>
        </xdr:to>
        <xdr:sp macro="" textlink="">
          <xdr:nvSpPr>
            <xdr:cNvPr id="3083" name="Check Box P2aC1"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187325</xdr:colOff>
      <xdr:row>17</xdr:row>
      <xdr:rowOff>0</xdr:rowOff>
    </xdr:from>
    <xdr:to>
      <xdr:col>2</xdr:col>
      <xdr:colOff>1965325</xdr:colOff>
      <xdr:row>18</xdr:row>
      <xdr:rowOff>0</xdr:rowOff>
    </xdr:to>
    <xdr:sp macro="" textlink="">
      <xdr:nvSpPr>
        <xdr:cNvPr id="14" name="Text Box P1V6">
          <a:extLst>
            <a:ext uri="{FF2B5EF4-FFF2-40B4-BE49-F238E27FC236}">
              <a16:creationId xmlns:a16="http://schemas.microsoft.com/office/drawing/2014/main" id="{00000000-0008-0000-0200-00000E000000}"/>
            </a:ext>
          </a:extLst>
        </xdr:cNvPr>
        <xdr:cNvSpPr txBox="1"/>
      </xdr:nvSpPr>
      <xdr:spPr>
        <a:xfrm>
          <a:off x="949325" y="37909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Propane</a:t>
          </a:r>
        </a:p>
      </xdr:txBody>
    </xdr:sp>
    <xdr:clientData/>
  </xdr:twoCellAnchor>
  <xdr:twoCellAnchor>
    <xdr:from>
      <xdr:col>2</xdr:col>
      <xdr:colOff>187325</xdr:colOff>
      <xdr:row>16</xdr:row>
      <xdr:rowOff>0</xdr:rowOff>
    </xdr:from>
    <xdr:to>
      <xdr:col>2</xdr:col>
      <xdr:colOff>1965325</xdr:colOff>
      <xdr:row>17</xdr:row>
      <xdr:rowOff>0</xdr:rowOff>
    </xdr:to>
    <xdr:sp macro="" textlink="">
      <xdr:nvSpPr>
        <xdr:cNvPr id="13" name="Text Box P1V5">
          <a:extLst>
            <a:ext uri="{FF2B5EF4-FFF2-40B4-BE49-F238E27FC236}">
              <a16:creationId xmlns:a16="http://schemas.microsoft.com/office/drawing/2014/main" id="{00000000-0008-0000-0200-00000D000000}"/>
            </a:ext>
          </a:extLst>
        </xdr:cNvPr>
        <xdr:cNvSpPr txBox="1"/>
      </xdr:nvSpPr>
      <xdr:spPr>
        <a:xfrm>
          <a:off x="949325" y="36004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Gasoline</a:t>
          </a:r>
        </a:p>
      </xdr:txBody>
    </xdr:sp>
    <xdr:clientData/>
  </xdr:twoCellAnchor>
  <xdr:twoCellAnchor>
    <xdr:from>
      <xdr:col>2</xdr:col>
      <xdr:colOff>187325</xdr:colOff>
      <xdr:row>15</xdr:row>
      <xdr:rowOff>0</xdr:rowOff>
    </xdr:from>
    <xdr:to>
      <xdr:col>2</xdr:col>
      <xdr:colOff>1965325</xdr:colOff>
      <xdr:row>16</xdr:row>
      <xdr:rowOff>0</xdr:rowOff>
    </xdr:to>
    <xdr:sp macro="" textlink="">
      <xdr:nvSpPr>
        <xdr:cNvPr id="12" name="Text Box P1V4">
          <a:extLst>
            <a:ext uri="{FF2B5EF4-FFF2-40B4-BE49-F238E27FC236}">
              <a16:creationId xmlns:a16="http://schemas.microsoft.com/office/drawing/2014/main" id="{00000000-0008-0000-0200-00000C000000}"/>
            </a:ext>
          </a:extLst>
        </xdr:cNvPr>
        <xdr:cNvSpPr txBox="1"/>
      </xdr:nvSpPr>
      <xdr:spPr>
        <a:xfrm>
          <a:off x="949325" y="34099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Ethane</a:t>
          </a:r>
        </a:p>
      </xdr:txBody>
    </xdr:sp>
    <xdr:clientData/>
  </xdr:twoCellAnchor>
  <xdr:twoCellAnchor>
    <xdr:from>
      <xdr:col>2</xdr:col>
      <xdr:colOff>187325</xdr:colOff>
      <xdr:row>14</xdr:row>
      <xdr:rowOff>0</xdr:rowOff>
    </xdr:from>
    <xdr:to>
      <xdr:col>2</xdr:col>
      <xdr:colOff>1965325</xdr:colOff>
      <xdr:row>15</xdr:row>
      <xdr:rowOff>0</xdr:rowOff>
    </xdr:to>
    <xdr:sp macro="" textlink="">
      <xdr:nvSpPr>
        <xdr:cNvPr id="11" name="Text Box P1V3">
          <a:extLst>
            <a:ext uri="{FF2B5EF4-FFF2-40B4-BE49-F238E27FC236}">
              <a16:creationId xmlns:a16="http://schemas.microsoft.com/office/drawing/2014/main" id="{00000000-0008-0000-0200-00000B000000}"/>
            </a:ext>
          </a:extLst>
        </xdr:cNvPr>
        <xdr:cNvSpPr txBox="1"/>
      </xdr:nvSpPr>
      <xdr:spPr>
        <a:xfrm>
          <a:off x="949325" y="32194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Diesel</a:t>
          </a:r>
        </a:p>
      </xdr:txBody>
    </xdr:sp>
    <xdr:clientData/>
  </xdr:twoCellAnchor>
  <xdr:twoCellAnchor>
    <xdr:from>
      <xdr:col>2</xdr:col>
      <xdr:colOff>187325</xdr:colOff>
      <xdr:row>13</xdr:row>
      <xdr:rowOff>0</xdr:rowOff>
    </xdr:from>
    <xdr:to>
      <xdr:col>2</xdr:col>
      <xdr:colOff>1965325</xdr:colOff>
      <xdr:row>14</xdr:row>
      <xdr:rowOff>0</xdr:rowOff>
    </xdr:to>
    <xdr:sp macro="" textlink="">
      <xdr:nvSpPr>
        <xdr:cNvPr id="10" name="Text Box P1V2">
          <a:extLst>
            <a:ext uri="{FF2B5EF4-FFF2-40B4-BE49-F238E27FC236}">
              <a16:creationId xmlns:a16="http://schemas.microsoft.com/office/drawing/2014/main" id="{00000000-0008-0000-0200-00000A000000}"/>
            </a:ext>
          </a:extLst>
        </xdr:cNvPr>
        <xdr:cNvSpPr txBox="1"/>
      </xdr:nvSpPr>
      <xdr:spPr>
        <a:xfrm>
          <a:off x="949325" y="30289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Butane</a:t>
          </a:r>
        </a:p>
      </xdr:txBody>
    </xdr:sp>
    <xdr:clientData/>
  </xdr:twoCellAnchor>
  <mc:AlternateContent xmlns:mc="http://schemas.openxmlformats.org/markup-compatibility/2006">
    <mc:Choice xmlns:a14="http://schemas.microsoft.com/office/drawing/2010/main" Requires="a14">
      <xdr:twoCellAnchor>
        <xdr:from>
          <xdr:col>2</xdr:col>
          <xdr:colOff>0</xdr:colOff>
          <xdr:row>17</xdr:row>
          <xdr:rowOff>0</xdr:rowOff>
        </xdr:from>
        <xdr:to>
          <xdr:col>2</xdr:col>
          <xdr:colOff>219075</xdr:colOff>
          <xdr:row>18</xdr:row>
          <xdr:rowOff>0</xdr:rowOff>
        </xdr:to>
        <xdr:sp macro="" textlink="">
          <xdr:nvSpPr>
            <xdr:cNvPr id="3082" name="Check Box P1V6"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16</xdr:row>
          <xdr:rowOff>0</xdr:rowOff>
        </xdr:from>
        <xdr:to>
          <xdr:col>2</xdr:col>
          <xdr:colOff>219075</xdr:colOff>
          <xdr:row>17</xdr:row>
          <xdr:rowOff>0</xdr:rowOff>
        </xdr:to>
        <xdr:sp macro="" textlink="">
          <xdr:nvSpPr>
            <xdr:cNvPr id="3081" name="Check Box P1V5"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15</xdr:row>
          <xdr:rowOff>0</xdr:rowOff>
        </xdr:from>
        <xdr:to>
          <xdr:col>2</xdr:col>
          <xdr:colOff>219075</xdr:colOff>
          <xdr:row>16</xdr:row>
          <xdr:rowOff>0</xdr:rowOff>
        </xdr:to>
        <xdr:sp macro="" textlink="">
          <xdr:nvSpPr>
            <xdr:cNvPr id="3079" name="Check Box P1V4"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14</xdr:row>
          <xdr:rowOff>0</xdr:rowOff>
        </xdr:from>
        <xdr:to>
          <xdr:col>2</xdr:col>
          <xdr:colOff>219075</xdr:colOff>
          <xdr:row>15</xdr:row>
          <xdr:rowOff>0</xdr:rowOff>
        </xdr:to>
        <xdr:sp macro="" textlink="">
          <xdr:nvSpPr>
            <xdr:cNvPr id="3080" name="Check Box P1V3"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13</xdr:row>
          <xdr:rowOff>0</xdr:rowOff>
        </xdr:from>
        <xdr:to>
          <xdr:col>2</xdr:col>
          <xdr:colOff>219075</xdr:colOff>
          <xdr:row>14</xdr:row>
          <xdr:rowOff>0</xdr:rowOff>
        </xdr:to>
        <xdr:sp macro="" textlink="">
          <xdr:nvSpPr>
            <xdr:cNvPr id="3078" name="Check Box P1V2"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187325</xdr:colOff>
      <xdr:row>10</xdr:row>
      <xdr:rowOff>0</xdr:rowOff>
    </xdr:from>
    <xdr:to>
      <xdr:col>2</xdr:col>
      <xdr:colOff>1965325</xdr:colOff>
      <xdr:row>11</xdr:row>
      <xdr:rowOff>0</xdr:rowOff>
    </xdr:to>
    <xdr:sp macro="" textlink="">
      <xdr:nvSpPr>
        <xdr:cNvPr id="9" name="Text Box P1C4">
          <a:extLst>
            <a:ext uri="{FF2B5EF4-FFF2-40B4-BE49-F238E27FC236}">
              <a16:creationId xmlns:a16="http://schemas.microsoft.com/office/drawing/2014/main" id="{00000000-0008-0000-0200-000009000000}"/>
            </a:ext>
          </a:extLst>
        </xdr:cNvPr>
        <xdr:cNvSpPr txBox="1"/>
      </xdr:nvSpPr>
      <xdr:spPr>
        <a:xfrm>
          <a:off x="949325" y="24574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On-site transportation</a:t>
          </a:r>
        </a:p>
      </xdr:txBody>
    </xdr:sp>
    <xdr:clientData/>
  </xdr:twoCellAnchor>
  <xdr:twoCellAnchor>
    <xdr:from>
      <xdr:col>2</xdr:col>
      <xdr:colOff>187325</xdr:colOff>
      <xdr:row>9</xdr:row>
      <xdr:rowOff>0</xdr:rowOff>
    </xdr:from>
    <xdr:to>
      <xdr:col>2</xdr:col>
      <xdr:colOff>1965325</xdr:colOff>
      <xdr:row>10</xdr:row>
      <xdr:rowOff>0</xdr:rowOff>
    </xdr:to>
    <xdr:sp macro="" textlink="">
      <xdr:nvSpPr>
        <xdr:cNvPr id="8" name="Text Box P1C3">
          <a:extLst>
            <a:ext uri="{FF2B5EF4-FFF2-40B4-BE49-F238E27FC236}">
              <a16:creationId xmlns:a16="http://schemas.microsoft.com/office/drawing/2014/main" id="{00000000-0008-0000-0200-000008000000}"/>
            </a:ext>
          </a:extLst>
        </xdr:cNvPr>
        <xdr:cNvSpPr txBox="1"/>
      </xdr:nvSpPr>
      <xdr:spPr>
        <a:xfrm>
          <a:off x="949325" y="22669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Flaring</a:t>
          </a:r>
        </a:p>
      </xdr:txBody>
    </xdr:sp>
    <xdr:clientData/>
  </xdr:twoCellAnchor>
  <xdr:twoCellAnchor>
    <xdr:from>
      <xdr:col>2</xdr:col>
      <xdr:colOff>187325</xdr:colOff>
      <xdr:row>8</xdr:row>
      <xdr:rowOff>0</xdr:rowOff>
    </xdr:from>
    <xdr:to>
      <xdr:col>2</xdr:col>
      <xdr:colOff>1965325</xdr:colOff>
      <xdr:row>9</xdr:row>
      <xdr:rowOff>0</xdr:rowOff>
    </xdr:to>
    <xdr:sp macro="" textlink="">
      <xdr:nvSpPr>
        <xdr:cNvPr id="7" name="Text Box P1C2">
          <a:extLst>
            <a:ext uri="{FF2B5EF4-FFF2-40B4-BE49-F238E27FC236}">
              <a16:creationId xmlns:a16="http://schemas.microsoft.com/office/drawing/2014/main" id="{00000000-0008-0000-0200-000007000000}"/>
            </a:ext>
          </a:extLst>
        </xdr:cNvPr>
        <xdr:cNvSpPr txBox="1"/>
      </xdr:nvSpPr>
      <xdr:spPr>
        <a:xfrm>
          <a:off x="949325" y="20764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Industrial product use</a:t>
          </a:r>
        </a:p>
      </xdr:txBody>
    </xdr:sp>
    <xdr:clientData/>
  </xdr:twoCellAnchor>
  <xdr:twoCellAnchor>
    <xdr:from>
      <xdr:col>2</xdr:col>
      <xdr:colOff>187325</xdr:colOff>
      <xdr:row>7</xdr:row>
      <xdr:rowOff>0</xdr:rowOff>
    </xdr:from>
    <xdr:to>
      <xdr:col>2</xdr:col>
      <xdr:colOff>1965325</xdr:colOff>
      <xdr:row>8</xdr:row>
      <xdr:rowOff>0</xdr:rowOff>
    </xdr:to>
    <xdr:sp macro="" textlink="">
      <xdr:nvSpPr>
        <xdr:cNvPr id="3" name="Text Box P1C1">
          <a:extLst>
            <a:ext uri="{FF2B5EF4-FFF2-40B4-BE49-F238E27FC236}">
              <a16:creationId xmlns:a16="http://schemas.microsoft.com/office/drawing/2014/main" id="{00000000-0008-0000-0200-000003000000}"/>
            </a:ext>
          </a:extLst>
        </xdr:cNvPr>
        <xdr:cNvSpPr txBox="1"/>
      </xdr:nvSpPr>
      <xdr:spPr>
        <a:xfrm>
          <a:off x="949325" y="1885950"/>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Stationary</a:t>
          </a:r>
          <a:r>
            <a:rPr lang="en-US" sz="1100" baseline="0">
              <a:latin typeface="Aptos Narrow" panose="020B0004020202020204" pitchFamily="34" charset="0"/>
            </a:rPr>
            <a:t> fuel combustion</a:t>
          </a:r>
          <a:endParaRPr lang="en-US" sz="1100">
            <a:latin typeface="Aptos Narrow" panose="020B0004020202020204" pitchFamily="34" charset="0"/>
          </a:endParaRPr>
        </a:p>
      </xdr:txBody>
    </xdr:sp>
    <xdr:clientData/>
  </xdr:twoCellAnchor>
  <mc:AlternateContent xmlns:mc="http://schemas.openxmlformats.org/markup-compatibility/2006">
    <mc:Choice xmlns:a14="http://schemas.microsoft.com/office/drawing/2010/main" Requires="a14">
      <xdr:twoCellAnchor>
        <xdr:from>
          <xdr:col>2</xdr:col>
          <xdr:colOff>0</xdr:colOff>
          <xdr:row>10</xdr:row>
          <xdr:rowOff>0</xdr:rowOff>
        </xdr:from>
        <xdr:to>
          <xdr:col>2</xdr:col>
          <xdr:colOff>219075</xdr:colOff>
          <xdr:row>11</xdr:row>
          <xdr:rowOff>0</xdr:rowOff>
        </xdr:to>
        <xdr:sp macro="" textlink="">
          <xdr:nvSpPr>
            <xdr:cNvPr id="3077" name="Check Box P1C4"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9</xdr:row>
          <xdr:rowOff>0</xdr:rowOff>
        </xdr:from>
        <xdr:to>
          <xdr:col>2</xdr:col>
          <xdr:colOff>219075</xdr:colOff>
          <xdr:row>10</xdr:row>
          <xdr:rowOff>0</xdr:rowOff>
        </xdr:to>
        <xdr:sp macro="" textlink="">
          <xdr:nvSpPr>
            <xdr:cNvPr id="3076" name="Check Box P1C3"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8</xdr:row>
          <xdr:rowOff>0</xdr:rowOff>
        </xdr:from>
        <xdr:to>
          <xdr:col>2</xdr:col>
          <xdr:colOff>219075</xdr:colOff>
          <xdr:row>9</xdr:row>
          <xdr:rowOff>0</xdr:rowOff>
        </xdr:to>
        <xdr:sp macro="" textlink="">
          <xdr:nvSpPr>
            <xdr:cNvPr id="3075" name="Check Box P1C2"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7</xdr:row>
          <xdr:rowOff>0</xdr:rowOff>
        </xdr:from>
        <xdr:to>
          <xdr:col>2</xdr:col>
          <xdr:colOff>219075</xdr:colOff>
          <xdr:row>8</xdr:row>
          <xdr:rowOff>0</xdr:rowOff>
        </xdr:to>
        <xdr:sp macro="" textlink="">
          <xdr:nvSpPr>
            <xdr:cNvPr id="3074" name="Check Box P1C1"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0</xdr:row>
      <xdr:rowOff>23925</xdr:rowOff>
    </xdr:from>
    <xdr:to>
      <xdr:col>3</xdr:col>
      <xdr:colOff>306164</xdr:colOff>
      <xdr:row>2</xdr:row>
      <xdr:rowOff>295275</xdr:rowOff>
    </xdr:to>
    <xdr:pic>
      <xdr:nvPicPr>
        <xdr:cNvPr id="2" name="Picture 1">
          <a:extLst>
            <a:ext uri="{FF2B5EF4-FFF2-40B4-BE49-F238E27FC236}">
              <a16:creationId xmlns:a16="http://schemas.microsoft.com/office/drawing/2014/main" id="{00000000-0008-0000-02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3</xdr:col>
      <xdr:colOff>1306289</xdr:colOff>
      <xdr:row>2</xdr:row>
      <xdr:rowOff>295275</xdr:rowOff>
    </xdr:to>
    <xdr:pic>
      <xdr:nvPicPr>
        <xdr:cNvPr id="2" name="Picture 1">
          <a:extLst>
            <a:ext uri="{FF2B5EF4-FFF2-40B4-BE49-F238E27FC236}">
              <a16:creationId xmlns:a16="http://schemas.microsoft.com/office/drawing/2014/main" id="{00000000-0008-0000-03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3</xdr:col>
      <xdr:colOff>1306289</xdr:colOff>
      <xdr:row>2</xdr:row>
      <xdr:rowOff>295275</xdr:rowOff>
    </xdr:to>
    <xdr:pic>
      <xdr:nvPicPr>
        <xdr:cNvPr id="2" name="Picture 1">
          <a:extLst>
            <a:ext uri="{FF2B5EF4-FFF2-40B4-BE49-F238E27FC236}">
              <a16:creationId xmlns:a16="http://schemas.microsoft.com/office/drawing/2014/main" id="{00000000-0008-0000-04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5</xdr:col>
      <xdr:colOff>810989</xdr:colOff>
      <xdr:row>2</xdr:row>
      <xdr:rowOff>295275</xdr:rowOff>
    </xdr:to>
    <xdr:pic>
      <xdr:nvPicPr>
        <xdr:cNvPr id="2" name="Picture 1">
          <a:extLst>
            <a:ext uri="{FF2B5EF4-FFF2-40B4-BE49-F238E27FC236}">
              <a16:creationId xmlns:a16="http://schemas.microsoft.com/office/drawing/2014/main" id="{00000000-0008-0000-05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3</xdr:col>
      <xdr:colOff>1306289</xdr:colOff>
      <xdr:row>2</xdr:row>
      <xdr:rowOff>295275</xdr:rowOff>
    </xdr:to>
    <xdr:pic>
      <xdr:nvPicPr>
        <xdr:cNvPr id="2" name="Picture 1">
          <a:extLst>
            <a:ext uri="{FF2B5EF4-FFF2-40B4-BE49-F238E27FC236}">
              <a16:creationId xmlns:a16="http://schemas.microsoft.com/office/drawing/2014/main" id="{00000000-0008-0000-06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3</xdr:col>
      <xdr:colOff>1306289</xdr:colOff>
      <xdr:row>2</xdr:row>
      <xdr:rowOff>295275</xdr:rowOff>
    </xdr:to>
    <xdr:pic>
      <xdr:nvPicPr>
        <xdr:cNvPr id="2" name="Picture 1">
          <a:extLst>
            <a:ext uri="{FF2B5EF4-FFF2-40B4-BE49-F238E27FC236}">
              <a16:creationId xmlns:a16="http://schemas.microsoft.com/office/drawing/2014/main" id="{D5CFA615-382E-4028-8A69-D4B6BBF02E3B}"/>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0</xdr:colOff>
      <xdr:row>19</xdr:row>
      <xdr:rowOff>0</xdr:rowOff>
    </xdr:from>
    <xdr:to>
      <xdr:col>3</xdr:col>
      <xdr:colOff>1400175</xdr:colOff>
      <xdr:row>23</xdr:row>
      <xdr:rowOff>0</xdr:rowOff>
    </xdr:to>
    <xdr:sp macro="" textlink="">
      <xdr:nvSpPr>
        <xdr:cNvPr id="3" name="Rectangle 1">
          <a:extLst>
            <a:ext uri="{FF2B5EF4-FFF2-40B4-BE49-F238E27FC236}">
              <a16:creationId xmlns:a16="http://schemas.microsoft.com/office/drawing/2014/main" id="{00000000-0008-0000-0800-000003000000}"/>
            </a:ext>
          </a:extLst>
        </xdr:cNvPr>
        <xdr:cNvSpPr/>
      </xdr:nvSpPr>
      <xdr:spPr>
        <a:xfrm>
          <a:off x="762000" y="3990975"/>
          <a:ext cx="1552575" cy="762000"/>
        </a:xfrm>
        <a:prstGeom prst="rect">
          <a:avLst/>
        </a:prstGeom>
        <a:solidFill>
          <a:srgbClr val="E1E3E6"/>
        </a:solidFill>
        <a:ln>
          <a:solidFill>
            <a:sysClr val="windowText" lastClr="000000"/>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en-CA" sz="1100">
              <a:solidFill>
                <a:sysClr val="windowText" lastClr="000000"/>
              </a:solidFill>
              <a:latin typeface="Aptos Narrow" panose="020B0004020202020204" pitchFamily="34" charset="0"/>
            </a:rPr>
            <a:t>Convert to PDF</a:t>
          </a:r>
        </a:p>
      </xdr:txBody>
    </xdr:sp>
    <xdr:clientData/>
  </xdr:twoCellAnchor>
  <xdr:twoCellAnchor editAs="oneCell">
    <xdr:from>
      <xdr:col>1</xdr:col>
      <xdr:colOff>0</xdr:colOff>
      <xdr:row>0</xdr:row>
      <xdr:rowOff>23925</xdr:rowOff>
    </xdr:from>
    <xdr:to>
      <xdr:col>4</xdr:col>
      <xdr:colOff>306164</xdr:colOff>
      <xdr:row>2</xdr:row>
      <xdr:rowOff>295275</xdr:rowOff>
    </xdr:to>
    <xdr:pic>
      <xdr:nvPicPr>
        <xdr:cNvPr id="2" name="Picture 1">
          <a:extLst>
            <a:ext uri="{FF2B5EF4-FFF2-40B4-BE49-F238E27FC236}">
              <a16:creationId xmlns:a16="http://schemas.microsoft.com/office/drawing/2014/main" id="{00000000-0008-0000-08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mc:AlternateContent xmlns:mc="http://schemas.openxmlformats.org/markup-compatibility/2006">
    <mc:Choice xmlns:a14="http://schemas.microsoft.com/office/drawing/2010/main" Requires="a14">
      <xdr:twoCellAnchor>
        <xdr:from>
          <xdr:col>2</xdr:col>
          <xdr:colOff>0</xdr:colOff>
          <xdr:row>19</xdr:row>
          <xdr:rowOff>0</xdr:rowOff>
        </xdr:from>
        <xdr:to>
          <xdr:col>3</xdr:col>
          <xdr:colOff>1400175</xdr:colOff>
          <xdr:row>23</xdr:row>
          <xdr:rowOff>0</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800-0000012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Aptos Narrow"/>
                </a:rPr>
                <a:t>Convert to PDF</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3</xdr:col>
      <xdr:colOff>306164</xdr:colOff>
      <xdr:row>2</xdr:row>
      <xdr:rowOff>295275</xdr:rowOff>
    </xdr:to>
    <xdr:pic>
      <xdr:nvPicPr>
        <xdr:cNvPr id="2" name="Picture 1">
          <a:extLst>
            <a:ext uri="{FF2B5EF4-FFF2-40B4-BE49-F238E27FC236}">
              <a16:creationId xmlns:a16="http://schemas.microsoft.com/office/drawing/2014/main" id="{00000000-0008-0000-09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5.xml"/><Relationship Id="rId18" Type="http://schemas.openxmlformats.org/officeDocument/2006/relationships/ctrlProp" Target="../ctrlProps/ctrlProp20.xml"/><Relationship Id="rId26" Type="http://schemas.openxmlformats.org/officeDocument/2006/relationships/ctrlProp" Target="../ctrlProps/ctrlProp28.xml"/><Relationship Id="rId39" Type="http://schemas.openxmlformats.org/officeDocument/2006/relationships/ctrlProp" Target="../ctrlProps/ctrlProp41.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7" Type="http://schemas.openxmlformats.org/officeDocument/2006/relationships/ctrlProp" Target="../ctrlProps/ctrlProp9.xml"/><Relationship Id="rId2" Type="http://schemas.openxmlformats.org/officeDocument/2006/relationships/drawing" Target="../drawings/drawing3.xml"/><Relationship Id="rId16" Type="http://schemas.openxmlformats.org/officeDocument/2006/relationships/ctrlProp" Target="../ctrlProps/ctrlProp18.xml"/><Relationship Id="rId29" Type="http://schemas.openxmlformats.org/officeDocument/2006/relationships/ctrlProp" Target="../ctrlProps/ctrlProp31.xml"/><Relationship Id="rId1" Type="http://schemas.openxmlformats.org/officeDocument/2006/relationships/printerSettings" Target="../printerSettings/printerSettings3.bin"/><Relationship Id="rId6" Type="http://schemas.openxmlformats.org/officeDocument/2006/relationships/ctrlProp" Target="../ctrlProps/ctrlProp8.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 Type="http://schemas.openxmlformats.org/officeDocument/2006/relationships/ctrlProp" Target="../ctrlProps/ctrlProp7.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10" Type="http://schemas.openxmlformats.org/officeDocument/2006/relationships/ctrlProp" Target="../ctrlProps/ctrlProp12.xml"/><Relationship Id="rId19" Type="http://schemas.openxmlformats.org/officeDocument/2006/relationships/ctrlProp" Target="../ctrlProps/ctrlProp21.xml"/><Relationship Id="rId31" Type="http://schemas.openxmlformats.org/officeDocument/2006/relationships/ctrlProp" Target="../ctrlProps/ctrlProp33.xml"/><Relationship Id="rId44" Type="http://schemas.openxmlformats.org/officeDocument/2006/relationships/ctrlProp" Target="../ctrlProps/ctrlProp46.xml"/><Relationship Id="rId4" Type="http://schemas.openxmlformats.org/officeDocument/2006/relationships/ctrlProp" Target="../ctrlProps/ctrlProp6.xml"/><Relationship Id="rId9" Type="http://schemas.openxmlformats.org/officeDocument/2006/relationships/ctrlProp" Target="../ctrlProps/ctrlProp1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8" Type="http://schemas.openxmlformats.org/officeDocument/2006/relationships/ctrlProp" Target="../ctrlProps/ctrlProp10.xml"/><Relationship Id="rId3" Type="http://schemas.openxmlformats.org/officeDocument/2006/relationships/vmlDrawing" Target="../drawings/vmlDrawing2.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20" Type="http://schemas.openxmlformats.org/officeDocument/2006/relationships/ctrlProp" Target="../ctrlProps/ctrlProp22.xml"/><Relationship Id="rId41" Type="http://schemas.openxmlformats.org/officeDocument/2006/relationships/ctrlProp" Target="../ctrlProps/ctrlProp4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trlProp" Target="../ctrlProps/ctrlProp51.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8F4F2-DB9A-4E04-AB9A-03860C4B990A}">
  <sheetPr codeName="Sheet1">
    <tabColor rgb="FFFBDD40"/>
    <pageSetUpPr fitToPage="1"/>
  </sheetPr>
  <dimension ref="B1:F82"/>
  <sheetViews>
    <sheetView showGridLines="0" showRowColHeaders="0" tabSelected="1" zoomScaleNormal="100" workbookViewId="0"/>
  </sheetViews>
  <sheetFormatPr defaultColWidth="8.7109375" defaultRowHeight="15" customHeight="1" x14ac:dyDescent="0.25"/>
  <cols>
    <col min="1" max="2" width="5.7109375" customWidth="1"/>
    <col min="3" max="3" width="50.7109375" customWidth="1"/>
    <col min="4" max="4" width="5.7109375" customWidth="1"/>
    <col min="5" max="5" width="50.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6"/>
      <c r="C4" s="116" t="s">
        <v>0</v>
      </c>
      <c r="D4" s="116"/>
      <c r="E4" s="116"/>
      <c r="F4" s="7"/>
    </row>
    <row r="5" spans="2:6" ht="24.95" customHeight="1" x14ac:dyDescent="0.25">
      <c r="B5" s="8"/>
      <c r="C5" s="117"/>
      <c r="D5" s="117"/>
      <c r="E5" s="117"/>
      <c r="F5" s="9"/>
    </row>
    <row r="6" spans="2:6" ht="20.100000000000001" customHeight="1" x14ac:dyDescent="0.25">
      <c r="B6" s="10"/>
      <c r="C6" s="118" t="s">
        <v>1</v>
      </c>
      <c r="D6" s="118"/>
      <c r="E6" s="118"/>
      <c r="F6" s="11"/>
    </row>
    <row r="7" spans="2:6" ht="15" customHeight="1" x14ac:dyDescent="0.25">
      <c r="B7" s="1"/>
      <c r="C7" s="94"/>
      <c r="D7" s="94"/>
      <c r="E7" s="94"/>
      <c r="F7" s="2"/>
    </row>
    <row r="8" spans="2:6" ht="15" customHeight="1" x14ac:dyDescent="0.25">
      <c r="B8" s="12" t="s">
        <v>2</v>
      </c>
      <c r="C8" s="113" t="s">
        <v>3</v>
      </c>
      <c r="D8" s="113"/>
      <c r="E8" s="113"/>
      <c r="F8" s="2"/>
    </row>
    <row r="9" spans="2:6" ht="15" customHeight="1" x14ac:dyDescent="0.25">
      <c r="B9" s="1"/>
      <c r="C9" s="113"/>
      <c r="D9" s="113"/>
      <c r="E9" s="113"/>
      <c r="F9" s="2"/>
    </row>
    <row r="10" spans="2:6" ht="15" customHeight="1" x14ac:dyDescent="0.25">
      <c r="B10" s="12" t="s">
        <v>2</v>
      </c>
      <c r="C10" s="113" t="s">
        <v>2593</v>
      </c>
      <c r="D10" s="113"/>
      <c r="E10" s="113"/>
      <c r="F10" s="2"/>
    </row>
    <row r="11" spans="2:6" ht="15" customHeight="1" x14ac:dyDescent="0.25">
      <c r="B11" s="1"/>
      <c r="C11" s="113"/>
      <c r="D11" s="113"/>
      <c r="E11" s="113"/>
      <c r="F11" s="2"/>
    </row>
    <row r="12" spans="2:6" ht="15" customHeight="1" x14ac:dyDescent="0.25">
      <c r="B12" s="12" t="s">
        <v>2</v>
      </c>
      <c r="C12" s="113" t="s">
        <v>2607</v>
      </c>
      <c r="D12" s="113"/>
      <c r="E12" s="113"/>
      <c r="F12" s="2"/>
    </row>
    <row r="13" spans="2:6" ht="15" customHeight="1" x14ac:dyDescent="0.25">
      <c r="B13" s="1"/>
      <c r="C13" s="113"/>
      <c r="D13" s="113"/>
      <c r="E13" s="113"/>
      <c r="F13" s="2"/>
    </row>
    <row r="14" spans="2:6" ht="15" customHeight="1" x14ac:dyDescent="0.25">
      <c r="B14" s="12" t="s">
        <v>2</v>
      </c>
      <c r="C14" s="113" t="s">
        <v>4</v>
      </c>
      <c r="D14" s="113"/>
      <c r="E14" s="113"/>
      <c r="F14" s="2"/>
    </row>
    <row r="15" spans="2:6" ht="15" customHeight="1" x14ac:dyDescent="0.25">
      <c r="B15" s="1"/>
      <c r="C15" s="113"/>
      <c r="D15" s="113"/>
      <c r="E15" s="113"/>
      <c r="F15" s="2"/>
    </row>
    <row r="16" spans="2:6" ht="15" customHeight="1" x14ac:dyDescent="0.25">
      <c r="B16" s="1"/>
      <c r="C16" s="113"/>
      <c r="D16" s="113"/>
      <c r="E16" s="113"/>
      <c r="F16" s="2"/>
    </row>
    <row r="17" spans="2:6" ht="15" customHeight="1" x14ac:dyDescent="0.25">
      <c r="B17" s="12" t="s">
        <v>2</v>
      </c>
      <c r="C17" s="113" t="s">
        <v>5</v>
      </c>
      <c r="D17" s="113"/>
      <c r="E17" s="113"/>
      <c r="F17" s="2"/>
    </row>
    <row r="18" spans="2:6" ht="15" customHeight="1" x14ac:dyDescent="0.25">
      <c r="B18" s="1"/>
      <c r="C18" s="113"/>
      <c r="D18" s="113"/>
      <c r="E18" s="113"/>
      <c r="F18" s="2"/>
    </row>
    <row r="19" spans="2:6" ht="15" customHeight="1" x14ac:dyDescent="0.25">
      <c r="B19" s="1"/>
      <c r="C19" s="113"/>
      <c r="D19" s="113"/>
      <c r="E19" s="113"/>
      <c r="F19" s="2"/>
    </row>
    <row r="20" spans="2:6" ht="15" customHeight="1" x14ac:dyDescent="0.25">
      <c r="B20" s="12" t="s">
        <v>2</v>
      </c>
      <c r="C20" s="113" t="s">
        <v>2594</v>
      </c>
      <c r="D20" s="113"/>
      <c r="E20" s="113"/>
      <c r="F20" s="2"/>
    </row>
    <row r="21" spans="2:6" ht="15" customHeight="1" x14ac:dyDescent="0.25">
      <c r="B21" s="1"/>
      <c r="C21" s="113"/>
      <c r="D21" s="113"/>
      <c r="E21" s="113"/>
      <c r="F21" s="2"/>
    </row>
    <row r="22" spans="2:6" ht="15" customHeight="1" x14ac:dyDescent="0.25">
      <c r="B22" s="12" t="s">
        <v>2</v>
      </c>
      <c r="C22" s="114" t="s">
        <v>2595</v>
      </c>
      <c r="D22" s="113"/>
      <c r="E22" s="113"/>
      <c r="F22" s="2"/>
    </row>
    <row r="23" spans="2:6" ht="15" customHeight="1" x14ac:dyDescent="0.25">
      <c r="B23" s="1"/>
      <c r="C23" s="113"/>
      <c r="D23" s="113"/>
      <c r="E23" s="113"/>
      <c r="F23" s="2"/>
    </row>
    <row r="24" spans="2:6" ht="15" customHeight="1" x14ac:dyDescent="0.25">
      <c r="B24" s="1"/>
      <c r="C24" s="113"/>
      <c r="D24" s="113"/>
      <c r="E24" s="113"/>
      <c r="F24" s="2"/>
    </row>
    <row r="25" spans="2:6" ht="15" customHeight="1" x14ac:dyDescent="0.25">
      <c r="B25" s="12" t="s">
        <v>2</v>
      </c>
      <c r="C25" s="113" t="s">
        <v>6</v>
      </c>
      <c r="D25" s="113"/>
      <c r="E25" s="113"/>
      <c r="F25" s="2"/>
    </row>
    <row r="26" spans="2:6" ht="15" customHeight="1" x14ac:dyDescent="0.25">
      <c r="B26" s="1"/>
      <c r="C26" s="113"/>
      <c r="D26" s="113"/>
      <c r="E26" s="113"/>
      <c r="F26" s="2"/>
    </row>
    <row r="27" spans="2:6" ht="15" customHeight="1" x14ac:dyDescent="0.25">
      <c r="B27" s="12" t="s">
        <v>2</v>
      </c>
      <c r="C27" s="113" t="s">
        <v>2596</v>
      </c>
      <c r="D27" s="113"/>
      <c r="E27" s="113"/>
      <c r="F27" s="2"/>
    </row>
    <row r="28" spans="2:6" ht="15" customHeight="1" x14ac:dyDescent="0.25">
      <c r="B28" s="1"/>
      <c r="C28" s="113"/>
      <c r="D28" s="113"/>
      <c r="E28" s="113"/>
      <c r="F28" s="2"/>
    </row>
    <row r="29" spans="2:6" ht="15" customHeight="1" x14ac:dyDescent="0.25">
      <c r="B29" s="12" t="s">
        <v>2</v>
      </c>
      <c r="C29" s="114" t="s">
        <v>2599</v>
      </c>
      <c r="D29" s="113"/>
      <c r="E29" s="113"/>
      <c r="F29" s="2"/>
    </row>
    <row r="30" spans="2:6" ht="15" customHeight="1" x14ac:dyDescent="0.25">
      <c r="B30" s="1"/>
      <c r="C30" s="115"/>
      <c r="D30" s="115"/>
      <c r="E30" s="115"/>
      <c r="F30" s="2"/>
    </row>
    <row r="31" spans="2:6" ht="20.100000000000001" customHeight="1" x14ac:dyDescent="0.25">
      <c r="B31" s="10"/>
      <c r="C31" s="118" t="s">
        <v>7</v>
      </c>
      <c r="D31" s="118"/>
      <c r="E31" s="118"/>
      <c r="F31" s="11"/>
    </row>
    <row r="32" spans="2:6" ht="15" customHeight="1" x14ac:dyDescent="0.25">
      <c r="B32" s="1"/>
      <c r="C32" s="94"/>
      <c r="D32" s="94"/>
      <c r="E32" s="94"/>
      <c r="F32" s="2"/>
    </row>
    <row r="33" spans="2:6" ht="15" customHeight="1" x14ac:dyDescent="0.25">
      <c r="B33" s="12" t="s">
        <v>2</v>
      </c>
      <c r="C33" s="113" t="s">
        <v>8</v>
      </c>
      <c r="D33" s="113"/>
      <c r="E33" s="113"/>
      <c r="F33" s="2"/>
    </row>
    <row r="34" spans="2:6" ht="15" customHeight="1" x14ac:dyDescent="0.25">
      <c r="B34" s="1"/>
      <c r="C34" s="113"/>
      <c r="D34" s="113"/>
      <c r="E34" s="113"/>
      <c r="F34" s="2"/>
    </row>
    <row r="35" spans="2:6" ht="15" customHeight="1" x14ac:dyDescent="0.25">
      <c r="B35" s="12" t="s">
        <v>2</v>
      </c>
      <c r="C35" s="113" t="s">
        <v>9</v>
      </c>
      <c r="D35" s="113"/>
      <c r="E35" s="113"/>
      <c r="F35" s="2"/>
    </row>
    <row r="36" spans="2:6" ht="15" customHeight="1" x14ac:dyDescent="0.25">
      <c r="B36" s="1"/>
      <c r="C36" s="113"/>
      <c r="D36" s="113"/>
      <c r="E36" s="113"/>
      <c r="F36" s="2"/>
    </row>
    <row r="37" spans="2:6" ht="15" customHeight="1" x14ac:dyDescent="0.25">
      <c r="B37" s="12" t="s">
        <v>2</v>
      </c>
      <c r="C37" s="113" t="s">
        <v>2908</v>
      </c>
      <c r="D37" s="113"/>
      <c r="E37" s="113"/>
      <c r="F37" s="2"/>
    </row>
    <row r="38" spans="2:6" ht="15" customHeight="1" x14ac:dyDescent="0.25">
      <c r="B38" s="1"/>
      <c r="C38" s="113"/>
      <c r="D38" s="113"/>
      <c r="E38" s="113"/>
      <c r="F38" s="2"/>
    </row>
    <row r="39" spans="2:6" ht="15" customHeight="1" x14ac:dyDescent="0.25">
      <c r="B39" s="12" t="s">
        <v>2</v>
      </c>
      <c r="C39" s="113" t="s">
        <v>2909</v>
      </c>
      <c r="D39" s="113"/>
      <c r="E39" s="113"/>
      <c r="F39" s="2"/>
    </row>
    <row r="40" spans="2:6" ht="15" customHeight="1" x14ac:dyDescent="0.25">
      <c r="B40" s="1"/>
      <c r="C40" s="113"/>
      <c r="D40" s="113"/>
      <c r="E40" s="113"/>
      <c r="F40" s="2"/>
    </row>
    <row r="41" spans="2:6" ht="15" customHeight="1" x14ac:dyDescent="0.25">
      <c r="B41" s="1"/>
      <c r="C41" s="113"/>
      <c r="D41" s="113"/>
      <c r="E41" s="113"/>
      <c r="F41" s="2"/>
    </row>
    <row r="42" spans="2:6" ht="15" customHeight="1" x14ac:dyDescent="0.25">
      <c r="B42" s="1"/>
      <c r="C42" s="113"/>
      <c r="D42" s="113"/>
      <c r="E42" s="113"/>
      <c r="F42" s="2"/>
    </row>
    <row r="43" spans="2:6" ht="15" customHeight="1" x14ac:dyDescent="0.25">
      <c r="B43" s="12" t="s">
        <v>2</v>
      </c>
      <c r="C43" s="113" t="s">
        <v>10</v>
      </c>
      <c r="D43" s="113"/>
      <c r="E43" s="113"/>
      <c r="F43" s="2"/>
    </row>
    <row r="44" spans="2:6" ht="15" customHeight="1" x14ac:dyDescent="0.25">
      <c r="B44" s="1"/>
      <c r="C44" s="113"/>
      <c r="D44" s="113"/>
      <c r="E44" s="113"/>
      <c r="F44" s="2"/>
    </row>
    <row r="45" spans="2:6" ht="15" customHeight="1" x14ac:dyDescent="0.25">
      <c r="B45" s="1"/>
      <c r="C45" s="113"/>
      <c r="D45" s="113"/>
      <c r="E45" s="113"/>
      <c r="F45" s="2"/>
    </row>
    <row r="46" spans="2:6" ht="15" customHeight="1" x14ac:dyDescent="0.25">
      <c r="B46" s="12" t="s">
        <v>2</v>
      </c>
      <c r="C46" s="113" t="s">
        <v>2603</v>
      </c>
      <c r="D46" s="113"/>
      <c r="E46" s="113"/>
      <c r="F46" s="2"/>
    </row>
    <row r="47" spans="2:6" ht="15" customHeight="1" x14ac:dyDescent="0.25">
      <c r="B47" s="1"/>
      <c r="C47" s="113"/>
      <c r="D47" s="113"/>
      <c r="E47" s="113"/>
      <c r="F47" s="2"/>
    </row>
    <row r="48" spans="2:6" ht="15" customHeight="1" x14ac:dyDescent="0.25">
      <c r="B48" s="1"/>
      <c r="C48" s="115"/>
      <c r="D48" s="115"/>
      <c r="E48" s="115"/>
      <c r="F48" s="2"/>
    </row>
    <row r="49" spans="2:6" ht="20.100000000000001" customHeight="1" x14ac:dyDescent="0.25">
      <c r="B49" s="10"/>
      <c r="C49" s="118" t="s">
        <v>2597</v>
      </c>
      <c r="D49" s="118"/>
      <c r="E49" s="118"/>
      <c r="F49" s="11"/>
    </row>
    <row r="50" spans="2:6" ht="15" customHeight="1" x14ac:dyDescent="0.25">
      <c r="B50" s="1"/>
      <c r="C50" s="94"/>
      <c r="D50" s="94"/>
      <c r="E50" s="94"/>
      <c r="F50" s="2"/>
    </row>
    <row r="51" spans="2:6" ht="15" customHeight="1" x14ac:dyDescent="0.25">
      <c r="B51" s="12" t="s">
        <v>2</v>
      </c>
      <c r="C51" s="113" t="s">
        <v>2606</v>
      </c>
      <c r="D51" s="113"/>
      <c r="E51" s="113"/>
      <c r="F51" s="2"/>
    </row>
    <row r="52" spans="2:6" ht="15" customHeight="1" x14ac:dyDescent="0.25">
      <c r="B52" s="1"/>
      <c r="C52" s="113"/>
      <c r="D52" s="113"/>
      <c r="E52" s="113"/>
      <c r="F52" s="2"/>
    </row>
    <row r="53" spans="2:6" ht="15" customHeight="1" x14ac:dyDescent="0.25">
      <c r="B53" s="1"/>
      <c r="C53" s="113"/>
      <c r="D53" s="113"/>
      <c r="E53" s="113"/>
      <c r="F53" s="2"/>
    </row>
    <row r="54" spans="2:6" ht="15" customHeight="1" x14ac:dyDescent="0.25">
      <c r="B54" s="1"/>
      <c r="C54" s="113"/>
      <c r="D54" s="113"/>
      <c r="E54" s="113"/>
      <c r="F54" s="2"/>
    </row>
    <row r="55" spans="2:6" ht="15" customHeight="1" x14ac:dyDescent="0.25">
      <c r="B55" s="12" t="s">
        <v>2</v>
      </c>
      <c r="C55" s="113" t="s">
        <v>2604</v>
      </c>
      <c r="D55" s="113"/>
      <c r="E55" s="113"/>
      <c r="F55" s="2"/>
    </row>
    <row r="56" spans="2:6" ht="15" customHeight="1" x14ac:dyDescent="0.25">
      <c r="B56" s="1"/>
      <c r="C56" s="113"/>
      <c r="D56" s="113"/>
      <c r="E56" s="113"/>
      <c r="F56" s="2"/>
    </row>
    <row r="57" spans="2:6" ht="15" customHeight="1" x14ac:dyDescent="0.25">
      <c r="B57" s="1"/>
      <c r="C57" s="113"/>
      <c r="D57" s="113"/>
      <c r="E57" s="113"/>
      <c r="F57" s="2"/>
    </row>
    <row r="58" spans="2:6" ht="15" customHeight="1" x14ac:dyDescent="0.25">
      <c r="B58" s="12" t="s">
        <v>2</v>
      </c>
      <c r="C58" s="113" t="s">
        <v>2605</v>
      </c>
      <c r="D58" s="113"/>
      <c r="E58" s="113"/>
      <c r="F58" s="2"/>
    </row>
    <row r="59" spans="2:6" ht="15" customHeight="1" x14ac:dyDescent="0.25">
      <c r="B59" s="1"/>
      <c r="C59" s="113"/>
      <c r="D59" s="113"/>
      <c r="E59" s="113"/>
      <c r="F59" s="2"/>
    </row>
    <row r="60" spans="2:6" ht="15" customHeight="1" x14ac:dyDescent="0.25">
      <c r="B60" s="1"/>
      <c r="C60" s="113"/>
      <c r="D60" s="113"/>
      <c r="E60" s="113"/>
      <c r="F60" s="2"/>
    </row>
    <row r="61" spans="2:6" ht="15" customHeight="1" x14ac:dyDescent="0.25">
      <c r="B61" s="1"/>
      <c r="C61" s="115"/>
      <c r="D61" s="115"/>
      <c r="E61" s="115"/>
      <c r="F61" s="2"/>
    </row>
    <row r="62" spans="2:6" ht="20.100000000000001" customHeight="1" x14ac:dyDescent="0.25">
      <c r="B62" s="10"/>
      <c r="C62" s="118" t="s">
        <v>11</v>
      </c>
      <c r="D62" s="118"/>
      <c r="E62" s="118"/>
      <c r="F62" s="11"/>
    </row>
    <row r="63" spans="2:6" ht="15" customHeight="1" x14ac:dyDescent="0.25">
      <c r="B63" s="1"/>
      <c r="C63" s="94"/>
      <c r="D63" s="94"/>
      <c r="E63" s="94"/>
      <c r="F63" s="2"/>
    </row>
    <row r="64" spans="2:6" ht="15" customHeight="1" x14ac:dyDescent="0.25">
      <c r="B64" s="12" t="s">
        <v>2</v>
      </c>
      <c r="C64" s="113" t="s">
        <v>2598</v>
      </c>
      <c r="D64" s="113"/>
      <c r="E64" s="113"/>
      <c r="F64" s="2"/>
    </row>
    <row r="65" spans="2:6" ht="15" customHeight="1" x14ac:dyDescent="0.25">
      <c r="B65" s="1"/>
      <c r="C65" s="113"/>
      <c r="D65" s="113"/>
      <c r="E65" s="113"/>
      <c r="F65" s="2"/>
    </row>
    <row r="66" spans="2:6" ht="15" customHeight="1" x14ac:dyDescent="0.25">
      <c r="B66" s="1"/>
      <c r="C66" s="113"/>
      <c r="D66" s="113"/>
      <c r="E66" s="113"/>
      <c r="F66" s="2"/>
    </row>
    <row r="67" spans="2:6" ht="15" customHeight="1" x14ac:dyDescent="0.25">
      <c r="B67" s="1"/>
      <c r="C67" s="113"/>
      <c r="D67" s="113"/>
      <c r="E67" s="113"/>
      <c r="F67" s="2"/>
    </row>
    <row r="68" spans="2:6" ht="15" customHeight="1" x14ac:dyDescent="0.25">
      <c r="B68" s="1"/>
      <c r="C68" s="113"/>
      <c r="D68" s="113"/>
      <c r="E68" s="113"/>
      <c r="F68" s="2"/>
    </row>
    <row r="69" spans="2:6" ht="15" customHeight="1" x14ac:dyDescent="0.25">
      <c r="B69" s="1"/>
      <c r="C69" s="113"/>
      <c r="D69" s="113"/>
      <c r="E69" s="113"/>
      <c r="F69" s="2"/>
    </row>
    <row r="70" spans="2:6" ht="15" customHeight="1" x14ac:dyDescent="0.25">
      <c r="B70" s="1"/>
      <c r="C70" s="113"/>
      <c r="D70" s="113"/>
      <c r="E70" s="113"/>
      <c r="F70" s="2"/>
    </row>
    <row r="71" spans="2:6" ht="15" customHeight="1" x14ac:dyDescent="0.25">
      <c r="B71" s="1"/>
      <c r="C71" s="113"/>
      <c r="D71" s="113"/>
      <c r="E71" s="113"/>
      <c r="F71" s="2"/>
    </row>
    <row r="72" spans="2:6" ht="15" customHeight="1" x14ac:dyDescent="0.25">
      <c r="B72" s="1"/>
      <c r="C72" s="115"/>
      <c r="D72" s="115"/>
      <c r="E72" s="115"/>
      <c r="F72" s="2"/>
    </row>
    <row r="73" spans="2:6" ht="20.100000000000001" customHeight="1" x14ac:dyDescent="0.25">
      <c r="B73" s="10"/>
      <c r="C73" s="118" t="s">
        <v>12</v>
      </c>
      <c r="D73" s="118"/>
      <c r="E73" s="118"/>
      <c r="F73" s="11"/>
    </row>
    <row r="74" spans="2:6" ht="15" customHeight="1" x14ac:dyDescent="0.25">
      <c r="B74" s="1"/>
      <c r="C74" s="94"/>
      <c r="D74" s="94"/>
      <c r="E74" s="94"/>
      <c r="F74" s="2"/>
    </row>
    <row r="75" spans="2:6" ht="15" customHeight="1" x14ac:dyDescent="0.25">
      <c r="B75" s="12" t="s">
        <v>2</v>
      </c>
      <c r="C75" s="113" t="s">
        <v>13</v>
      </c>
      <c r="D75" s="113"/>
      <c r="E75" s="113"/>
      <c r="F75" s="2"/>
    </row>
    <row r="76" spans="2:6" ht="15" customHeight="1" x14ac:dyDescent="0.25">
      <c r="B76" s="1"/>
      <c r="C76" s="113"/>
      <c r="D76" s="113"/>
      <c r="E76" s="113"/>
      <c r="F76" s="2"/>
    </row>
    <row r="77" spans="2:6" ht="15" customHeight="1" x14ac:dyDescent="0.25">
      <c r="B77" s="1"/>
      <c r="C77" s="113"/>
      <c r="D77" s="113"/>
      <c r="E77" s="113"/>
      <c r="F77" s="2"/>
    </row>
    <row r="78" spans="2:6" ht="15" customHeight="1" x14ac:dyDescent="0.25">
      <c r="B78" s="1"/>
      <c r="C78" s="113"/>
      <c r="D78" s="113"/>
      <c r="E78" s="113"/>
      <c r="F78" s="2"/>
    </row>
    <row r="79" spans="2:6" ht="15" customHeight="1" x14ac:dyDescent="0.25">
      <c r="B79" s="12" t="s">
        <v>2</v>
      </c>
      <c r="C79" s="113" t="s">
        <v>14</v>
      </c>
      <c r="D79" s="113"/>
      <c r="E79" s="113"/>
      <c r="F79" s="2"/>
    </row>
    <row r="80" spans="2:6" ht="15" customHeight="1" x14ac:dyDescent="0.25">
      <c r="B80" s="1"/>
      <c r="C80" s="113"/>
      <c r="D80" s="113"/>
      <c r="E80" s="113"/>
      <c r="F80" s="2"/>
    </row>
    <row r="81" spans="2:6" ht="15" customHeight="1" x14ac:dyDescent="0.25">
      <c r="B81" s="1"/>
      <c r="C81" s="113"/>
      <c r="D81" s="113"/>
      <c r="E81" s="113"/>
      <c r="F81" s="2"/>
    </row>
    <row r="82" spans="2:6" ht="15" customHeight="1" x14ac:dyDescent="0.25">
      <c r="B82" s="3"/>
      <c r="C82" s="13">
        <v>5</v>
      </c>
      <c r="D82" s="4"/>
      <c r="E82" s="14">
        <v>45691</v>
      </c>
      <c r="F82" s="5"/>
    </row>
  </sheetData>
  <sheetProtection algorithmName="SHA-512" hashValue="WCmpF0vkbu0gVQGqPWFi0xIFRaaJafw46rHSivJhYqOjN7Ikhu5f4Oas95bioAj851PWmXI4D70JwlcOhpfpDA==" saltValue="YwoKsBobY6LKdN3GmlIAMQ==" spinCount="100000" sheet="1" objects="1" scenarios="1" selectLockedCells="1" selectUnlockedCells="1"/>
  <mergeCells count="28">
    <mergeCell ref="C4:E5"/>
    <mergeCell ref="C6:E6"/>
    <mergeCell ref="C31:E31"/>
    <mergeCell ref="C62:E62"/>
    <mergeCell ref="C73:E73"/>
    <mergeCell ref="C8:E9"/>
    <mergeCell ref="C12:E13"/>
    <mergeCell ref="C14:E16"/>
    <mergeCell ref="C17:E19"/>
    <mergeCell ref="C20:E21"/>
    <mergeCell ref="C49:E49"/>
    <mergeCell ref="C10:E11"/>
    <mergeCell ref="C27:E28"/>
    <mergeCell ref="C51:E54"/>
    <mergeCell ref="C55:E57"/>
    <mergeCell ref="C58:E61"/>
    <mergeCell ref="C79:E81"/>
    <mergeCell ref="C22:E24"/>
    <mergeCell ref="C25:E26"/>
    <mergeCell ref="C29:E30"/>
    <mergeCell ref="C33:E34"/>
    <mergeCell ref="C35:E36"/>
    <mergeCell ref="C37:E38"/>
    <mergeCell ref="C39:E42"/>
    <mergeCell ref="C43:E45"/>
    <mergeCell ref="C46:E48"/>
    <mergeCell ref="C64:E72"/>
    <mergeCell ref="C75:E78"/>
  </mergeCells>
  <printOptions horizontalCentered="1"/>
  <pageMargins left="0.25" right="0.25" top="0.25" bottom="0.25" header="0" footer="0"/>
  <pageSetup scale="85" fitToHeight="0"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8BE611-2B2D-4C91-99AA-436E7F55850D}">
  <sheetPr codeName="Sheet2">
    <tabColor rgb="FF046A38"/>
    <pageSetUpPr fitToPage="1"/>
  </sheetPr>
  <dimension ref="B1:F34"/>
  <sheetViews>
    <sheetView showGridLines="0" showRowColHeaders="0" zoomScaleNormal="100" workbookViewId="0">
      <selection activeCell="C7" sqref="C7"/>
    </sheetView>
  </sheetViews>
  <sheetFormatPr defaultColWidth="8.7109375" defaultRowHeight="15" customHeight="1" x14ac:dyDescent="0.25"/>
  <cols>
    <col min="1" max="2" width="5.7109375" customWidth="1"/>
    <col min="3" max="3" width="50.7109375" customWidth="1"/>
    <col min="4" max="4" width="5.7109375" customWidth="1"/>
    <col min="5" max="5" width="50.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15"/>
      <c r="C4" s="120" t="s">
        <v>15</v>
      </c>
      <c r="D4" s="120"/>
      <c r="E4" s="120"/>
      <c r="F4" s="16"/>
    </row>
    <row r="5" spans="2:6" ht="15" customHeight="1" x14ac:dyDescent="0.25">
      <c r="B5" s="1"/>
      <c r="C5" s="94"/>
      <c r="D5" s="94"/>
      <c r="E5" s="94"/>
      <c r="F5" s="2"/>
    </row>
    <row r="6" spans="2:6" ht="15" customHeight="1" x14ac:dyDescent="0.25">
      <c r="B6" s="1"/>
      <c r="C6" s="94" t="s">
        <v>2608</v>
      </c>
      <c r="D6" s="94"/>
      <c r="E6" s="94"/>
      <c r="F6" s="2"/>
    </row>
    <row r="7" spans="2:6" ht="15" customHeight="1" x14ac:dyDescent="0.25">
      <c r="B7" s="1"/>
      <c r="C7" s="17"/>
      <c r="D7" s="94"/>
      <c r="E7" s="94"/>
      <c r="F7" s="2"/>
    </row>
    <row r="8" spans="2:6" ht="15" customHeight="1" x14ac:dyDescent="0.25">
      <c r="B8" s="1"/>
      <c r="C8" s="94"/>
      <c r="D8" s="94"/>
      <c r="E8" s="94"/>
      <c r="F8" s="2"/>
    </row>
    <row r="9" spans="2:6" ht="15" customHeight="1" x14ac:dyDescent="0.25">
      <c r="B9" s="1"/>
      <c r="C9" s="94" t="s">
        <v>2609</v>
      </c>
      <c r="D9" s="94"/>
      <c r="E9" s="94" t="s">
        <v>17</v>
      </c>
      <c r="F9" s="2"/>
    </row>
    <row r="10" spans="2:6" ht="15" customHeight="1" x14ac:dyDescent="0.25">
      <c r="B10" s="1"/>
      <c r="C10" s="18" t="s">
        <v>2610</v>
      </c>
      <c r="D10" s="94"/>
      <c r="E10" s="17"/>
      <c r="F10" s="2"/>
    </row>
    <row r="11" spans="2:6" ht="15" customHeight="1" x14ac:dyDescent="0.25">
      <c r="B11" s="1"/>
      <c r="C11" s="94"/>
      <c r="D11" s="94"/>
      <c r="E11" s="94"/>
      <c r="F11" s="2"/>
    </row>
    <row r="12" spans="2:6" ht="15" customHeight="1" x14ac:dyDescent="0.25">
      <c r="B12" s="1"/>
      <c r="C12" s="94" t="s">
        <v>18</v>
      </c>
      <c r="D12" s="94"/>
      <c r="E12" s="94"/>
      <c r="F12" s="2"/>
    </row>
    <row r="13" spans="2:6" ht="15" customHeight="1" x14ac:dyDescent="0.25">
      <c r="B13" s="1"/>
      <c r="C13" s="21"/>
      <c r="D13" s="94"/>
      <c r="E13" s="94"/>
      <c r="F13" s="2"/>
    </row>
    <row r="14" spans="2:6" ht="15" customHeight="1" x14ac:dyDescent="0.25">
      <c r="B14" s="1"/>
      <c r="C14" s="94"/>
      <c r="D14" s="94"/>
      <c r="E14" s="94"/>
      <c r="F14" s="2"/>
    </row>
    <row r="15" spans="2:6" ht="15" customHeight="1" x14ac:dyDescent="0.25">
      <c r="B15" s="1"/>
      <c r="C15" s="113" t="s">
        <v>19</v>
      </c>
      <c r="D15" s="113"/>
      <c r="E15" s="113"/>
      <c r="F15" s="2"/>
    </row>
    <row r="16" spans="2:6" ht="15" customHeight="1" x14ac:dyDescent="0.25">
      <c r="B16" s="1"/>
      <c r="C16" s="113"/>
      <c r="D16" s="113"/>
      <c r="E16" s="113"/>
      <c r="F16" s="2"/>
    </row>
    <row r="17" spans="2:6" ht="15" customHeight="1" x14ac:dyDescent="0.35">
      <c r="B17" s="1"/>
      <c r="C17" s="121" t="s">
        <v>20</v>
      </c>
      <c r="D17" s="121"/>
      <c r="E17" s="121"/>
      <c r="F17" s="2"/>
    </row>
    <row r="18" spans="2:6" ht="15" customHeight="1" x14ac:dyDescent="0.35">
      <c r="B18" s="1"/>
      <c r="C18" s="121" t="s">
        <v>21</v>
      </c>
      <c r="D18" s="121"/>
      <c r="E18" s="121"/>
      <c r="F18" s="2"/>
    </row>
    <row r="19" spans="2:6" ht="15" customHeight="1" x14ac:dyDescent="0.25">
      <c r="B19" s="1"/>
      <c r="C19" s="17"/>
      <c r="D19" s="94"/>
      <c r="E19" s="94"/>
      <c r="F19" s="2"/>
    </row>
    <row r="20" spans="2:6" ht="15" customHeight="1" x14ac:dyDescent="0.25">
      <c r="B20" s="1"/>
      <c r="C20" s="94"/>
      <c r="D20" s="94"/>
      <c r="E20" s="94"/>
      <c r="F20" s="2"/>
    </row>
    <row r="21" spans="2:6" ht="15" customHeight="1" x14ac:dyDescent="0.25">
      <c r="B21" s="1"/>
      <c r="C21" s="113" t="s">
        <v>22</v>
      </c>
      <c r="D21" s="113"/>
      <c r="E21" s="113"/>
      <c r="F21" s="2"/>
    </row>
    <row r="22" spans="2:6" ht="15" customHeight="1" x14ac:dyDescent="0.25">
      <c r="B22" s="1"/>
      <c r="C22" s="94"/>
      <c r="D22" s="94"/>
      <c r="E22" s="94"/>
      <c r="F22" s="2"/>
    </row>
    <row r="23" spans="2:6" ht="15" customHeight="1" x14ac:dyDescent="0.25">
      <c r="B23" s="1"/>
      <c r="C23" s="94"/>
      <c r="D23" s="94"/>
      <c r="E23" s="94"/>
      <c r="F23" s="2"/>
    </row>
    <row r="24" spans="2:6" ht="15" customHeight="1" x14ac:dyDescent="0.25">
      <c r="B24" s="1"/>
      <c r="C24" s="94"/>
      <c r="D24" s="94"/>
      <c r="E24" s="94"/>
      <c r="F24" s="2"/>
    </row>
    <row r="25" spans="2:6" ht="15" customHeight="1" x14ac:dyDescent="0.25">
      <c r="B25" s="1"/>
      <c r="C25" s="94"/>
      <c r="D25" s="94"/>
      <c r="E25" s="94"/>
      <c r="F25" s="2"/>
    </row>
    <row r="26" spans="2:6" ht="15" customHeight="1" x14ac:dyDescent="0.25">
      <c r="B26" s="1"/>
      <c r="C26" s="94"/>
      <c r="D26" s="94"/>
      <c r="E26" s="94"/>
      <c r="F26" s="2"/>
    </row>
    <row r="27" spans="2:6" ht="15" customHeight="1" x14ac:dyDescent="0.25">
      <c r="B27" s="1"/>
      <c r="C27" s="94"/>
      <c r="D27" s="94"/>
      <c r="E27" s="94"/>
      <c r="F27" s="2"/>
    </row>
    <row r="28" spans="2:6" ht="15" customHeight="1" x14ac:dyDescent="0.25">
      <c r="B28" s="1"/>
      <c r="C28" s="107"/>
      <c r="D28" s="94"/>
      <c r="E28" s="94"/>
      <c r="F28" s="2"/>
    </row>
    <row r="29" spans="2:6" ht="15" customHeight="1" x14ac:dyDescent="0.25">
      <c r="B29" s="1"/>
      <c r="C29" s="94"/>
      <c r="D29" s="94"/>
      <c r="E29" s="94"/>
      <c r="F29" s="2"/>
    </row>
    <row r="30" spans="2:6" ht="15" customHeight="1" x14ac:dyDescent="0.25">
      <c r="B30" s="3"/>
      <c r="C30" s="13">
        <f>R.Instructions.VersionNumber</f>
        <v>5</v>
      </c>
      <c r="D30" s="4"/>
      <c r="E30" s="14">
        <f>R.Instructions.VersionDate</f>
        <v>45691</v>
      </c>
      <c r="F30" s="5"/>
    </row>
    <row r="32" spans="2:6" ht="15" customHeight="1" x14ac:dyDescent="0.25">
      <c r="C32" s="119" t="str">
        <f>IFERROR(VLOOKUP("Incomplete",Developer!H4:I8,2,FALSE),"Sheet complete.")</f>
        <v>Enter the regulated emitter name.</v>
      </c>
      <c r="D32" s="119"/>
      <c r="E32" s="119"/>
    </row>
    <row r="33" spans="3:5" ht="15" customHeight="1" x14ac:dyDescent="0.25">
      <c r="C33" s="119"/>
      <c r="D33" s="119"/>
      <c r="E33" s="119"/>
    </row>
    <row r="34" spans="3:5" ht="15" customHeight="1" x14ac:dyDescent="0.25">
      <c r="C34" s="119"/>
      <c r="D34" s="119"/>
      <c r="E34" s="119"/>
    </row>
  </sheetData>
  <sheetProtection algorithmName="SHA-512" hashValue="I4dQkMDU4ryeHeVMl1Kll6t3w3PAn8Nm1DTyyGk/5UlG8y4TTQP9ZWyOT7++shqW1oLyrVDFDd0CSwEYm6guzw==" saltValue="DNFiczoKeWwiLcz1wC7GQQ==" spinCount="100000" sheet="1" objects="1" scenarios="1" selectLockedCells="1"/>
  <dataConsolidate/>
  <mergeCells count="6">
    <mergeCell ref="C32:E34"/>
    <mergeCell ref="C4:E4"/>
    <mergeCell ref="C15:E16"/>
    <mergeCell ref="C17:E17"/>
    <mergeCell ref="C18:E18"/>
    <mergeCell ref="C21:E21"/>
  </mergeCells>
  <conditionalFormatting sqref="C32">
    <cfRule type="cellIs" dxfId="7" priority="1" stopIfTrue="1" operator="equal">
      <formula>"Sheet complete."</formula>
    </cfRule>
  </conditionalFormatting>
  <dataValidations count="2">
    <dataValidation type="list" allowBlank="1" showInputMessage="1" showErrorMessage="1" errorTitle="Facility Information" error="The compliance year must be between 2023 and 2030." sqref="C13" xr:uid="{F49A91D0-D676-461F-A8BF-3314CD266DEC}">
      <formula1>"2023,2024,2025,2026,2027,2028,2029,2030"</formula1>
    </dataValidation>
    <dataValidation type="list" allowBlank="1" showInputMessage="1" showErrorMessage="1" errorTitle="Facility Information" error="The answer to this question must be Part 2 or Part 3." sqref="C19" xr:uid="{21F811D8-7F6A-4181-99FF-9F9A594FCCF6}">
      <formula1>"Part 2,Part 3"</formula1>
    </dataValidation>
  </dataValidations>
  <printOptions horizontalCentered="1"/>
  <pageMargins left="0.25" right="0.25" top="0.25" bottom="0.25" header="0" footer="0"/>
  <pageSetup scale="85"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P1">
              <controlPr defaultSize="0" autoFill="0" autoLine="0" autoPict="0" macro="[0]!Class">
                <anchor moveWithCells="1" sizeWithCells="1">
                  <from>
                    <xdr:col>2</xdr:col>
                    <xdr:colOff>0</xdr:colOff>
                    <xdr:row>21</xdr:row>
                    <xdr:rowOff>0</xdr:rowOff>
                  </from>
                  <to>
                    <xdr:col>2</xdr:col>
                    <xdr:colOff>219075</xdr:colOff>
                    <xdr:row>22</xdr:row>
                    <xdr:rowOff>0</xdr:rowOff>
                  </to>
                </anchor>
              </controlPr>
            </control>
          </mc:Choice>
        </mc:AlternateContent>
        <mc:AlternateContent xmlns:mc="http://schemas.openxmlformats.org/markup-compatibility/2006">
          <mc:Choice Requires="x14">
            <control shapeId="2050" r:id="rId5" name="Check Box P2a">
              <controlPr defaultSize="0" autoFill="0" autoLine="0" autoPict="0" macro="[0]!Class">
                <anchor moveWithCells="1" sizeWithCells="1">
                  <from>
                    <xdr:col>2</xdr:col>
                    <xdr:colOff>0</xdr:colOff>
                    <xdr:row>22</xdr:row>
                    <xdr:rowOff>0</xdr:rowOff>
                  </from>
                  <to>
                    <xdr:col>2</xdr:col>
                    <xdr:colOff>219075</xdr:colOff>
                    <xdr:row>23</xdr:row>
                    <xdr:rowOff>0</xdr:rowOff>
                  </to>
                </anchor>
              </controlPr>
            </control>
          </mc:Choice>
        </mc:AlternateContent>
        <mc:AlternateContent xmlns:mc="http://schemas.openxmlformats.org/markup-compatibility/2006">
          <mc:Choice Requires="x14">
            <control shapeId="2051" r:id="rId6" name="Check Box P2b">
              <controlPr defaultSize="0" autoFill="0" autoLine="0" autoPict="0" macro="[0]!Class">
                <anchor moveWithCells="1" sizeWithCells="1">
                  <from>
                    <xdr:col>2</xdr:col>
                    <xdr:colOff>0</xdr:colOff>
                    <xdr:row>23</xdr:row>
                    <xdr:rowOff>0</xdr:rowOff>
                  </from>
                  <to>
                    <xdr:col>2</xdr:col>
                    <xdr:colOff>219075</xdr:colOff>
                    <xdr:row>24</xdr:row>
                    <xdr:rowOff>0</xdr:rowOff>
                  </to>
                </anchor>
              </controlPr>
            </control>
          </mc:Choice>
        </mc:AlternateContent>
        <mc:AlternateContent xmlns:mc="http://schemas.openxmlformats.org/markup-compatibility/2006">
          <mc:Choice Requires="x14">
            <control shapeId="2052" r:id="rId7" name="Check Box P3">
              <controlPr defaultSize="0" autoFill="0" autoLine="0" autoPict="0" macro="[0]!Class">
                <anchor moveWithCells="1" sizeWithCells="1">
                  <from>
                    <xdr:col>2</xdr:col>
                    <xdr:colOff>0</xdr:colOff>
                    <xdr:row>24</xdr:row>
                    <xdr:rowOff>0</xdr:rowOff>
                  </from>
                  <to>
                    <xdr:col>2</xdr:col>
                    <xdr:colOff>219075</xdr:colOff>
                    <xdr:row>25</xdr:row>
                    <xdr:rowOff>0</xdr:rowOff>
                  </to>
                </anchor>
              </controlPr>
            </control>
          </mc:Choice>
        </mc:AlternateContent>
        <mc:AlternateContent xmlns:mc="http://schemas.openxmlformats.org/markup-compatibility/2006">
          <mc:Choice Requires="x14">
            <control shapeId="2053" r:id="rId8" name="Check Box P4">
              <controlPr defaultSize="0" autoFill="0" autoLine="0" autoPict="0" macro="[0]!Class">
                <anchor moveWithCells="1" sizeWithCells="1">
                  <from>
                    <xdr:col>2</xdr:col>
                    <xdr:colOff>0</xdr:colOff>
                    <xdr:row>25</xdr:row>
                    <xdr:rowOff>0</xdr:rowOff>
                  </from>
                  <to>
                    <xdr:col>2</xdr:col>
                    <xdr:colOff>219075</xdr:colOff>
                    <xdr:row>26</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058BB-F6CD-43D6-B694-819AE8D5CDEA}">
  <sheetPr codeName="Sheet3">
    <tabColor rgb="FF046A38"/>
    <pageSetUpPr fitToPage="1"/>
  </sheetPr>
  <dimension ref="B1:F131"/>
  <sheetViews>
    <sheetView showGridLines="0" showRowColHeaders="0" zoomScaleNormal="100" workbookViewId="0">
      <selection activeCell="C21" sqref="C21"/>
    </sheetView>
  </sheetViews>
  <sheetFormatPr defaultColWidth="8.7109375" defaultRowHeight="15" customHeight="1" x14ac:dyDescent="0.25"/>
  <cols>
    <col min="1" max="2" width="5.7109375" customWidth="1"/>
    <col min="3" max="3" width="50.7109375" customWidth="1"/>
    <col min="4" max="4" width="5.7109375" customWidth="1"/>
    <col min="5" max="5" width="50.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6"/>
      <c r="C4" s="116" t="s">
        <v>23</v>
      </c>
      <c r="D4" s="116"/>
      <c r="E4" s="116"/>
      <c r="F4" s="7"/>
    </row>
    <row r="5" spans="2:6" ht="20.100000000000001" hidden="1" customHeight="1" x14ac:dyDescent="0.25">
      <c r="B5" s="10"/>
      <c r="C5" s="118" t="s">
        <v>24</v>
      </c>
      <c r="D5" s="118"/>
      <c r="E5" s="118"/>
      <c r="F5" s="11"/>
    </row>
    <row r="6" spans="2:6" ht="15" hidden="1" customHeight="1" x14ac:dyDescent="0.25">
      <c r="B6" s="1"/>
      <c r="C6" s="94"/>
      <c r="D6" s="94"/>
      <c r="E6" s="94"/>
      <c r="F6" s="2"/>
    </row>
    <row r="7" spans="2:6" ht="15" hidden="1" customHeight="1" x14ac:dyDescent="0.25">
      <c r="B7" s="1"/>
      <c r="C7" s="113" t="s">
        <v>25</v>
      </c>
      <c r="D7" s="113"/>
      <c r="E7" s="113"/>
      <c r="F7" s="2"/>
    </row>
    <row r="8" spans="2:6" ht="15" hidden="1" customHeight="1" x14ac:dyDescent="0.25">
      <c r="B8" s="1"/>
      <c r="C8" s="94"/>
      <c r="D8" s="94"/>
      <c r="E8" s="94"/>
      <c r="F8" s="2"/>
    </row>
    <row r="9" spans="2:6" ht="15" hidden="1" customHeight="1" x14ac:dyDescent="0.25">
      <c r="B9" s="1"/>
      <c r="C9" s="94"/>
      <c r="D9" s="94"/>
      <c r="E9" s="94"/>
      <c r="F9" s="2"/>
    </row>
    <row r="10" spans="2:6" ht="15" hidden="1" customHeight="1" x14ac:dyDescent="0.25">
      <c r="B10" s="1"/>
      <c r="C10" s="94"/>
      <c r="D10" s="94"/>
      <c r="E10" s="94"/>
      <c r="F10" s="2"/>
    </row>
    <row r="11" spans="2:6" ht="15" hidden="1" customHeight="1" x14ac:dyDescent="0.25">
      <c r="B11" s="1"/>
      <c r="C11" s="94"/>
      <c r="D11" s="94"/>
      <c r="E11" s="94"/>
      <c r="F11" s="2"/>
    </row>
    <row r="12" spans="2:6" ht="15" hidden="1" customHeight="1" x14ac:dyDescent="0.25">
      <c r="B12" s="1"/>
      <c r="C12" s="94"/>
      <c r="D12" s="94"/>
      <c r="E12" s="94"/>
      <c r="F12" s="2"/>
    </row>
    <row r="13" spans="2:6" ht="15" hidden="1" customHeight="1" x14ac:dyDescent="0.25">
      <c r="B13" s="1"/>
      <c r="C13" s="113" t="s">
        <v>26</v>
      </c>
      <c r="D13" s="113"/>
      <c r="E13" s="113"/>
      <c r="F13" s="2"/>
    </row>
    <row r="14" spans="2:6" ht="15" hidden="1" customHeight="1" x14ac:dyDescent="0.25">
      <c r="B14" s="1"/>
      <c r="C14" s="94"/>
      <c r="D14" s="94"/>
      <c r="E14" s="94"/>
      <c r="F14" s="2"/>
    </row>
    <row r="15" spans="2:6" ht="15" hidden="1" customHeight="1" x14ac:dyDescent="0.25">
      <c r="B15" s="1"/>
      <c r="C15" s="94"/>
      <c r="D15" s="94"/>
      <c r="E15" s="94"/>
      <c r="F15" s="2"/>
    </row>
    <row r="16" spans="2:6" ht="15" hidden="1" customHeight="1" x14ac:dyDescent="0.25">
      <c r="B16" s="1"/>
      <c r="C16" s="94"/>
      <c r="D16" s="94"/>
      <c r="E16" s="94"/>
      <c r="F16" s="2"/>
    </row>
    <row r="17" spans="2:6" ht="15" hidden="1" customHeight="1" x14ac:dyDescent="0.25">
      <c r="B17" s="1"/>
      <c r="C17" s="94"/>
      <c r="D17" s="94"/>
      <c r="E17" s="94"/>
      <c r="F17" s="2"/>
    </row>
    <row r="18" spans="2:6" ht="15" hidden="1" customHeight="1" x14ac:dyDescent="0.25">
      <c r="B18" s="1"/>
      <c r="C18" s="94"/>
      <c r="D18" s="94"/>
      <c r="E18" s="94"/>
      <c r="F18" s="2"/>
    </row>
    <row r="19" spans="2:6" ht="15" hidden="1" customHeight="1" x14ac:dyDescent="0.25">
      <c r="B19" s="1"/>
      <c r="C19" s="94"/>
      <c r="D19" s="94"/>
      <c r="E19" s="94"/>
      <c r="F19" s="2"/>
    </row>
    <row r="20" spans="2:6" ht="15" hidden="1" customHeight="1" x14ac:dyDescent="0.25">
      <c r="B20" s="1"/>
      <c r="C20" s="113" t="s">
        <v>27</v>
      </c>
      <c r="D20" s="113"/>
      <c r="E20" s="113"/>
      <c r="F20" s="2"/>
    </row>
    <row r="21" spans="2:6" ht="15" hidden="1" customHeight="1" x14ac:dyDescent="0.25">
      <c r="B21" s="1"/>
      <c r="C21" s="18"/>
      <c r="D21" s="94"/>
      <c r="E21" s="94"/>
      <c r="F21" s="2"/>
    </row>
    <row r="22" spans="2:6" ht="15" hidden="1" customHeight="1" x14ac:dyDescent="0.25">
      <c r="B22" s="1"/>
      <c r="C22" s="94"/>
      <c r="D22" s="94"/>
      <c r="E22" s="94"/>
      <c r="F22" s="2"/>
    </row>
    <row r="23" spans="2:6" ht="15" hidden="1" customHeight="1" x14ac:dyDescent="0.25">
      <c r="B23" s="1"/>
      <c r="C23" s="113" t="s">
        <v>28</v>
      </c>
      <c r="D23" s="113"/>
      <c r="E23" s="113"/>
      <c r="F23" s="2"/>
    </row>
    <row r="24" spans="2:6" ht="15" hidden="1" customHeight="1" x14ac:dyDescent="0.25">
      <c r="B24" s="1"/>
      <c r="C24" s="19"/>
      <c r="D24" s="94"/>
      <c r="E24" s="94"/>
      <c r="F24" s="2"/>
    </row>
    <row r="25" spans="2:6" ht="15" hidden="1" customHeight="1" x14ac:dyDescent="0.25">
      <c r="B25" s="1"/>
      <c r="C25" s="94"/>
      <c r="D25" s="94"/>
      <c r="E25" s="94"/>
      <c r="F25" s="2"/>
    </row>
    <row r="26" spans="2:6" ht="15" hidden="1" customHeight="1" x14ac:dyDescent="0.25">
      <c r="B26" s="1"/>
      <c r="C26" s="113" t="s">
        <v>29</v>
      </c>
      <c r="D26" s="113"/>
      <c r="E26" s="113"/>
      <c r="F26" s="2"/>
    </row>
    <row r="27" spans="2:6" ht="15" hidden="1" customHeight="1" x14ac:dyDescent="0.25">
      <c r="B27" s="1"/>
      <c r="C27" s="19"/>
      <c r="D27" s="94"/>
      <c r="E27" s="94"/>
      <c r="F27" s="2"/>
    </row>
    <row r="28" spans="2:6" ht="15" hidden="1" customHeight="1" x14ac:dyDescent="0.25">
      <c r="B28" s="1"/>
      <c r="C28" s="94"/>
      <c r="D28" s="94"/>
      <c r="E28" s="94"/>
      <c r="F28" s="2"/>
    </row>
    <row r="29" spans="2:6" ht="20.100000000000001" hidden="1" customHeight="1" x14ac:dyDescent="0.25">
      <c r="B29" s="10"/>
      <c r="C29" s="118" t="s">
        <v>30</v>
      </c>
      <c r="D29" s="118"/>
      <c r="E29" s="118"/>
      <c r="F29" s="11"/>
    </row>
    <row r="30" spans="2:6" ht="15" hidden="1" customHeight="1" x14ac:dyDescent="0.25">
      <c r="B30" s="1"/>
      <c r="C30" s="94"/>
      <c r="D30" s="94"/>
      <c r="E30" s="94"/>
      <c r="F30" s="2"/>
    </row>
    <row r="31" spans="2:6" ht="15" hidden="1" customHeight="1" x14ac:dyDescent="0.25">
      <c r="B31" s="1"/>
      <c r="C31" s="113" t="s">
        <v>25</v>
      </c>
      <c r="D31" s="113"/>
      <c r="E31" s="113"/>
      <c r="F31" s="2"/>
    </row>
    <row r="32" spans="2:6" ht="15" hidden="1" customHeight="1" x14ac:dyDescent="0.25">
      <c r="B32" s="1"/>
      <c r="C32" s="94"/>
      <c r="D32" s="94"/>
      <c r="E32" s="94"/>
      <c r="F32" s="2"/>
    </row>
    <row r="33" spans="2:6" ht="15" hidden="1" customHeight="1" x14ac:dyDescent="0.25">
      <c r="B33" s="1"/>
      <c r="C33" s="94"/>
      <c r="D33" s="94"/>
      <c r="E33" s="94"/>
      <c r="F33" s="2"/>
    </row>
    <row r="34" spans="2:6" ht="15" hidden="1" customHeight="1" x14ac:dyDescent="0.25">
      <c r="B34" s="1"/>
      <c r="C34" s="94"/>
      <c r="D34" s="94"/>
      <c r="E34" s="94"/>
      <c r="F34" s="2"/>
    </row>
    <row r="35" spans="2:6" ht="15" hidden="1" customHeight="1" x14ac:dyDescent="0.25">
      <c r="B35" s="1"/>
      <c r="C35" s="94"/>
      <c r="D35" s="94"/>
      <c r="E35" s="94"/>
      <c r="F35" s="2"/>
    </row>
    <row r="36" spans="2:6" ht="15" hidden="1" customHeight="1" x14ac:dyDescent="0.25">
      <c r="B36" s="1"/>
      <c r="C36" s="94"/>
      <c r="D36" s="94"/>
      <c r="E36" s="94"/>
      <c r="F36" s="2"/>
    </row>
    <row r="37" spans="2:6" ht="15" hidden="1" customHeight="1" x14ac:dyDescent="0.25">
      <c r="B37" s="1"/>
      <c r="C37" s="113" t="s">
        <v>26</v>
      </c>
      <c r="D37" s="113"/>
      <c r="E37" s="113"/>
      <c r="F37" s="2"/>
    </row>
    <row r="38" spans="2:6" ht="15" hidden="1" customHeight="1" x14ac:dyDescent="0.25">
      <c r="B38" s="1"/>
      <c r="C38" s="94"/>
      <c r="D38" s="94"/>
      <c r="E38" s="94"/>
      <c r="F38" s="2"/>
    </row>
    <row r="39" spans="2:6" ht="15" hidden="1" customHeight="1" x14ac:dyDescent="0.25">
      <c r="B39" s="1"/>
      <c r="C39" s="94"/>
      <c r="D39" s="94"/>
      <c r="E39" s="94"/>
      <c r="F39" s="2"/>
    </row>
    <row r="40" spans="2:6" ht="15" hidden="1" customHeight="1" x14ac:dyDescent="0.25">
      <c r="B40" s="1"/>
      <c r="C40" s="94"/>
      <c r="D40" s="94"/>
      <c r="E40" s="94"/>
      <c r="F40" s="2"/>
    </row>
    <row r="41" spans="2:6" ht="15" hidden="1" customHeight="1" x14ac:dyDescent="0.25">
      <c r="B41" s="1"/>
      <c r="C41" s="94"/>
      <c r="D41" s="94"/>
      <c r="E41" s="94"/>
      <c r="F41" s="2"/>
    </row>
    <row r="42" spans="2:6" ht="15" hidden="1" customHeight="1" x14ac:dyDescent="0.25">
      <c r="B42" s="1"/>
      <c r="C42" s="94"/>
      <c r="D42" s="94"/>
      <c r="E42" s="94"/>
      <c r="F42" s="2"/>
    </row>
    <row r="43" spans="2:6" ht="15" hidden="1" customHeight="1" x14ac:dyDescent="0.25">
      <c r="B43" s="1"/>
      <c r="C43" s="94"/>
      <c r="D43" s="94"/>
      <c r="E43" s="94"/>
      <c r="F43" s="2"/>
    </row>
    <row r="44" spans="2:6" ht="15" hidden="1" customHeight="1" x14ac:dyDescent="0.25">
      <c r="B44" s="1"/>
      <c r="C44" s="113" t="s">
        <v>27</v>
      </c>
      <c r="D44" s="113"/>
      <c r="E44" s="113"/>
      <c r="F44" s="2"/>
    </row>
    <row r="45" spans="2:6" ht="15" hidden="1" customHeight="1" x14ac:dyDescent="0.25">
      <c r="B45" s="1"/>
      <c r="C45" s="18"/>
      <c r="D45" s="94"/>
      <c r="E45" s="94"/>
      <c r="F45" s="2"/>
    </row>
    <row r="46" spans="2:6" ht="15" hidden="1" customHeight="1" x14ac:dyDescent="0.25">
      <c r="B46" s="1"/>
      <c r="C46" s="94"/>
      <c r="D46" s="94"/>
      <c r="E46" s="94"/>
      <c r="F46" s="2"/>
    </row>
    <row r="47" spans="2:6" ht="15" hidden="1" customHeight="1" x14ac:dyDescent="0.25">
      <c r="B47" s="1"/>
      <c r="C47" s="113" t="s">
        <v>28</v>
      </c>
      <c r="D47" s="113"/>
      <c r="E47" s="113"/>
      <c r="F47" s="2"/>
    </row>
    <row r="48" spans="2:6" ht="15" hidden="1" customHeight="1" x14ac:dyDescent="0.25">
      <c r="B48" s="1"/>
      <c r="C48" s="19"/>
      <c r="D48" s="94"/>
      <c r="E48" s="94"/>
      <c r="F48" s="2"/>
    </row>
    <row r="49" spans="2:6" ht="15" hidden="1" customHeight="1" x14ac:dyDescent="0.25">
      <c r="B49" s="1"/>
      <c r="C49" s="94"/>
      <c r="D49" s="94"/>
      <c r="E49" s="94"/>
      <c r="F49" s="2"/>
    </row>
    <row r="50" spans="2:6" ht="15" hidden="1" customHeight="1" x14ac:dyDescent="0.25">
      <c r="B50" s="1"/>
      <c r="C50" s="113" t="s">
        <v>29</v>
      </c>
      <c r="D50" s="113"/>
      <c r="E50" s="113"/>
      <c r="F50" s="2"/>
    </row>
    <row r="51" spans="2:6" ht="15" hidden="1" customHeight="1" x14ac:dyDescent="0.25">
      <c r="B51" s="1"/>
      <c r="C51" s="19"/>
      <c r="D51" s="94"/>
      <c r="E51" s="94"/>
      <c r="F51" s="2"/>
    </row>
    <row r="52" spans="2:6" ht="15" hidden="1" customHeight="1" x14ac:dyDescent="0.25">
      <c r="B52" s="1"/>
      <c r="C52" s="94"/>
      <c r="D52" s="94"/>
      <c r="E52" s="94"/>
      <c r="F52" s="2"/>
    </row>
    <row r="53" spans="2:6" ht="20.100000000000001" hidden="1" customHeight="1" x14ac:dyDescent="0.25">
      <c r="B53" s="10"/>
      <c r="C53" s="118" t="s">
        <v>31</v>
      </c>
      <c r="D53" s="118"/>
      <c r="E53" s="118"/>
      <c r="F53" s="11"/>
    </row>
    <row r="54" spans="2:6" ht="15" hidden="1" customHeight="1" x14ac:dyDescent="0.25">
      <c r="B54" s="1"/>
      <c r="C54" s="94"/>
      <c r="D54" s="94"/>
      <c r="E54" s="94"/>
      <c r="F54" s="2"/>
    </row>
    <row r="55" spans="2:6" ht="15" hidden="1" customHeight="1" x14ac:dyDescent="0.25">
      <c r="B55" s="1"/>
      <c r="C55" s="113" t="s">
        <v>25</v>
      </c>
      <c r="D55" s="113"/>
      <c r="E55" s="113"/>
      <c r="F55" s="2"/>
    </row>
    <row r="56" spans="2:6" ht="15" hidden="1" customHeight="1" x14ac:dyDescent="0.25">
      <c r="B56" s="1"/>
      <c r="C56" s="94"/>
      <c r="D56" s="94"/>
      <c r="E56" s="94"/>
      <c r="F56" s="2"/>
    </row>
    <row r="57" spans="2:6" ht="15" hidden="1" customHeight="1" x14ac:dyDescent="0.25">
      <c r="B57" s="1"/>
      <c r="C57" s="94"/>
      <c r="D57" s="94"/>
      <c r="E57" s="94"/>
      <c r="F57" s="2"/>
    </row>
    <row r="58" spans="2:6" ht="15" hidden="1" customHeight="1" x14ac:dyDescent="0.25">
      <c r="B58" s="1"/>
      <c r="C58" s="94"/>
      <c r="D58" s="94"/>
      <c r="E58" s="94"/>
      <c r="F58" s="2"/>
    </row>
    <row r="59" spans="2:6" ht="15" hidden="1" customHeight="1" x14ac:dyDescent="0.25">
      <c r="B59" s="1"/>
      <c r="C59" s="94"/>
      <c r="D59" s="94"/>
      <c r="E59" s="94"/>
      <c r="F59" s="2"/>
    </row>
    <row r="60" spans="2:6" ht="15" hidden="1" customHeight="1" x14ac:dyDescent="0.25">
      <c r="B60" s="1"/>
      <c r="C60" s="94"/>
      <c r="D60" s="94"/>
      <c r="E60" s="94"/>
      <c r="F60" s="2"/>
    </row>
    <row r="61" spans="2:6" ht="15" hidden="1" customHeight="1" x14ac:dyDescent="0.25">
      <c r="B61" s="1"/>
      <c r="C61" s="113" t="s">
        <v>26</v>
      </c>
      <c r="D61" s="113"/>
      <c r="E61" s="113"/>
      <c r="F61" s="2"/>
    </row>
    <row r="62" spans="2:6" ht="15" hidden="1" customHeight="1" x14ac:dyDescent="0.25">
      <c r="B62" s="1"/>
      <c r="C62" s="94"/>
      <c r="D62" s="94"/>
      <c r="E62" s="94"/>
      <c r="F62" s="2"/>
    </row>
    <row r="63" spans="2:6" ht="15" hidden="1" customHeight="1" x14ac:dyDescent="0.25">
      <c r="B63" s="1"/>
      <c r="C63" s="94"/>
      <c r="D63" s="94"/>
      <c r="E63" s="94"/>
      <c r="F63" s="2"/>
    </row>
    <row r="64" spans="2:6" ht="15" hidden="1" customHeight="1" x14ac:dyDescent="0.25">
      <c r="B64" s="1"/>
      <c r="C64" s="94"/>
      <c r="D64" s="94"/>
      <c r="E64" s="94"/>
      <c r="F64" s="2"/>
    </row>
    <row r="65" spans="2:6" ht="15" hidden="1" customHeight="1" x14ac:dyDescent="0.25">
      <c r="B65" s="1"/>
      <c r="C65" s="94"/>
      <c r="D65" s="94"/>
      <c r="E65" s="94"/>
      <c r="F65" s="2"/>
    </row>
    <row r="66" spans="2:6" ht="15" hidden="1" customHeight="1" x14ac:dyDescent="0.25">
      <c r="B66" s="1"/>
      <c r="C66" s="94"/>
      <c r="D66" s="94"/>
      <c r="E66" s="94"/>
      <c r="F66" s="2"/>
    </row>
    <row r="67" spans="2:6" ht="15" hidden="1" customHeight="1" x14ac:dyDescent="0.25">
      <c r="B67" s="1"/>
      <c r="C67" s="94"/>
      <c r="D67" s="94"/>
      <c r="E67" s="94"/>
      <c r="F67" s="2"/>
    </row>
    <row r="68" spans="2:6" ht="15" hidden="1" customHeight="1" x14ac:dyDescent="0.25">
      <c r="B68" s="1"/>
      <c r="C68" s="113" t="s">
        <v>27</v>
      </c>
      <c r="D68" s="113"/>
      <c r="E68" s="113"/>
      <c r="F68" s="2"/>
    </row>
    <row r="69" spans="2:6" ht="15" hidden="1" customHeight="1" x14ac:dyDescent="0.25">
      <c r="B69" s="1"/>
      <c r="C69" s="18"/>
      <c r="D69" s="94"/>
      <c r="E69" s="94"/>
      <c r="F69" s="2"/>
    </row>
    <row r="70" spans="2:6" ht="15" hidden="1" customHeight="1" x14ac:dyDescent="0.25">
      <c r="B70" s="1"/>
      <c r="C70" s="94"/>
      <c r="D70" s="94"/>
      <c r="E70" s="94"/>
      <c r="F70" s="2"/>
    </row>
    <row r="71" spans="2:6" ht="15" hidden="1" customHeight="1" x14ac:dyDescent="0.25">
      <c r="B71" s="1"/>
      <c r="C71" s="113" t="s">
        <v>28</v>
      </c>
      <c r="D71" s="113"/>
      <c r="E71" s="113"/>
      <c r="F71" s="2"/>
    </row>
    <row r="72" spans="2:6" ht="15" hidden="1" customHeight="1" x14ac:dyDescent="0.25">
      <c r="B72" s="1"/>
      <c r="C72" s="19"/>
      <c r="D72" s="94"/>
      <c r="E72" s="94"/>
      <c r="F72" s="2"/>
    </row>
    <row r="73" spans="2:6" ht="15" hidden="1" customHeight="1" x14ac:dyDescent="0.25">
      <c r="B73" s="1"/>
      <c r="C73" s="94"/>
      <c r="D73" s="94"/>
      <c r="E73" s="94"/>
      <c r="F73" s="2"/>
    </row>
    <row r="74" spans="2:6" ht="15" hidden="1" customHeight="1" x14ac:dyDescent="0.25">
      <c r="B74" s="1"/>
      <c r="C74" s="113" t="s">
        <v>29</v>
      </c>
      <c r="D74" s="113"/>
      <c r="E74" s="113"/>
      <c r="F74" s="2"/>
    </row>
    <row r="75" spans="2:6" ht="15" hidden="1" customHeight="1" x14ac:dyDescent="0.25">
      <c r="B75" s="1"/>
      <c r="C75" s="19"/>
      <c r="D75" s="94"/>
      <c r="E75" s="94"/>
      <c r="F75" s="2"/>
    </row>
    <row r="76" spans="2:6" ht="15" hidden="1" customHeight="1" x14ac:dyDescent="0.25">
      <c r="B76" s="1"/>
      <c r="C76" s="94"/>
      <c r="D76" s="94"/>
      <c r="E76" s="94"/>
      <c r="F76" s="2"/>
    </row>
    <row r="77" spans="2:6" ht="20.100000000000001" hidden="1" customHeight="1" x14ac:dyDescent="0.25">
      <c r="B77" s="10"/>
      <c r="C77" s="118" t="s">
        <v>32</v>
      </c>
      <c r="D77" s="118"/>
      <c r="E77" s="118"/>
      <c r="F77" s="11"/>
    </row>
    <row r="78" spans="2:6" ht="15" hidden="1" customHeight="1" x14ac:dyDescent="0.25">
      <c r="B78" s="1"/>
      <c r="C78" s="94"/>
      <c r="D78" s="94"/>
      <c r="E78" s="94"/>
      <c r="F78" s="2"/>
    </row>
    <row r="79" spans="2:6" ht="15" hidden="1" customHeight="1" x14ac:dyDescent="0.25">
      <c r="B79" s="1"/>
      <c r="C79" s="113" t="s">
        <v>25</v>
      </c>
      <c r="D79" s="113"/>
      <c r="E79" s="113"/>
      <c r="F79" s="2"/>
    </row>
    <row r="80" spans="2:6" ht="15" hidden="1" customHeight="1" x14ac:dyDescent="0.25">
      <c r="B80" s="1"/>
      <c r="C80" s="94"/>
      <c r="D80" s="94"/>
      <c r="E80" s="94"/>
      <c r="F80" s="2"/>
    </row>
    <row r="81" spans="2:6" ht="15" hidden="1" customHeight="1" x14ac:dyDescent="0.25">
      <c r="B81" s="1"/>
      <c r="C81" s="94"/>
      <c r="D81" s="94"/>
      <c r="E81" s="94"/>
      <c r="F81" s="2"/>
    </row>
    <row r="82" spans="2:6" ht="15" hidden="1" customHeight="1" x14ac:dyDescent="0.25">
      <c r="B82" s="1"/>
      <c r="C82" s="94"/>
      <c r="D82" s="94"/>
      <c r="E82" s="94"/>
      <c r="F82" s="2"/>
    </row>
    <row r="83" spans="2:6" ht="15" hidden="1" customHeight="1" x14ac:dyDescent="0.25">
      <c r="B83" s="1"/>
      <c r="C83" s="94"/>
      <c r="D83" s="94"/>
      <c r="E83" s="94"/>
      <c r="F83" s="2"/>
    </row>
    <row r="84" spans="2:6" ht="15" hidden="1" customHeight="1" x14ac:dyDescent="0.25">
      <c r="B84" s="1"/>
      <c r="C84" s="94"/>
      <c r="D84" s="94"/>
      <c r="E84" s="94"/>
      <c r="F84" s="2"/>
    </row>
    <row r="85" spans="2:6" ht="15" hidden="1" customHeight="1" x14ac:dyDescent="0.25">
      <c r="B85" s="1"/>
      <c r="C85" s="113" t="s">
        <v>26</v>
      </c>
      <c r="D85" s="113"/>
      <c r="E85" s="113"/>
      <c r="F85" s="2"/>
    </row>
    <row r="86" spans="2:6" ht="15" hidden="1" customHeight="1" x14ac:dyDescent="0.25">
      <c r="B86" s="1"/>
      <c r="C86" s="94"/>
      <c r="D86" s="94"/>
      <c r="E86" s="94"/>
      <c r="F86" s="2"/>
    </row>
    <row r="87" spans="2:6" ht="15" hidden="1" customHeight="1" x14ac:dyDescent="0.25">
      <c r="B87" s="1"/>
      <c r="C87" s="94"/>
      <c r="D87" s="94"/>
      <c r="E87" s="94"/>
      <c r="F87" s="2"/>
    </row>
    <row r="88" spans="2:6" ht="15" hidden="1" customHeight="1" x14ac:dyDescent="0.25">
      <c r="B88" s="1"/>
      <c r="C88" s="94"/>
      <c r="D88" s="94"/>
      <c r="E88" s="94"/>
      <c r="F88" s="2"/>
    </row>
    <row r="89" spans="2:6" ht="15" hidden="1" customHeight="1" x14ac:dyDescent="0.25">
      <c r="B89" s="1"/>
      <c r="C89" s="94"/>
      <c r="D89" s="94"/>
      <c r="E89" s="94"/>
      <c r="F89" s="2"/>
    </row>
    <row r="90" spans="2:6" ht="15" hidden="1" customHeight="1" x14ac:dyDescent="0.25">
      <c r="B90" s="1"/>
      <c r="C90" s="94"/>
      <c r="D90" s="94"/>
      <c r="E90" s="94"/>
      <c r="F90" s="2"/>
    </row>
    <row r="91" spans="2:6" ht="15" hidden="1" customHeight="1" x14ac:dyDescent="0.25">
      <c r="B91" s="1"/>
      <c r="C91" s="94"/>
      <c r="D91" s="94"/>
      <c r="E91" s="94"/>
      <c r="F91" s="2"/>
    </row>
    <row r="92" spans="2:6" ht="15" hidden="1" customHeight="1" x14ac:dyDescent="0.25">
      <c r="B92" s="1"/>
      <c r="C92" s="113" t="s">
        <v>27</v>
      </c>
      <c r="D92" s="113"/>
      <c r="E92" s="113"/>
      <c r="F92" s="2"/>
    </row>
    <row r="93" spans="2:6" ht="15" hidden="1" customHeight="1" x14ac:dyDescent="0.25">
      <c r="B93" s="1"/>
      <c r="C93" s="18"/>
      <c r="D93" s="94"/>
      <c r="E93" s="94"/>
      <c r="F93" s="2"/>
    </row>
    <row r="94" spans="2:6" ht="15" hidden="1" customHeight="1" x14ac:dyDescent="0.25">
      <c r="B94" s="1"/>
      <c r="C94" s="94"/>
      <c r="D94" s="94"/>
      <c r="E94" s="94"/>
      <c r="F94" s="2"/>
    </row>
    <row r="95" spans="2:6" ht="15" hidden="1" customHeight="1" x14ac:dyDescent="0.25">
      <c r="B95" s="1"/>
      <c r="C95" s="113" t="s">
        <v>28</v>
      </c>
      <c r="D95" s="113"/>
      <c r="E95" s="113"/>
      <c r="F95" s="2"/>
    </row>
    <row r="96" spans="2:6" ht="15" hidden="1" customHeight="1" x14ac:dyDescent="0.25">
      <c r="B96" s="1"/>
      <c r="C96" s="19"/>
      <c r="D96" s="94"/>
      <c r="E96" s="94"/>
      <c r="F96" s="2"/>
    </row>
    <row r="97" spans="2:6" ht="15" hidden="1" customHeight="1" x14ac:dyDescent="0.25">
      <c r="B97" s="1"/>
      <c r="C97" s="94"/>
      <c r="D97" s="94"/>
      <c r="E97" s="94"/>
      <c r="F97" s="2"/>
    </row>
    <row r="98" spans="2:6" ht="15" hidden="1" customHeight="1" x14ac:dyDescent="0.25">
      <c r="B98" s="1"/>
      <c r="C98" s="113" t="s">
        <v>29</v>
      </c>
      <c r="D98" s="113"/>
      <c r="E98" s="113"/>
      <c r="F98" s="2"/>
    </row>
    <row r="99" spans="2:6" ht="15" hidden="1" customHeight="1" x14ac:dyDescent="0.25">
      <c r="B99" s="1"/>
      <c r="C99" s="19"/>
      <c r="D99" s="94"/>
      <c r="E99" s="94"/>
      <c r="F99" s="2"/>
    </row>
    <row r="100" spans="2:6" ht="15" hidden="1" customHeight="1" x14ac:dyDescent="0.25">
      <c r="B100" s="1"/>
      <c r="C100" s="94"/>
      <c r="D100" s="94"/>
      <c r="E100" s="94"/>
      <c r="F100" s="2"/>
    </row>
    <row r="101" spans="2:6" ht="20.100000000000001" hidden="1" customHeight="1" x14ac:dyDescent="0.25">
      <c r="B101" s="10"/>
      <c r="C101" s="118" t="s">
        <v>33</v>
      </c>
      <c r="D101" s="118"/>
      <c r="E101" s="118"/>
      <c r="F101" s="11"/>
    </row>
    <row r="102" spans="2:6" ht="15" hidden="1" customHeight="1" x14ac:dyDescent="0.25">
      <c r="B102" s="1"/>
      <c r="C102" s="94"/>
      <c r="D102" s="94"/>
      <c r="E102" s="94"/>
      <c r="F102" s="2"/>
    </row>
    <row r="103" spans="2:6" ht="15" hidden="1" customHeight="1" x14ac:dyDescent="0.25">
      <c r="B103" s="1"/>
      <c r="C103" s="113" t="s">
        <v>25</v>
      </c>
      <c r="D103" s="113"/>
      <c r="E103" s="113"/>
      <c r="F103" s="2"/>
    </row>
    <row r="104" spans="2:6" ht="15" hidden="1" customHeight="1" x14ac:dyDescent="0.25">
      <c r="B104" s="1"/>
      <c r="C104" s="94"/>
      <c r="D104" s="94"/>
      <c r="E104" s="94"/>
      <c r="F104" s="2"/>
    </row>
    <row r="105" spans="2:6" ht="15" hidden="1" customHeight="1" x14ac:dyDescent="0.25">
      <c r="B105" s="1"/>
      <c r="C105" s="94"/>
      <c r="D105" s="94"/>
      <c r="E105" s="94"/>
      <c r="F105" s="2"/>
    </row>
    <row r="106" spans="2:6" ht="15" hidden="1" customHeight="1" x14ac:dyDescent="0.25">
      <c r="B106" s="1"/>
      <c r="C106" s="94"/>
      <c r="D106" s="94"/>
      <c r="E106" s="94"/>
      <c r="F106" s="2"/>
    </row>
    <row r="107" spans="2:6" ht="15" hidden="1" customHeight="1" x14ac:dyDescent="0.25">
      <c r="B107" s="1"/>
      <c r="C107" s="94"/>
      <c r="D107" s="94"/>
      <c r="E107" s="94"/>
      <c r="F107" s="2"/>
    </row>
    <row r="108" spans="2:6" ht="15" hidden="1" customHeight="1" x14ac:dyDescent="0.25">
      <c r="B108" s="1"/>
      <c r="C108" s="94"/>
      <c r="D108" s="94"/>
      <c r="E108" s="94"/>
      <c r="F108" s="2"/>
    </row>
    <row r="109" spans="2:6" ht="15" hidden="1" customHeight="1" x14ac:dyDescent="0.25">
      <c r="B109" s="1"/>
      <c r="C109" s="113" t="s">
        <v>26</v>
      </c>
      <c r="D109" s="113"/>
      <c r="E109" s="113"/>
      <c r="F109" s="2"/>
    </row>
    <row r="110" spans="2:6" ht="15" hidden="1" customHeight="1" x14ac:dyDescent="0.25">
      <c r="B110" s="1"/>
      <c r="C110" s="94"/>
      <c r="D110" s="94"/>
      <c r="E110" s="94"/>
      <c r="F110" s="2"/>
    </row>
    <row r="111" spans="2:6" ht="15" hidden="1" customHeight="1" x14ac:dyDescent="0.25">
      <c r="B111" s="1"/>
      <c r="C111" s="94"/>
      <c r="D111" s="94"/>
      <c r="E111" s="94"/>
      <c r="F111" s="2"/>
    </row>
    <row r="112" spans="2:6" ht="15" hidden="1" customHeight="1" x14ac:dyDescent="0.25">
      <c r="B112" s="1"/>
      <c r="C112" s="94"/>
      <c r="D112" s="94"/>
      <c r="E112" s="94"/>
      <c r="F112" s="2"/>
    </row>
    <row r="113" spans="2:6" ht="15" hidden="1" customHeight="1" x14ac:dyDescent="0.25">
      <c r="B113" s="1"/>
      <c r="C113" s="94"/>
      <c r="D113" s="94"/>
      <c r="E113" s="94"/>
      <c r="F113" s="2"/>
    </row>
    <row r="114" spans="2:6" ht="15" hidden="1" customHeight="1" x14ac:dyDescent="0.25">
      <c r="B114" s="1"/>
      <c r="C114" s="94"/>
      <c r="D114" s="94"/>
      <c r="E114" s="94"/>
      <c r="F114" s="2"/>
    </row>
    <row r="115" spans="2:6" ht="15" hidden="1" customHeight="1" x14ac:dyDescent="0.25">
      <c r="B115" s="1"/>
      <c r="C115" s="94"/>
      <c r="D115" s="94"/>
      <c r="E115" s="94"/>
      <c r="F115" s="2"/>
    </row>
    <row r="116" spans="2:6" ht="15" hidden="1" customHeight="1" x14ac:dyDescent="0.25">
      <c r="B116" s="1"/>
      <c r="C116" s="113" t="s">
        <v>27</v>
      </c>
      <c r="D116" s="113"/>
      <c r="E116" s="113"/>
      <c r="F116" s="2"/>
    </row>
    <row r="117" spans="2:6" ht="15" hidden="1" customHeight="1" x14ac:dyDescent="0.25">
      <c r="B117" s="1"/>
      <c r="C117" s="18"/>
      <c r="D117" s="94"/>
      <c r="E117" s="94"/>
      <c r="F117" s="2"/>
    </row>
    <row r="118" spans="2:6" ht="15" hidden="1" customHeight="1" x14ac:dyDescent="0.25">
      <c r="B118" s="1"/>
      <c r="C118" s="94"/>
      <c r="D118" s="94"/>
      <c r="E118" s="94"/>
      <c r="F118" s="2"/>
    </row>
    <row r="119" spans="2:6" ht="15" hidden="1" customHeight="1" x14ac:dyDescent="0.25">
      <c r="B119" s="1"/>
      <c r="C119" s="113" t="s">
        <v>28</v>
      </c>
      <c r="D119" s="113"/>
      <c r="E119" s="113"/>
      <c r="F119" s="2"/>
    </row>
    <row r="120" spans="2:6" ht="15" hidden="1" customHeight="1" x14ac:dyDescent="0.25">
      <c r="B120" s="1"/>
      <c r="C120" s="19"/>
      <c r="D120" s="94"/>
      <c r="E120" s="94"/>
      <c r="F120" s="2"/>
    </row>
    <row r="121" spans="2:6" ht="15" hidden="1" customHeight="1" x14ac:dyDescent="0.25">
      <c r="B121" s="1"/>
      <c r="C121" s="94"/>
      <c r="D121" s="94"/>
      <c r="E121" s="94"/>
      <c r="F121" s="2"/>
    </row>
    <row r="122" spans="2:6" ht="15" hidden="1" customHeight="1" x14ac:dyDescent="0.25">
      <c r="B122" s="1"/>
      <c r="C122" s="113" t="s">
        <v>29</v>
      </c>
      <c r="D122" s="113"/>
      <c r="E122" s="113"/>
      <c r="F122" s="2"/>
    </row>
    <row r="123" spans="2:6" ht="15" hidden="1" customHeight="1" x14ac:dyDescent="0.25">
      <c r="B123" s="1"/>
      <c r="C123" s="19"/>
      <c r="D123" s="94"/>
      <c r="E123" s="94"/>
      <c r="F123" s="2"/>
    </row>
    <row r="124" spans="2:6" ht="15" hidden="1" customHeight="1" x14ac:dyDescent="0.25">
      <c r="B124" s="1"/>
      <c r="C124" s="94"/>
      <c r="D124" s="94"/>
      <c r="E124" s="94"/>
      <c r="F124" s="2"/>
    </row>
    <row r="125" spans="2:6" ht="15" customHeight="1" x14ac:dyDescent="0.25">
      <c r="B125" s="1"/>
      <c r="C125" s="107"/>
      <c r="D125" s="94"/>
      <c r="E125" s="94"/>
      <c r="F125" s="2"/>
    </row>
    <row r="126" spans="2:6" ht="15" customHeight="1" x14ac:dyDescent="0.25">
      <c r="B126" s="1"/>
      <c r="C126" s="94"/>
      <c r="D126" s="94"/>
      <c r="E126" s="94"/>
      <c r="F126" s="2"/>
    </row>
    <row r="127" spans="2:6" ht="15" customHeight="1" x14ac:dyDescent="0.25">
      <c r="B127" s="3"/>
      <c r="C127" s="13">
        <f>R.Instructions.VersionNumber</f>
        <v>5</v>
      </c>
      <c r="D127" s="4"/>
      <c r="E127" s="14">
        <f>R.Instructions.VersionDate</f>
        <v>45691</v>
      </c>
      <c r="F127" s="5"/>
    </row>
    <row r="129" spans="3:5" ht="15" customHeight="1" x14ac:dyDescent="0.25">
      <c r="C129" s="119" t="str">
        <f>IFERROR(VLOOKUP("Incomplete",Developer!H9:I28,2,FALSE),"Sheet complete.")</f>
        <v>Sheet complete.</v>
      </c>
      <c r="D129" s="119"/>
      <c r="E129" s="119"/>
    </row>
    <row r="130" spans="3:5" ht="15" customHeight="1" x14ac:dyDescent="0.25">
      <c r="C130" s="119"/>
      <c r="D130" s="119"/>
      <c r="E130" s="119"/>
    </row>
    <row r="131" spans="3:5" ht="15" customHeight="1" x14ac:dyDescent="0.25">
      <c r="C131" s="119"/>
      <c r="D131" s="119"/>
      <c r="E131" s="119"/>
    </row>
  </sheetData>
  <sheetProtection algorithmName="SHA-512" hashValue="zJNO06nD+UVBVIbkBtVEWFPs4sFTDLpK9dJ86Bwow4yo1D4ZXegRPif44/LobX9K84SwmitnuR0KpOZDmzjFRw==" saltValue="/brM/j45TQBud5idkKEEqQ==" spinCount="100000" sheet="1" objects="1" scenarios="1" selectLockedCells="1"/>
  <mergeCells count="32">
    <mergeCell ref="C129:E131"/>
    <mergeCell ref="C103:E103"/>
    <mergeCell ref="C109:E109"/>
    <mergeCell ref="C116:E116"/>
    <mergeCell ref="C119:E119"/>
    <mergeCell ref="C122:E122"/>
    <mergeCell ref="C4:E4"/>
    <mergeCell ref="C5:E5"/>
    <mergeCell ref="C29:E29"/>
    <mergeCell ref="C53:E53"/>
    <mergeCell ref="C77:E77"/>
    <mergeCell ref="C47:E47"/>
    <mergeCell ref="C44:E44"/>
    <mergeCell ref="C55:E55"/>
    <mergeCell ref="C61:E61"/>
    <mergeCell ref="C20:E20"/>
    <mergeCell ref="C23:E23"/>
    <mergeCell ref="C31:E31"/>
    <mergeCell ref="C37:E37"/>
    <mergeCell ref="C68:E68"/>
    <mergeCell ref="C71:E71"/>
    <mergeCell ref="C101:E101"/>
    <mergeCell ref="C7:E7"/>
    <mergeCell ref="C13:E13"/>
    <mergeCell ref="C26:E26"/>
    <mergeCell ref="C50:E50"/>
    <mergeCell ref="C74:E74"/>
    <mergeCell ref="C98:E98"/>
    <mergeCell ref="C85:E85"/>
    <mergeCell ref="C92:E92"/>
    <mergeCell ref="C95:E95"/>
    <mergeCell ref="C79:E79"/>
  </mergeCells>
  <conditionalFormatting sqref="C129">
    <cfRule type="cellIs" dxfId="6" priority="1" stopIfTrue="1" operator="equal">
      <formula>"Sheet complete."</formula>
    </cfRule>
  </conditionalFormatting>
  <dataValidations count="1">
    <dataValidation type="list" allowBlank="1" showInputMessage="1" showErrorMessage="1" errorTitle="Product Information" error="The answer to this question must be Yes or No." sqref="C21 C24 C27 C45 C48 C51 C96 C72 C75 C93 C123 C99 C117 C120 C69" xr:uid="{759B73B5-1F0F-44B1-B5E7-B6B2C0CA330F}">
      <formula1>"Yes,No"</formula1>
    </dataValidation>
  </dataValidations>
  <printOptions horizontalCentered="1"/>
  <pageMargins left="0.25" right="0.25" top="0.25" bottom="0.25" header="0" footer="0"/>
  <pageSetup scale="85"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P1C1">
              <controlPr defaultSize="0" autoFill="0" autoLine="0" autoPict="0" macro="[0]!SourceCategory">
                <anchor moveWithCells="1" sizeWithCells="1">
                  <from>
                    <xdr:col>2</xdr:col>
                    <xdr:colOff>0</xdr:colOff>
                    <xdr:row>7</xdr:row>
                    <xdr:rowOff>0</xdr:rowOff>
                  </from>
                  <to>
                    <xdr:col>2</xdr:col>
                    <xdr:colOff>219075</xdr:colOff>
                    <xdr:row>8</xdr:row>
                    <xdr:rowOff>0</xdr:rowOff>
                  </to>
                </anchor>
              </controlPr>
            </control>
          </mc:Choice>
        </mc:AlternateContent>
        <mc:AlternateContent xmlns:mc="http://schemas.openxmlformats.org/markup-compatibility/2006">
          <mc:Choice Requires="x14">
            <control shapeId="3075" r:id="rId5" name="Check Box P1C2">
              <controlPr defaultSize="0" autoFill="0" autoLine="0" autoPict="0" macro="[0]!SourceCategory">
                <anchor moveWithCells="1" sizeWithCells="1">
                  <from>
                    <xdr:col>2</xdr:col>
                    <xdr:colOff>0</xdr:colOff>
                    <xdr:row>8</xdr:row>
                    <xdr:rowOff>0</xdr:rowOff>
                  </from>
                  <to>
                    <xdr:col>2</xdr:col>
                    <xdr:colOff>219075</xdr:colOff>
                    <xdr:row>9</xdr:row>
                    <xdr:rowOff>0</xdr:rowOff>
                  </to>
                </anchor>
              </controlPr>
            </control>
          </mc:Choice>
        </mc:AlternateContent>
        <mc:AlternateContent xmlns:mc="http://schemas.openxmlformats.org/markup-compatibility/2006">
          <mc:Choice Requires="x14">
            <control shapeId="3076" r:id="rId6" name="Check Box P1C3">
              <controlPr defaultSize="0" autoFill="0" autoLine="0" autoPict="0" macro="[0]!SourceCategory">
                <anchor moveWithCells="1" sizeWithCells="1">
                  <from>
                    <xdr:col>2</xdr:col>
                    <xdr:colOff>0</xdr:colOff>
                    <xdr:row>9</xdr:row>
                    <xdr:rowOff>0</xdr:rowOff>
                  </from>
                  <to>
                    <xdr:col>2</xdr:col>
                    <xdr:colOff>219075</xdr:colOff>
                    <xdr:row>10</xdr:row>
                    <xdr:rowOff>0</xdr:rowOff>
                  </to>
                </anchor>
              </controlPr>
            </control>
          </mc:Choice>
        </mc:AlternateContent>
        <mc:AlternateContent xmlns:mc="http://schemas.openxmlformats.org/markup-compatibility/2006">
          <mc:Choice Requires="x14">
            <control shapeId="3077" r:id="rId7" name="Check Box P1C4">
              <controlPr defaultSize="0" autoFill="0" autoLine="0" autoPict="0" macro="[0]!SourceCategory">
                <anchor moveWithCells="1" sizeWithCells="1">
                  <from>
                    <xdr:col>2</xdr:col>
                    <xdr:colOff>0</xdr:colOff>
                    <xdr:row>10</xdr:row>
                    <xdr:rowOff>0</xdr:rowOff>
                  </from>
                  <to>
                    <xdr:col>2</xdr:col>
                    <xdr:colOff>219075</xdr:colOff>
                    <xdr:row>11</xdr:row>
                    <xdr:rowOff>0</xdr:rowOff>
                  </to>
                </anchor>
              </controlPr>
            </control>
          </mc:Choice>
        </mc:AlternateContent>
        <mc:AlternateContent xmlns:mc="http://schemas.openxmlformats.org/markup-compatibility/2006">
          <mc:Choice Requires="x14">
            <control shapeId="3078" r:id="rId8" name="Check Box P1V2">
              <controlPr defaultSize="0" autoFill="0" autoLine="0" autoPict="0" macro="[0]!FuelType">
                <anchor moveWithCells="1" sizeWithCells="1">
                  <from>
                    <xdr:col>2</xdr:col>
                    <xdr:colOff>0</xdr:colOff>
                    <xdr:row>13</xdr:row>
                    <xdr:rowOff>0</xdr:rowOff>
                  </from>
                  <to>
                    <xdr:col>2</xdr:col>
                    <xdr:colOff>219075</xdr:colOff>
                    <xdr:row>14</xdr:row>
                    <xdr:rowOff>0</xdr:rowOff>
                  </to>
                </anchor>
              </controlPr>
            </control>
          </mc:Choice>
        </mc:AlternateContent>
        <mc:AlternateContent xmlns:mc="http://schemas.openxmlformats.org/markup-compatibility/2006">
          <mc:Choice Requires="x14">
            <control shapeId="3079" r:id="rId9" name="Check Box P1V4">
              <controlPr defaultSize="0" autoFill="0" autoLine="0" autoPict="0" macro="[0]!FuelType">
                <anchor moveWithCells="1" sizeWithCells="1">
                  <from>
                    <xdr:col>2</xdr:col>
                    <xdr:colOff>0</xdr:colOff>
                    <xdr:row>15</xdr:row>
                    <xdr:rowOff>0</xdr:rowOff>
                  </from>
                  <to>
                    <xdr:col>2</xdr:col>
                    <xdr:colOff>219075</xdr:colOff>
                    <xdr:row>16</xdr:row>
                    <xdr:rowOff>0</xdr:rowOff>
                  </to>
                </anchor>
              </controlPr>
            </control>
          </mc:Choice>
        </mc:AlternateContent>
        <mc:AlternateContent xmlns:mc="http://schemas.openxmlformats.org/markup-compatibility/2006">
          <mc:Choice Requires="x14">
            <control shapeId="3080" r:id="rId10" name="Check Box P1V3">
              <controlPr defaultSize="0" autoFill="0" autoLine="0" autoPict="0" macro="[0]!FuelType">
                <anchor moveWithCells="1" sizeWithCells="1">
                  <from>
                    <xdr:col>2</xdr:col>
                    <xdr:colOff>0</xdr:colOff>
                    <xdr:row>14</xdr:row>
                    <xdr:rowOff>0</xdr:rowOff>
                  </from>
                  <to>
                    <xdr:col>2</xdr:col>
                    <xdr:colOff>219075</xdr:colOff>
                    <xdr:row>15</xdr:row>
                    <xdr:rowOff>0</xdr:rowOff>
                  </to>
                </anchor>
              </controlPr>
            </control>
          </mc:Choice>
        </mc:AlternateContent>
        <mc:AlternateContent xmlns:mc="http://schemas.openxmlformats.org/markup-compatibility/2006">
          <mc:Choice Requires="x14">
            <control shapeId="3081" r:id="rId11" name="Check Box P1V5">
              <controlPr defaultSize="0" autoFill="0" autoLine="0" autoPict="0" macro="[0]!FuelType">
                <anchor moveWithCells="1" sizeWithCells="1">
                  <from>
                    <xdr:col>2</xdr:col>
                    <xdr:colOff>0</xdr:colOff>
                    <xdr:row>16</xdr:row>
                    <xdr:rowOff>0</xdr:rowOff>
                  </from>
                  <to>
                    <xdr:col>2</xdr:col>
                    <xdr:colOff>219075</xdr:colOff>
                    <xdr:row>17</xdr:row>
                    <xdr:rowOff>0</xdr:rowOff>
                  </to>
                </anchor>
              </controlPr>
            </control>
          </mc:Choice>
        </mc:AlternateContent>
        <mc:AlternateContent xmlns:mc="http://schemas.openxmlformats.org/markup-compatibility/2006">
          <mc:Choice Requires="x14">
            <control shapeId="3082" r:id="rId12" name="Check Box P1V6">
              <controlPr defaultSize="0" autoFill="0" autoLine="0" autoPict="0" macro="[0]!FuelType">
                <anchor moveWithCells="1" sizeWithCells="1">
                  <from>
                    <xdr:col>2</xdr:col>
                    <xdr:colOff>0</xdr:colOff>
                    <xdr:row>17</xdr:row>
                    <xdr:rowOff>0</xdr:rowOff>
                  </from>
                  <to>
                    <xdr:col>2</xdr:col>
                    <xdr:colOff>219075</xdr:colOff>
                    <xdr:row>18</xdr:row>
                    <xdr:rowOff>0</xdr:rowOff>
                  </to>
                </anchor>
              </controlPr>
            </control>
          </mc:Choice>
        </mc:AlternateContent>
        <mc:AlternateContent xmlns:mc="http://schemas.openxmlformats.org/markup-compatibility/2006">
          <mc:Choice Requires="x14">
            <control shapeId="3083" r:id="rId13" name="Check Box P2aC1">
              <controlPr defaultSize="0" autoFill="0" autoLine="0" autoPict="0" macro="[0]!SourceCategory">
                <anchor moveWithCells="1" sizeWithCells="1">
                  <from>
                    <xdr:col>2</xdr:col>
                    <xdr:colOff>0</xdr:colOff>
                    <xdr:row>31</xdr:row>
                    <xdr:rowOff>0</xdr:rowOff>
                  </from>
                  <to>
                    <xdr:col>2</xdr:col>
                    <xdr:colOff>219075</xdr:colOff>
                    <xdr:row>32</xdr:row>
                    <xdr:rowOff>0</xdr:rowOff>
                  </to>
                </anchor>
              </controlPr>
            </control>
          </mc:Choice>
        </mc:AlternateContent>
        <mc:AlternateContent xmlns:mc="http://schemas.openxmlformats.org/markup-compatibility/2006">
          <mc:Choice Requires="x14">
            <control shapeId="3084" r:id="rId14" name="Check Box P2bC1">
              <controlPr defaultSize="0" autoFill="0" autoLine="0" autoPict="0" macro="[0]!SourceCategory">
                <anchor moveWithCells="1" sizeWithCells="1">
                  <from>
                    <xdr:col>2</xdr:col>
                    <xdr:colOff>0</xdr:colOff>
                    <xdr:row>55</xdr:row>
                    <xdr:rowOff>0</xdr:rowOff>
                  </from>
                  <to>
                    <xdr:col>2</xdr:col>
                    <xdr:colOff>219075</xdr:colOff>
                    <xdr:row>56</xdr:row>
                    <xdr:rowOff>0</xdr:rowOff>
                  </to>
                </anchor>
              </controlPr>
            </control>
          </mc:Choice>
        </mc:AlternateContent>
        <mc:AlternateContent xmlns:mc="http://schemas.openxmlformats.org/markup-compatibility/2006">
          <mc:Choice Requires="x14">
            <control shapeId="3085" r:id="rId15" name="Check Box P3C1">
              <controlPr defaultSize="0" autoFill="0" autoLine="0" autoPict="0" macro="[0]!SourceCategory">
                <anchor moveWithCells="1" sizeWithCells="1">
                  <from>
                    <xdr:col>2</xdr:col>
                    <xdr:colOff>0</xdr:colOff>
                    <xdr:row>79</xdr:row>
                    <xdr:rowOff>0</xdr:rowOff>
                  </from>
                  <to>
                    <xdr:col>2</xdr:col>
                    <xdr:colOff>219075</xdr:colOff>
                    <xdr:row>80</xdr:row>
                    <xdr:rowOff>0</xdr:rowOff>
                  </to>
                </anchor>
              </controlPr>
            </control>
          </mc:Choice>
        </mc:AlternateContent>
        <mc:AlternateContent xmlns:mc="http://schemas.openxmlformats.org/markup-compatibility/2006">
          <mc:Choice Requires="x14">
            <control shapeId="3086" r:id="rId16" name="Check Box P4C1">
              <controlPr defaultSize="0" autoFill="0" autoLine="0" autoPict="0" macro="[0]!SourceCategory">
                <anchor moveWithCells="1" sizeWithCells="1">
                  <from>
                    <xdr:col>2</xdr:col>
                    <xdr:colOff>0</xdr:colOff>
                    <xdr:row>103</xdr:row>
                    <xdr:rowOff>0</xdr:rowOff>
                  </from>
                  <to>
                    <xdr:col>2</xdr:col>
                    <xdr:colOff>219075</xdr:colOff>
                    <xdr:row>104</xdr:row>
                    <xdr:rowOff>0</xdr:rowOff>
                  </to>
                </anchor>
              </controlPr>
            </control>
          </mc:Choice>
        </mc:AlternateContent>
        <mc:AlternateContent xmlns:mc="http://schemas.openxmlformats.org/markup-compatibility/2006">
          <mc:Choice Requires="x14">
            <control shapeId="3101" r:id="rId17" name="Check Box P2aV2">
              <controlPr defaultSize="0" autoFill="0" autoLine="0" autoPict="0" macro="[0]!FuelType">
                <anchor moveWithCells="1" sizeWithCells="1">
                  <from>
                    <xdr:col>2</xdr:col>
                    <xdr:colOff>0</xdr:colOff>
                    <xdr:row>37</xdr:row>
                    <xdr:rowOff>0</xdr:rowOff>
                  </from>
                  <to>
                    <xdr:col>2</xdr:col>
                    <xdr:colOff>219075</xdr:colOff>
                    <xdr:row>38</xdr:row>
                    <xdr:rowOff>0</xdr:rowOff>
                  </to>
                </anchor>
              </controlPr>
            </control>
          </mc:Choice>
        </mc:AlternateContent>
        <mc:AlternateContent xmlns:mc="http://schemas.openxmlformats.org/markup-compatibility/2006">
          <mc:Choice Requires="x14">
            <control shapeId="3102" r:id="rId18" name="Check Box P2bV2">
              <controlPr defaultSize="0" autoFill="0" autoLine="0" autoPict="0" macro="[0]!FuelType">
                <anchor moveWithCells="1" sizeWithCells="1">
                  <from>
                    <xdr:col>2</xdr:col>
                    <xdr:colOff>0</xdr:colOff>
                    <xdr:row>61</xdr:row>
                    <xdr:rowOff>0</xdr:rowOff>
                  </from>
                  <to>
                    <xdr:col>2</xdr:col>
                    <xdr:colOff>219075</xdr:colOff>
                    <xdr:row>62</xdr:row>
                    <xdr:rowOff>0</xdr:rowOff>
                  </to>
                </anchor>
              </controlPr>
            </control>
          </mc:Choice>
        </mc:AlternateContent>
        <mc:AlternateContent xmlns:mc="http://schemas.openxmlformats.org/markup-compatibility/2006">
          <mc:Choice Requires="x14">
            <control shapeId="3103" r:id="rId19" name="Check Box P3V2">
              <controlPr defaultSize="0" autoFill="0" autoLine="0" autoPict="0" macro="[0]!FuelType">
                <anchor moveWithCells="1" sizeWithCells="1">
                  <from>
                    <xdr:col>2</xdr:col>
                    <xdr:colOff>0</xdr:colOff>
                    <xdr:row>85</xdr:row>
                    <xdr:rowOff>0</xdr:rowOff>
                  </from>
                  <to>
                    <xdr:col>2</xdr:col>
                    <xdr:colOff>219075</xdr:colOff>
                    <xdr:row>86</xdr:row>
                    <xdr:rowOff>0</xdr:rowOff>
                  </to>
                </anchor>
              </controlPr>
            </control>
          </mc:Choice>
        </mc:AlternateContent>
        <mc:AlternateContent xmlns:mc="http://schemas.openxmlformats.org/markup-compatibility/2006">
          <mc:Choice Requires="x14">
            <control shapeId="3104" r:id="rId20" name="Check Box P4V2">
              <controlPr defaultSize="0" autoFill="0" autoLine="0" autoPict="0" macro="[0]!FuelType">
                <anchor moveWithCells="1" sizeWithCells="1">
                  <from>
                    <xdr:col>2</xdr:col>
                    <xdr:colOff>0</xdr:colOff>
                    <xdr:row>109</xdr:row>
                    <xdr:rowOff>0</xdr:rowOff>
                  </from>
                  <to>
                    <xdr:col>2</xdr:col>
                    <xdr:colOff>219075</xdr:colOff>
                    <xdr:row>110</xdr:row>
                    <xdr:rowOff>0</xdr:rowOff>
                  </to>
                </anchor>
              </controlPr>
            </control>
          </mc:Choice>
        </mc:AlternateContent>
        <mc:AlternateContent xmlns:mc="http://schemas.openxmlformats.org/markup-compatibility/2006">
          <mc:Choice Requires="x14">
            <control shapeId="3117" r:id="rId21" name="Check Box P2aV6">
              <controlPr defaultSize="0" autoFill="0" autoLine="0" autoPict="0" macro="[0]!FuelType">
                <anchor moveWithCells="1" sizeWithCells="1">
                  <from>
                    <xdr:col>2</xdr:col>
                    <xdr:colOff>0</xdr:colOff>
                    <xdr:row>41</xdr:row>
                    <xdr:rowOff>0</xdr:rowOff>
                  </from>
                  <to>
                    <xdr:col>2</xdr:col>
                    <xdr:colOff>219075</xdr:colOff>
                    <xdr:row>42</xdr:row>
                    <xdr:rowOff>0</xdr:rowOff>
                  </to>
                </anchor>
              </controlPr>
            </control>
          </mc:Choice>
        </mc:AlternateContent>
        <mc:AlternateContent xmlns:mc="http://schemas.openxmlformats.org/markup-compatibility/2006">
          <mc:Choice Requires="x14">
            <control shapeId="3118" r:id="rId22" name="Check Box P2bV6">
              <controlPr defaultSize="0" autoFill="0" autoLine="0" autoPict="0" macro="[0]!FuelType">
                <anchor moveWithCells="1" sizeWithCells="1">
                  <from>
                    <xdr:col>2</xdr:col>
                    <xdr:colOff>0</xdr:colOff>
                    <xdr:row>65</xdr:row>
                    <xdr:rowOff>0</xdr:rowOff>
                  </from>
                  <to>
                    <xdr:col>2</xdr:col>
                    <xdr:colOff>219075</xdr:colOff>
                    <xdr:row>66</xdr:row>
                    <xdr:rowOff>0</xdr:rowOff>
                  </to>
                </anchor>
              </controlPr>
            </control>
          </mc:Choice>
        </mc:AlternateContent>
        <mc:AlternateContent xmlns:mc="http://schemas.openxmlformats.org/markup-compatibility/2006">
          <mc:Choice Requires="x14">
            <control shapeId="3119" r:id="rId23" name="Check Box P3V6">
              <controlPr defaultSize="0" autoFill="0" autoLine="0" autoPict="0" macro="[0]!FuelType">
                <anchor moveWithCells="1" sizeWithCells="1">
                  <from>
                    <xdr:col>2</xdr:col>
                    <xdr:colOff>0</xdr:colOff>
                    <xdr:row>89</xdr:row>
                    <xdr:rowOff>0</xdr:rowOff>
                  </from>
                  <to>
                    <xdr:col>2</xdr:col>
                    <xdr:colOff>219075</xdr:colOff>
                    <xdr:row>90</xdr:row>
                    <xdr:rowOff>0</xdr:rowOff>
                  </to>
                </anchor>
              </controlPr>
            </control>
          </mc:Choice>
        </mc:AlternateContent>
        <mc:AlternateContent xmlns:mc="http://schemas.openxmlformats.org/markup-compatibility/2006">
          <mc:Choice Requires="x14">
            <control shapeId="3120" r:id="rId24" name="Check Box P4V6">
              <controlPr defaultSize="0" autoFill="0" autoLine="0" autoPict="0" macro="[0]!FuelType">
                <anchor moveWithCells="1" sizeWithCells="1">
                  <from>
                    <xdr:col>2</xdr:col>
                    <xdr:colOff>0</xdr:colOff>
                    <xdr:row>113</xdr:row>
                    <xdr:rowOff>0</xdr:rowOff>
                  </from>
                  <to>
                    <xdr:col>2</xdr:col>
                    <xdr:colOff>219075</xdr:colOff>
                    <xdr:row>114</xdr:row>
                    <xdr:rowOff>0</xdr:rowOff>
                  </to>
                </anchor>
              </controlPr>
            </control>
          </mc:Choice>
        </mc:AlternateContent>
        <mc:AlternateContent xmlns:mc="http://schemas.openxmlformats.org/markup-compatibility/2006">
          <mc:Choice Requires="x14">
            <control shapeId="3121" r:id="rId25" name="Check Box P2aC2">
              <controlPr defaultSize="0" autoFill="0" autoLine="0" autoPict="0" macro="[0]!SourceCategory">
                <anchor moveWithCells="1" sizeWithCells="1">
                  <from>
                    <xdr:col>2</xdr:col>
                    <xdr:colOff>0</xdr:colOff>
                    <xdr:row>32</xdr:row>
                    <xdr:rowOff>0</xdr:rowOff>
                  </from>
                  <to>
                    <xdr:col>2</xdr:col>
                    <xdr:colOff>219075</xdr:colOff>
                    <xdr:row>33</xdr:row>
                    <xdr:rowOff>0</xdr:rowOff>
                  </to>
                </anchor>
              </controlPr>
            </control>
          </mc:Choice>
        </mc:AlternateContent>
        <mc:AlternateContent xmlns:mc="http://schemas.openxmlformats.org/markup-compatibility/2006">
          <mc:Choice Requires="x14">
            <control shapeId="3122" r:id="rId26" name="Check Box P2bC2">
              <controlPr defaultSize="0" autoFill="0" autoLine="0" autoPict="0" macro="[0]!SourceCategory">
                <anchor moveWithCells="1" sizeWithCells="1">
                  <from>
                    <xdr:col>2</xdr:col>
                    <xdr:colOff>0</xdr:colOff>
                    <xdr:row>56</xdr:row>
                    <xdr:rowOff>0</xdr:rowOff>
                  </from>
                  <to>
                    <xdr:col>2</xdr:col>
                    <xdr:colOff>219075</xdr:colOff>
                    <xdr:row>57</xdr:row>
                    <xdr:rowOff>0</xdr:rowOff>
                  </to>
                </anchor>
              </controlPr>
            </control>
          </mc:Choice>
        </mc:AlternateContent>
        <mc:AlternateContent xmlns:mc="http://schemas.openxmlformats.org/markup-compatibility/2006">
          <mc:Choice Requires="x14">
            <control shapeId="3123" r:id="rId27" name="Check Box P3C2">
              <controlPr defaultSize="0" autoFill="0" autoLine="0" autoPict="0" macro="[0]!SourceCategory">
                <anchor moveWithCells="1" sizeWithCells="1">
                  <from>
                    <xdr:col>2</xdr:col>
                    <xdr:colOff>0</xdr:colOff>
                    <xdr:row>80</xdr:row>
                    <xdr:rowOff>0</xdr:rowOff>
                  </from>
                  <to>
                    <xdr:col>2</xdr:col>
                    <xdr:colOff>219075</xdr:colOff>
                    <xdr:row>81</xdr:row>
                    <xdr:rowOff>0</xdr:rowOff>
                  </to>
                </anchor>
              </controlPr>
            </control>
          </mc:Choice>
        </mc:AlternateContent>
        <mc:AlternateContent xmlns:mc="http://schemas.openxmlformats.org/markup-compatibility/2006">
          <mc:Choice Requires="x14">
            <control shapeId="3124" r:id="rId28" name="Check Box P4C2">
              <controlPr defaultSize="0" autoFill="0" autoLine="0" autoPict="0" macro="[0]!SourceCategory">
                <anchor moveWithCells="1" sizeWithCells="1">
                  <from>
                    <xdr:col>2</xdr:col>
                    <xdr:colOff>0</xdr:colOff>
                    <xdr:row>104</xdr:row>
                    <xdr:rowOff>0</xdr:rowOff>
                  </from>
                  <to>
                    <xdr:col>2</xdr:col>
                    <xdr:colOff>219075</xdr:colOff>
                    <xdr:row>105</xdr:row>
                    <xdr:rowOff>0</xdr:rowOff>
                  </to>
                </anchor>
              </controlPr>
            </control>
          </mc:Choice>
        </mc:AlternateContent>
        <mc:AlternateContent xmlns:mc="http://schemas.openxmlformats.org/markup-compatibility/2006">
          <mc:Choice Requires="x14">
            <control shapeId="3125" r:id="rId29" name="Check Box P2aC3">
              <controlPr defaultSize="0" autoFill="0" autoLine="0" autoPict="0" macro="[0]!SourceCategory">
                <anchor moveWithCells="1" sizeWithCells="1">
                  <from>
                    <xdr:col>2</xdr:col>
                    <xdr:colOff>0</xdr:colOff>
                    <xdr:row>33</xdr:row>
                    <xdr:rowOff>0</xdr:rowOff>
                  </from>
                  <to>
                    <xdr:col>2</xdr:col>
                    <xdr:colOff>219075</xdr:colOff>
                    <xdr:row>34</xdr:row>
                    <xdr:rowOff>0</xdr:rowOff>
                  </to>
                </anchor>
              </controlPr>
            </control>
          </mc:Choice>
        </mc:AlternateContent>
        <mc:AlternateContent xmlns:mc="http://schemas.openxmlformats.org/markup-compatibility/2006">
          <mc:Choice Requires="x14">
            <control shapeId="3126" r:id="rId30" name="Check Box P2bC3">
              <controlPr defaultSize="0" autoFill="0" autoLine="0" autoPict="0" macro="[0]!SourceCategory">
                <anchor moveWithCells="1" sizeWithCells="1">
                  <from>
                    <xdr:col>2</xdr:col>
                    <xdr:colOff>0</xdr:colOff>
                    <xdr:row>57</xdr:row>
                    <xdr:rowOff>0</xdr:rowOff>
                  </from>
                  <to>
                    <xdr:col>2</xdr:col>
                    <xdr:colOff>219075</xdr:colOff>
                    <xdr:row>58</xdr:row>
                    <xdr:rowOff>0</xdr:rowOff>
                  </to>
                </anchor>
              </controlPr>
            </control>
          </mc:Choice>
        </mc:AlternateContent>
        <mc:AlternateContent xmlns:mc="http://schemas.openxmlformats.org/markup-compatibility/2006">
          <mc:Choice Requires="x14">
            <control shapeId="3127" r:id="rId31" name="Check Box P3C3">
              <controlPr defaultSize="0" autoFill="0" autoLine="0" autoPict="0" macro="[0]!SourceCategory">
                <anchor moveWithCells="1" sizeWithCells="1">
                  <from>
                    <xdr:col>2</xdr:col>
                    <xdr:colOff>0</xdr:colOff>
                    <xdr:row>81</xdr:row>
                    <xdr:rowOff>0</xdr:rowOff>
                  </from>
                  <to>
                    <xdr:col>2</xdr:col>
                    <xdr:colOff>219075</xdr:colOff>
                    <xdr:row>82</xdr:row>
                    <xdr:rowOff>0</xdr:rowOff>
                  </to>
                </anchor>
              </controlPr>
            </control>
          </mc:Choice>
        </mc:AlternateContent>
        <mc:AlternateContent xmlns:mc="http://schemas.openxmlformats.org/markup-compatibility/2006">
          <mc:Choice Requires="x14">
            <control shapeId="3128" r:id="rId32" name="Check Box P4C3">
              <controlPr defaultSize="0" autoFill="0" autoLine="0" autoPict="0" macro="[0]!SourceCategory">
                <anchor moveWithCells="1" sizeWithCells="1">
                  <from>
                    <xdr:col>2</xdr:col>
                    <xdr:colOff>0</xdr:colOff>
                    <xdr:row>105</xdr:row>
                    <xdr:rowOff>0</xdr:rowOff>
                  </from>
                  <to>
                    <xdr:col>2</xdr:col>
                    <xdr:colOff>219075</xdr:colOff>
                    <xdr:row>106</xdr:row>
                    <xdr:rowOff>0</xdr:rowOff>
                  </to>
                </anchor>
              </controlPr>
            </control>
          </mc:Choice>
        </mc:AlternateContent>
        <mc:AlternateContent xmlns:mc="http://schemas.openxmlformats.org/markup-compatibility/2006">
          <mc:Choice Requires="x14">
            <control shapeId="3133" r:id="rId33" name="Check Box P2aV4">
              <controlPr defaultSize="0" autoFill="0" autoLine="0" autoPict="0" macro="[0]!FuelType">
                <anchor moveWithCells="1" sizeWithCells="1">
                  <from>
                    <xdr:col>2</xdr:col>
                    <xdr:colOff>0</xdr:colOff>
                    <xdr:row>39</xdr:row>
                    <xdr:rowOff>0</xdr:rowOff>
                  </from>
                  <to>
                    <xdr:col>2</xdr:col>
                    <xdr:colOff>219075</xdr:colOff>
                    <xdr:row>40</xdr:row>
                    <xdr:rowOff>0</xdr:rowOff>
                  </to>
                </anchor>
              </controlPr>
            </control>
          </mc:Choice>
        </mc:AlternateContent>
        <mc:AlternateContent xmlns:mc="http://schemas.openxmlformats.org/markup-compatibility/2006">
          <mc:Choice Requires="x14">
            <control shapeId="3134" r:id="rId34" name="Check Box P2bV4">
              <controlPr defaultSize="0" autoFill="0" autoLine="0" autoPict="0" macro="[0]!FuelType">
                <anchor moveWithCells="1" sizeWithCells="1">
                  <from>
                    <xdr:col>2</xdr:col>
                    <xdr:colOff>0</xdr:colOff>
                    <xdr:row>63</xdr:row>
                    <xdr:rowOff>0</xdr:rowOff>
                  </from>
                  <to>
                    <xdr:col>2</xdr:col>
                    <xdr:colOff>219075</xdr:colOff>
                    <xdr:row>64</xdr:row>
                    <xdr:rowOff>0</xdr:rowOff>
                  </to>
                </anchor>
              </controlPr>
            </control>
          </mc:Choice>
        </mc:AlternateContent>
        <mc:AlternateContent xmlns:mc="http://schemas.openxmlformats.org/markup-compatibility/2006">
          <mc:Choice Requires="x14">
            <control shapeId="3135" r:id="rId35" name="Check Box P3V4">
              <controlPr defaultSize="0" autoFill="0" autoLine="0" autoPict="0" macro="[0]!FuelType">
                <anchor moveWithCells="1" sizeWithCells="1">
                  <from>
                    <xdr:col>2</xdr:col>
                    <xdr:colOff>0</xdr:colOff>
                    <xdr:row>87</xdr:row>
                    <xdr:rowOff>0</xdr:rowOff>
                  </from>
                  <to>
                    <xdr:col>2</xdr:col>
                    <xdr:colOff>219075</xdr:colOff>
                    <xdr:row>88</xdr:row>
                    <xdr:rowOff>0</xdr:rowOff>
                  </to>
                </anchor>
              </controlPr>
            </control>
          </mc:Choice>
        </mc:AlternateContent>
        <mc:AlternateContent xmlns:mc="http://schemas.openxmlformats.org/markup-compatibility/2006">
          <mc:Choice Requires="x14">
            <control shapeId="3136" r:id="rId36" name="Check Box P4V4">
              <controlPr defaultSize="0" autoFill="0" autoLine="0" autoPict="0" macro="[0]!FuelType">
                <anchor moveWithCells="1" sizeWithCells="1">
                  <from>
                    <xdr:col>2</xdr:col>
                    <xdr:colOff>0</xdr:colOff>
                    <xdr:row>111</xdr:row>
                    <xdr:rowOff>0</xdr:rowOff>
                  </from>
                  <to>
                    <xdr:col>2</xdr:col>
                    <xdr:colOff>219075</xdr:colOff>
                    <xdr:row>112</xdr:row>
                    <xdr:rowOff>0</xdr:rowOff>
                  </to>
                </anchor>
              </controlPr>
            </control>
          </mc:Choice>
        </mc:AlternateContent>
        <mc:AlternateContent xmlns:mc="http://schemas.openxmlformats.org/markup-compatibility/2006">
          <mc:Choice Requires="x14">
            <control shapeId="3141" r:id="rId37" name="Check Box P2aV5">
              <controlPr defaultSize="0" autoFill="0" autoLine="0" autoPict="0" macro="[0]!FuelType">
                <anchor moveWithCells="1" sizeWithCells="1">
                  <from>
                    <xdr:col>2</xdr:col>
                    <xdr:colOff>0</xdr:colOff>
                    <xdr:row>40</xdr:row>
                    <xdr:rowOff>0</xdr:rowOff>
                  </from>
                  <to>
                    <xdr:col>2</xdr:col>
                    <xdr:colOff>219075</xdr:colOff>
                    <xdr:row>41</xdr:row>
                    <xdr:rowOff>0</xdr:rowOff>
                  </to>
                </anchor>
              </controlPr>
            </control>
          </mc:Choice>
        </mc:AlternateContent>
        <mc:AlternateContent xmlns:mc="http://schemas.openxmlformats.org/markup-compatibility/2006">
          <mc:Choice Requires="x14">
            <control shapeId="3142" r:id="rId38" name="Check Box P2bV5">
              <controlPr defaultSize="0" autoFill="0" autoLine="0" autoPict="0" macro="[0]!FuelType">
                <anchor moveWithCells="1" sizeWithCells="1">
                  <from>
                    <xdr:col>2</xdr:col>
                    <xdr:colOff>0</xdr:colOff>
                    <xdr:row>64</xdr:row>
                    <xdr:rowOff>0</xdr:rowOff>
                  </from>
                  <to>
                    <xdr:col>2</xdr:col>
                    <xdr:colOff>219075</xdr:colOff>
                    <xdr:row>65</xdr:row>
                    <xdr:rowOff>0</xdr:rowOff>
                  </to>
                </anchor>
              </controlPr>
            </control>
          </mc:Choice>
        </mc:AlternateContent>
        <mc:AlternateContent xmlns:mc="http://schemas.openxmlformats.org/markup-compatibility/2006">
          <mc:Choice Requires="x14">
            <control shapeId="3143" r:id="rId39" name="Check Box P3V5">
              <controlPr defaultSize="0" autoFill="0" autoLine="0" autoPict="0" macro="[0]!FuelType">
                <anchor moveWithCells="1" sizeWithCells="1">
                  <from>
                    <xdr:col>2</xdr:col>
                    <xdr:colOff>0</xdr:colOff>
                    <xdr:row>88</xdr:row>
                    <xdr:rowOff>0</xdr:rowOff>
                  </from>
                  <to>
                    <xdr:col>2</xdr:col>
                    <xdr:colOff>219075</xdr:colOff>
                    <xdr:row>89</xdr:row>
                    <xdr:rowOff>0</xdr:rowOff>
                  </to>
                </anchor>
              </controlPr>
            </control>
          </mc:Choice>
        </mc:AlternateContent>
        <mc:AlternateContent xmlns:mc="http://schemas.openxmlformats.org/markup-compatibility/2006">
          <mc:Choice Requires="x14">
            <control shapeId="3144" r:id="rId40" name="Check Box P4V5">
              <controlPr defaultSize="0" autoFill="0" autoLine="0" autoPict="0" macro="[0]!FuelType">
                <anchor moveWithCells="1" sizeWithCells="1">
                  <from>
                    <xdr:col>2</xdr:col>
                    <xdr:colOff>0</xdr:colOff>
                    <xdr:row>112</xdr:row>
                    <xdr:rowOff>0</xdr:rowOff>
                  </from>
                  <to>
                    <xdr:col>2</xdr:col>
                    <xdr:colOff>219075</xdr:colOff>
                    <xdr:row>113</xdr:row>
                    <xdr:rowOff>0</xdr:rowOff>
                  </to>
                </anchor>
              </controlPr>
            </control>
          </mc:Choice>
        </mc:AlternateContent>
        <mc:AlternateContent xmlns:mc="http://schemas.openxmlformats.org/markup-compatibility/2006">
          <mc:Choice Requires="x14">
            <control shapeId="3145" r:id="rId41" name="Check Box P2aC4">
              <controlPr defaultSize="0" autoFill="0" autoLine="0" autoPict="0" macro="[0]!SourceCategory">
                <anchor moveWithCells="1" sizeWithCells="1">
                  <from>
                    <xdr:col>2</xdr:col>
                    <xdr:colOff>0</xdr:colOff>
                    <xdr:row>34</xdr:row>
                    <xdr:rowOff>0</xdr:rowOff>
                  </from>
                  <to>
                    <xdr:col>2</xdr:col>
                    <xdr:colOff>219075</xdr:colOff>
                    <xdr:row>35</xdr:row>
                    <xdr:rowOff>0</xdr:rowOff>
                  </to>
                </anchor>
              </controlPr>
            </control>
          </mc:Choice>
        </mc:AlternateContent>
        <mc:AlternateContent xmlns:mc="http://schemas.openxmlformats.org/markup-compatibility/2006">
          <mc:Choice Requires="x14">
            <control shapeId="3146" r:id="rId42" name="Check Box P2bC4">
              <controlPr defaultSize="0" autoFill="0" autoLine="0" autoPict="0" macro="[0]!SourceCategory">
                <anchor moveWithCells="1" sizeWithCells="1">
                  <from>
                    <xdr:col>2</xdr:col>
                    <xdr:colOff>0</xdr:colOff>
                    <xdr:row>58</xdr:row>
                    <xdr:rowOff>0</xdr:rowOff>
                  </from>
                  <to>
                    <xdr:col>2</xdr:col>
                    <xdr:colOff>219075</xdr:colOff>
                    <xdr:row>59</xdr:row>
                    <xdr:rowOff>0</xdr:rowOff>
                  </to>
                </anchor>
              </controlPr>
            </control>
          </mc:Choice>
        </mc:AlternateContent>
        <mc:AlternateContent xmlns:mc="http://schemas.openxmlformats.org/markup-compatibility/2006">
          <mc:Choice Requires="x14">
            <control shapeId="3147" r:id="rId43" name="Check Box P3C4">
              <controlPr defaultSize="0" autoFill="0" autoLine="0" autoPict="0" macro="[0]!SourceCategory">
                <anchor moveWithCells="1" sizeWithCells="1">
                  <from>
                    <xdr:col>2</xdr:col>
                    <xdr:colOff>0</xdr:colOff>
                    <xdr:row>82</xdr:row>
                    <xdr:rowOff>0</xdr:rowOff>
                  </from>
                  <to>
                    <xdr:col>2</xdr:col>
                    <xdr:colOff>219075</xdr:colOff>
                    <xdr:row>83</xdr:row>
                    <xdr:rowOff>0</xdr:rowOff>
                  </to>
                </anchor>
              </controlPr>
            </control>
          </mc:Choice>
        </mc:AlternateContent>
        <mc:AlternateContent xmlns:mc="http://schemas.openxmlformats.org/markup-compatibility/2006">
          <mc:Choice Requires="x14">
            <control shapeId="3148" r:id="rId44" name="Check Box P4C4">
              <controlPr defaultSize="0" autoFill="0" autoLine="0" autoPict="0" macro="[0]!SourceCategory">
                <anchor moveWithCells="1" sizeWithCells="1">
                  <from>
                    <xdr:col>2</xdr:col>
                    <xdr:colOff>0</xdr:colOff>
                    <xdr:row>106</xdr:row>
                    <xdr:rowOff>0</xdr:rowOff>
                  </from>
                  <to>
                    <xdr:col>2</xdr:col>
                    <xdr:colOff>219075</xdr:colOff>
                    <xdr:row>107</xdr:row>
                    <xdr:rowOff>0</xdr:rowOff>
                  </to>
                </anchor>
              </controlPr>
            </control>
          </mc:Choice>
        </mc:AlternateContent>
        <mc:AlternateContent xmlns:mc="http://schemas.openxmlformats.org/markup-compatibility/2006">
          <mc:Choice Requires="x14">
            <control shapeId="3149" r:id="rId45" name="Check Box P2aV3">
              <controlPr defaultSize="0" autoFill="0" autoLine="0" autoPict="0" macro="[0]!FuelType">
                <anchor moveWithCells="1" sizeWithCells="1">
                  <from>
                    <xdr:col>2</xdr:col>
                    <xdr:colOff>0</xdr:colOff>
                    <xdr:row>38</xdr:row>
                    <xdr:rowOff>0</xdr:rowOff>
                  </from>
                  <to>
                    <xdr:col>2</xdr:col>
                    <xdr:colOff>219075</xdr:colOff>
                    <xdr:row>39</xdr:row>
                    <xdr:rowOff>0</xdr:rowOff>
                  </to>
                </anchor>
              </controlPr>
            </control>
          </mc:Choice>
        </mc:AlternateContent>
        <mc:AlternateContent xmlns:mc="http://schemas.openxmlformats.org/markup-compatibility/2006">
          <mc:Choice Requires="x14">
            <control shapeId="3150" r:id="rId46" name="Check Box P2bV3">
              <controlPr defaultSize="0" autoFill="0" autoLine="0" autoPict="0" macro="[0]!FuelType">
                <anchor moveWithCells="1" sizeWithCells="1">
                  <from>
                    <xdr:col>2</xdr:col>
                    <xdr:colOff>0</xdr:colOff>
                    <xdr:row>62</xdr:row>
                    <xdr:rowOff>0</xdr:rowOff>
                  </from>
                  <to>
                    <xdr:col>2</xdr:col>
                    <xdr:colOff>219075</xdr:colOff>
                    <xdr:row>63</xdr:row>
                    <xdr:rowOff>0</xdr:rowOff>
                  </to>
                </anchor>
              </controlPr>
            </control>
          </mc:Choice>
        </mc:AlternateContent>
        <mc:AlternateContent xmlns:mc="http://schemas.openxmlformats.org/markup-compatibility/2006">
          <mc:Choice Requires="x14">
            <control shapeId="3151" r:id="rId47" name="Check Box P3V3">
              <controlPr defaultSize="0" autoFill="0" autoLine="0" autoPict="0" macro="[0]!FuelType">
                <anchor moveWithCells="1" sizeWithCells="1">
                  <from>
                    <xdr:col>2</xdr:col>
                    <xdr:colOff>0</xdr:colOff>
                    <xdr:row>86</xdr:row>
                    <xdr:rowOff>0</xdr:rowOff>
                  </from>
                  <to>
                    <xdr:col>2</xdr:col>
                    <xdr:colOff>219075</xdr:colOff>
                    <xdr:row>87</xdr:row>
                    <xdr:rowOff>0</xdr:rowOff>
                  </to>
                </anchor>
              </controlPr>
            </control>
          </mc:Choice>
        </mc:AlternateContent>
        <mc:AlternateContent xmlns:mc="http://schemas.openxmlformats.org/markup-compatibility/2006">
          <mc:Choice Requires="x14">
            <control shapeId="3152" r:id="rId48" name="Check Box P4V3">
              <controlPr defaultSize="0" autoFill="0" autoLine="0" autoPict="0" macro="[0]!FuelType">
                <anchor moveWithCells="1" sizeWithCells="1">
                  <from>
                    <xdr:col>2</xdr:col>
                    <xdr:colOff>0</xdr:colOff>
                    <xdr:row>110</xdr:row>
                    <xdr:rowOff>0</xdr:rowOff>
                  </from>
                  <to>
                    <xdr:col>2</xdr:col>
                    <xdr:colOff>219075</xdr:colOff>
                    <xdr:row>111</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8588C4-E671-4B7A-8F3F-AB68FCFA2A40}">
  <sheetPr codeName="Sheet4">
    <tabColor rgb="FF046A38"/>
    <pageSetUpPr fitToPage="1"/>
  </sheetPr>
  <dimension ref="B1:F301"/>
  <sheetViews>
    <sheetView showGridLines="0" showRowColHeaders="0" zoomScaleNormal="100" workbookViewId="0">
      <selection activeCell="D9" sqref="D9"/>
    </sheetView>
  </sheetViews>
  <sheetFormatPr defaultColWidth="8.7109375" defaultRowHeight="15" customHeight="1" x14ac:dyDescent="0.25"/>
  <cols>
    <col min="1" max="2" width="5.7109375" customWidth="1"/>
    <col min="3" max="5" width="35.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6"/>
      <c r="C4" s="116" t="s">
        <v>34</v>
      </c>
      <c r="D4" s="116"/>
      <c r="E4" s="116"/>
      <c r="F4" s="7"/>
    </row>
    <row r="5" spans="2:6" ht="20.100000000000001" hidden="1" customHeight="1" x14ac:dyDescent="0.25">
      <c r="B5" s="10"/>
      <c r="C5" s="118" t="s">
        <v>24</v>
      </c>
      <c r="D5" s="118"/>
      <c r="E5" s="118"/>
      <c r="F5" s="11"/>
    </row>
    <row r="6" spans="2:6" ht="15" hidden="1" customHeight="1" x14ac:dyDescent="0.25">
      <c r="B6" s="1"/>
      <c r="C6" s="94"/>
      <c r="D6" s="94"/>
      <c r="E6" s="94"/>
      <c r="F6" s="2"/>
    </row>
    <row r="7" spans="2:6" ht="15" hidden="1" customHeight="1" x14ac:dyDescent="0.25">
      <c r="B7" s="1"/>
      <c r="C7" s="94" t="s">
        <v>35</v>
      </c>
      <c r="D7" s="94"/>
      <c r="E7" s="94"/>
      <c r="F7" s="2"/>
    </row>
    <row r="8" spans="2:6" ht="15" hidden="1" customHeight="1" x14ac:dyDescent="0.25">
      <c r="B8" s="1"/>
      <c r="C8" s="97" t="s">
        <v>36</v>
      </c>
      <c r="D8" s="100" t="str">
        <f>IF(I.Facility.ComplianceYear="","Compliance year",I.Facility.ComplianceYear)</f>
        <v>Compliance year</v>
      </c>
      <c r="E8" s="96" t="s">
        <v>37</v>
      </c>
      <c r="F8" s="2"/>
    </row>
    <row r="9" spans="2:6" ht="15" hidden="1" customHeight="1" x14ac:dyDescent="0.25">
      <c r="B9" s="1"/>
      <c r="C9" s="98" t="s">
        <v>38</v>
      </c>
      <c r="D9" s="101"/>
      <c r="E9" s="95" t="s">
        <v>39</v>
      </c>
      <c r="F9" s="2"/>
    </row>
    <row r="10" spans="2:6" ht="15" hidden="1" customHeight="1" x14ac:dyDescent="0.25">
      <c r="B10" s="1"/>
      <c r="C10" s="94"/>
      <c r="D10" s="94"/>
      <c r="E10" s="94"/>
      <c r="F10" s="2"/>
    </row>
    <row r="11" spans="2:6" ht="15" hidden="1" customHeight="1" x14ac:dyDescent="0.25">
      <c r="B11" s="1"/>
      <c r="C11" s="94" t="s">
        <v>40</v>
      </c>
      <c r="D11" s="94"/>
      <c r="E11" s="94"/>
      <c r="F11" s="2"/>
    </row>
    <row r="12" spans="2:6" ht="15" hidden="1" customHeight="1" x14ac:dyDescent="0.25">
      <c r="B12" s="1"/>
      <c r="C12" s="97" t="s">
        <v>36</v>
      </c>
      <c r="D12" s="100" t="str">
        <f>IF(I.Facility.ComplianceYear="","Compliance year",I.Facility.ComplianceYear)</f>
        <v>Compliance year</v>
      </c>
      <c r="E12" s="96" t="s">
        <v>37</v>
      </c>
      <c r="F12" s="2"/>
    </row>
    <row r="13" spans="2:6" ht="15" hidden="1" customHeight="1" x14ac:dyDescent="0.25">
      <c r="B13" s="1"/>
      <c r="C13" s="98" t="s">
        <v>41</v>
      </c>
      <c r="D13" s="101"/>
      <c r="E13" s="104" t="s">
        <v>42</v>
      </c>
      <c r="F13" s="2"/>
    </row>
    <row r="14" spans="2:6" ht="15" hidden="1" customHeight="1" x14ac:dyDescent="0.25">
      <c r="B14" s="1"/>
      <c r="C14" s="98" t="s">
        <v>43</v>
      </c>
      <c r="D14" s="101"/>
      <c r="E14" s="95" t="s">
        <v>44</v>
      </c>
      <c r="F14" s="2"/>
    </row>
    <row r="15" spans="2:6" ht="15" hidden="1" customHeight="1" x14ac:dyDescent="0.25">
      <c r="B15" s="1"/>
      <c r="C15" s="98" t="s">
        <v>45</v>
      </c>
      <c r="D15" s="101"/>
      <c r="E15" s="95" t="s">
        <v>44</v>
      </c>
      <c r="F15" s="2"/>
    </row>
    <row r="16" spans="2:6" ht="15" hidden="1" customHeight="1" x14ac:dyDescent="0.25">
      <c r="B16" s="1"/>
      <c r="C16" s="98" t="s">
        <v>46</v>
      </c>
      <c r="D16" s="101"/>
      <c r="E16" s="95" t="s">
        <v>44</v>
      </c>
      <c r="F16" s="2"/>
    </row>
    <row r="17" spans="2:6" ht="15" hidden="1" customHeight="1" x14ac:dyDescent="0.25">
      <c r="B17" s="1"/>
      <c r="C17" s="98" t="s">
        <v>47</v>
      </c>
      <c r="D17" s="101"/>
      <c r="E17" s="95" t="s">
        <v>44</v>
      </c>
      <c r="F17" s="2"/>
    </row>
    <row r="18" spans="2:6" ht="15" hidden="1" customHeight="1" x14ac:dyDescent="0.25">
      <c r="B18" s="1"/>
      <c r="C18" s="98" t="s">
        <v>48</v>
      </c>
      <c r="D18" s="101"/>
      <c r="E18" s="95" t="s">
        <v>44</v>
      </c>
      <c r="F18" s="2"/>
    </row>
    <row r="19" spans="2:6" ht="15" hidden="1" customHeight="1" x14ac:dyDescent="0.35">
      <c r="B19" s="1"/>
      <c r="C19" s="98" t="s">
        <v>49</v>
      </c>
      <c r="D19" s="101"/>
      <c r="E19" s="104" t="s">
        <v>50</v>
      </c>
      <c r="F19" s="2"/>
    </row>
    <row r="20" spans="2:6" ht="15" hidden="1" customHeight="1" x14ac:dyDescent="0.35">
      <c r="B20" s="1"/>
      <c r="C20" s="98" t="s">
        <v>51</v>
      </c>
      <c r="D20" s="101"/>
      <c r="E20" s="104" t="s">
        <v>52</v>
      </c>
      <c r="F20" s="2"/>
    </row>
    <row r="21" spans="2:6" ht="15" hidden="1" customHeight="1" x14ac:dyDescent="0.35">
      <c r="B21" s="1"/>
      <c r="C21" s="98" t="s">
        <v>53</v>
      </c>
      <c r="D21" s="101"/>
      <c r="E21" s="104" t="s">
        <v>54</v>
      </c>
      <c r="F21" s="2"/>
    </row>
    <row r="22" spans="2:6" ht="15" hidden="1" customHeight="1" x14ac:dyDescent="0.25">
      <c r="B22" s="1"/>
      <c r="C22" s="94"/>
      <c r="D22" s="94"/>
      <c r="E22" s="94"/>
      <c r="F22" s="2"/>
    </row>
    <row r="23" spans="2:6" ht="15" hidden="1" customHeight="1" x14ac:dyDescent="0.25">
      <c r="B23" s="1"/>
      <c r="C23" s="94" t="s">
        <v>55</v>
      </c>
      <c r="D23" s="94"/>
      <c r="E23" s="94"/>
      <c r="F23" s="2"/>
    </row>
    <row r="24" spans="2:6" ht="15" hidden="1" customHeight="1" x14ac:dyDescent="0.25">
      <c r="B24" s="1"/>
      <c r="C24" s="97" t="s">
        <v>36</v>
      </c>
      <c r="D24" s="100" t="str">
        <f>IF(I.Facility.ComplianceYear="","Compliance year",I.Facility.ComplianceYear)</f>
        <v>Compliance year</v>
      </c>
      <c r="E24" s="96" t="s">
        <v>37</v>
      </c>
      <c r="F24" s="2"/>
    </row>
    <row r="25" spans="2:6" ht="15" hidden="1" customHeight="1" x14ac:dyDescent="0.35">
      <c r="B25" s="1"/>
      <c r="C25" s="98" t="s">
        <v>56</v>
      </c>
      <c r="D25" s="101"/>
      <c r="E25" s="104" t="s">
        <v>57</v>
      </c>
      <c r="F25" s="2"/>
    </row>
    <row r="26" spans="2:6" ht="15" hidden="1" customHeight="1" x14ac:dyDescent="0.35">
      <c r="B26" s="1"/>
      <c r="C26" s="98" t="s">
        <v>58</v>
      </c>
      <c r="D26" s="101"/>
      <c r="E26" s="104" t="s">
        <v>59</v>
      </c>
      <c r="F26" s="2"/>
    </row>
    <row r="27" spans="2:6" ht="15" hidden="1" customHeight="1" x14ac:dyDescent="0.35">
      <c r="B27" s="1"/>
      <c r="C27" s="98" t="s">
        <v>60</v>
      </c>
      <c r="D27" s="101"/>
      <c r="E27" s="104" t="s">
        <v>61</v>
      </c>
      <c r="F27" s="2"/>
    </row>
    <row r="28" spans="2:6" ht="15" hidden="1" customHeight="1" x14ac:dyDescent="0.35">
      <c r="B28" s="1"/>
      <c r="C28" s="98" t="s">
        <v>62</v>
      </c>
      <c r="D28" s="101"/>
      <c r="E28" s="104" t="s">
        <v>63</v>
      </c>
      <c r="F28" s="2"/>
    </row>
    <row r="29" spans="2:6" ht="15" hidden="1" customHeight="1" x14ac:dyDescent="0.35">
      <c r="B29" s="1"/>
      <c r="C29" s="98" t="s">
        <v>64</v>
      </c>
      <c r="D29" s="101"/>
      <c r="E29" s="104" t="s">
        <v>65</v>
      </c>
      <c r="F29" s="2"/>
    </row>
    <row r="30" spans="2:6" ht="15" hidden="1" customHeight="1" x14ac:dyDescent="0.35">
      <c r="B30" s="1"/>
      <c r="C30" s="98" t="s">
        <v>66</v>
      </c>
      <c r="D30" s="101"/>
      <c r="E30" s="104" t="s">
        <v>67</v>
      </c>
      <c r="F30" s="2"/>
    </row>
    <row r="31" spans="2:6" ht="15" hidden="1" customHeight="1" x14ac:dyDescent="0.35">
      <c r="B31" s="1"/>
      <c r="C31" s="98" t="s">
        <v>68</v>
      </c>
      <c r="D31" s="101"/>
      <c r="E31" s="104" t="s">
        <v>69</v>
      </c>
      <c r="F31" s="2"/>
    </row>
    <row r="32" spans="2:6" ht="15" hidden="1" customHeight="1" x14ac:dyDescent="0.35">
      <c r="B32" s="1"/>
      <c r="C32" s="98" t="s">
        <v>70</v>
      </c>
      <c r="D32" s="101"/>
      <c r="E32" s="104" t="s">
        <v>71</v>
      </c>
      <c r="F32" s="2"/>
    </row>
    <row r="33" spans="2:6" ht="15" hidden="1" customHeight="1" x14ac:dyDescent="0.35">
      <c r="B33" s="1"/>
      <c r="C33" s="98" t="s">
        <v>72</v>
      </c>
      <c r="D33" s="101"/>
      <c r="E33" s="104" t="s">
        <v>73</v>
      </c>
      <c r="F33" s="2"/>
    </row>
    <row r="34" spans="2:6" ht="15" hidden="1" customHeight="1" x14ac:dyDescent="0.35">
      <c r="B34" s="1"/>
      <c r="C34" s="98" t="s">
        <v>74</v>
      </c>
      <c r="D34" s="101"/>
      <c r="E34" s="104" t="s">
        <v>75</v>
      </c>
      <c r="F34" s="2"/>
    </row>
    <row r="35" spans="2:6" ht="15" hidden="1" customHeight="1" x14ac:dyDescent="0.35">
      <c r="B35" s="1"/>
      <c r="C35" s="98" t="s">
        <v>76</v>
      </c>
      <c r="D35" s="101"/>
      <c r="E35" s="104" t="s">
        <v>77</v>
      </c>
      <c r="F35" s="2"/>
    </row>
    <row r="36" spans="2:6" ht="15" hidden="1" customHeight="1" x14ac:dyDescent="0.35">
      <c r="B36" s="1"/>
      <c r="C36" s="98" t="s">
        <v>78</v>
      </c>
      <c r="D36" s="101"/>
      <c r="E36" s="104" t="s">
        <v>79</v>
      </c>
      <c r="F36" s="2"/>
    </row>
    <row r="37" spans="2:6" ht="15" hidden="1" customHeight="1" x14ac:dyDescent="0.35">
      <c r="B37" s="1"/>
      <c r="C37" s="98" t="s">
        <v>80</v>
      </c>
      <c r="D37" s="101"/>
      <c r="E37" s="104" t="s">
        <v>81</v>
      </c>
      <c r="F37" s="2"/>
    </row>
    <row r="38" spans="2:6" ht="15" hidden="1" customHeight="1" x14ac:dyDescent="0.35">
      <c r="B38" s="1"/>
      <c r="C38" s="98" t="s">
        <v>82</v>
      </c>
      <c r="D38" s="101"/>
      <c r="E38" s="104" t="s">
        <v>83</v>
      </c>
      <c r="F38" s="2"/>
    </row>
    <row r="39" spans="2:6" ht="15" hidden="1" customHeight="1" x14ac:dyDescent="0.35">
      <c r="B39" s="1"/>
      <c r="C39" s="98" t="s">
        <v>84</v>
      </c>
      <c r="D39" s="101"/>
      <c r="E39" s="104" t="s">
        <v>85</v>
      </c>
      <c r="F39" s="2"/>
    </row>
    <row r="40" spans="2:6" ht="15" hidden="1" customHeight="1" x14ac:dyDescent="0.35">
      <c r="B40" s="1"/>
      <c r="C40" s="98" t="s">
        <v>86</v>
      </c>
      <c r="D40" s="101"/>
      <c r="E40" s="104" t="s">
        <v>87</v>
      </c>
      <c r="F40" s="2"/>
    </row>
    <row r="41" spans="2:6" ht="15" hidden="1" customHeight="1" x14ac:dyDescent="0.35">
      <c r="B41" s="1"/>
      <c r="C41" s="98" t="s">
        <v>88</v>
      </c>
      <c r="D41" s="101"/>
      <c r="E41" s="104" t="s">
        <v>89</v>
      </c>
      <c r="F41" s="2"/>
    </row>
    <row r="42" spans="2:6" ht="15" hidden="1" customHeight="1" x14ac:dyDescent="0.35">
      <c r="B42" s="1"/>
      <c r="C42" s="98" t="s">
        <v>90</v>
      </c>
      <c r="D42" s="101"/>
      <c r="E42" s="104" t="s">
        <v>91</v>
      </c>
      <c r="F42" s="2"/>
    </row>
    <row r="43" spans="2:6" ht="15" hidden="1" customHeight="1" x14ac:dyDescent="0.35">
      <c r="B43" s="1"/>
      <c r="C43" s="98" t="s">
        <v>92</v>
      </c>
      <c r="D43" s="101"/>
      <c r="E43" s="104" t="s">
        <v>93</v>
      </c>
      <c r="F43" s="2"/>
    </row>
    <row r="44" spans="2:6" ht="15" hidden="1" customHeight="1" x14ac:dyDescent="0.35">
      <c r="B44" s="1"/>
      <c r="C44" s="98" t="s">
        <v>94</v>
      </c>
      <c r="D44" s="101"/>
      <c r="E44" s="104" t="s">
        <v>95</v>
      </c>
      <c r="F44" s="2"/>
    </row>
    <row r="45" spans="2:6" ht="15" hidden="1" customHeight="1" x14ac:dyDescent="0.35">
      <c r="B45" s="1"/>
      <c r="C45" s="98" t="s">
        <v>96</v>
      </c>
      <c r="D45" s="101"/>
      <c r="E45" s="104" t="s">
        <v>97</v>
      </c>
      <c r="F45" s="2"/>
    </row>
    <row r="46" spans="2:6" ht="15" hidden="1" customHeight="1" x14ac:dyDescent="0.25">
      <c r="B46" s="1"/>
      <c r="C46" s="94"/>
      <c r="D46" s="94"/>
      <c r="E46" s="94"/>
      <c r="F46" s="2"/>
    </row>
    <row r="47" spans="2:6" ht="15" hidden="1" customHeight="1" x14ac:dyDescent="0.25">
      <c r="B47" s="1"/>
      <c r="C47" s="94" t="s">
        <v>98</v>
      </c>
      <c r="D47" s="94"/>
      <c r="E47" s="94"/>
      <c r="F47" s="2"/>
    </row>
    <row r="48" spans="2:6" ht="15" hidden="1" customHeight="1" x14ac:dyDescent="0.25">
      <c r="B48" s="1"/>
      <c r="C48" s="97" t="s">
        <v>36</v>
      </c>
      <c r="D48" s="100" t="str">
        <f>IF(I.Facility.ComplianceYear="","Compliance year",I.Facility.ComplianceYear)</f>
        <v>Compliance year</v>
      </c>
      <c r="E48" s="96" t="s">
        <v>37</v>
      </c>
      <c r="F48" s="2"/>
    </row>
    <row r="49" spans="2:6" ht="15" hidden="1" customHeight="1" x14ac:dyDescent="0.25">
      <c r="B49" s="1"/>
      <c r="C49" s="98" t="s">
        <v>99</v>
      </c>
      <c r="D49" s="101"/>
      <c r="E49" s="104" t="s">
        <v>42</v>
      </c>
      <c r="F49" s="2"/>
    </row>
    <row r="50" spans="2:6" ht="15" hidden="1" customHeight="1" x14ac:dyDescent="0.25">
      <c r="B50" s="1"/>
      <c r="C50" s="98" t="s">
        <v>100</v>
      </c>
      <c r="D50" s="101"/>
      <c r="E50" s="104" t="s">
        <v>42</v>
      </c>
      <c r="F50" s="2"/>
    </row>
    <row r="51" spans="2:6" ht="15" hidden="1" customHeight="1" x14ac:dyDescent="0.35">
      <c r="B51" s="1"/>
      <c r="C51" s="98" t="s">
        <v>49</v>
      </c>
      <c r="D51" s="101"/>
      <c r="E51" s="104" t="s">
        <v>50</v>
      </c>
      <c r="F51" s="2"/>
    </row>
    <row r="52" spans="2:6" ht="15" hidden="1" customHeight="1" x14ac:dyDescent="0.35">
      <c r="B52" s="1"/>
      <c r="C52" s="98" t="s">
        <v>51</v>
      </c>
      <c r="D52" s="101"/>
      <c r="E52" s="104" t="s">
        <v>52</v>
      </c>
      <c r="F52" s="2"/>
    </row>
    <row r="53" spans="2:6" ht="15" hidden="1" customHeight="1" x14ac:dyDescent="0.35">
      <c r="B53" s="1"/>
      <c r="C53" s="98" t="s">
        <v>53</v>
      </c>
      <c r="D53" s="101"/>
      <c r="E53" s="104" t="s">
        <v>54</v>
      </c>
      <c r="F53" s="2"/>
    </row>
    <row r="54" spans="2:6" ht="15" hidden="1" customHeight="1" x14ac:dyDescent="0.25">
      <c r="B54" s="1"/>
      <c r="C54" s="122" t="s">
        <v>101</v>
      </c>
      <c r="D54" s="123"/>
      <c r="E54" s="123"/>
      <c r="F54" s="2"/>
    </row>
    <row r="55" spans="2:6" ht="15" hidden="1" customHeight="1" x14ac:dyDescent="0.25">
      <c r="B55" s="1"/>
      <c r="C55" s="124" t="s">
        <v>102</v>
      </c>
      <c r="D55" s="113"/>
      <c r="E55" s="113"/>
      <c r="F55" s="2"/>
    </row>
    <row r="56" spans="2:6" ht="15" hidden="1" customHeight="1" x14ac:dyDescent="0.25">
      <c r="B56" s="1"/>
      <c r="C56" s="94"/>
      <c r="D56" s="94"/>
      <c r="E56" s="94"/>
      <c r="F56" s="2"/>
    </row>
    <row r="57" spans="2:6" ht="15" hidden="1" customHeight="1" x14ac:dyDescent="0.25">
      <c r="B57" s="1"/>
      <c r="C57" s="94" t="s">
        <v>103</v>
      </c>
      <c r="D57" s="94"/>
      <c r="E57" s="94"/>
      <c r="F57" s="2"/>
    </row>
    <row r="58" spans="2:6" ht="15" hidden="1" customHeight="1" x14ac:dyDescent="0.25">
      <c r="B58" s="1"/>
      <c r="C58" s="97" t="s">
        <v>36</v>
      </c>
      <c r="D58" s="100" t="str">
        <f>IF(I.Facility.ComplianceYear="","Compliance year",I.Facility.ComplianceYear)</f>
        <v>Compliance year</v>
      </c>
      <c r="E58" s="96" t="s">
        <v>37</v>
      </c>
      <c r="F58" s="2"/>
    </row>
    <row r="59" spans="2:6" ht="15" hidden="1" customHeight="1" x14ac:dyDescent="0.35">
      <c r="B59" s="1"/>
      <c r="C59" s="98" t="s">
        <v>49</v>
      </c>
      <c r="D59" s="101"/>
      <c r="E59" s="104" t="s">
        <v>50</v>
      </c>
      <c r="F59" s="2"/>
    </row>
    <row r="60" spans="2:6" ht="15" hidden="1" customHeight="1" x14ac:dyDescent="0.35">
      <c r="B60" s="1"/>
      <c r="C60" s="98" t="s">
        <v>51</v>
      </c>
      <c r="D60" s="101"/>
      <c r="E60" s="104" t="s">
        <v>52</v>
      </c>
      <c r="F60" s="2"/>
    </row>
    <row r="61" spans="2:6" ht="15" hidden="1" customHeight="1" x14ac:dyDescent="0.35">
      <c r="B61" s="1"/>
      <c r="C61" s="98" t="s">
        <v>53</v>
      </c>
      <c r="D61" s="101"/>
      <c r="E61" s="104" t="s">
        <v>54</v>
      </c>
      <c r="F61" s="2"/>
    </row>
    <row r="62" spans="2:6" ht="15" hidden="1" customHeight="1" x14ac:dyDescent="0.25">
      <c r="B62" s="1"/>
      <c r="C62" s="94"/>
      <c r="D62" s="94"/>
      <c r="E62" s="94"/>
      <c r="F62" s="2"/>
    </row>
    <row r="63" spans="2:6" ht="20.100000000000001" hidden="1" customHeight="1" x14ac:dyDescent="0.25">
      <c r="B63" s="10"/>
      <c r="C63" s="118" t="s">
        <v>30</v>
      </c>
      <c r="D63" s="118"/>
      <c r="E63" s="118"/>
      <c r="F63" s="11"/>
    </row>
    <row r="64" spans="2:6" ht="15" hidden="1" customHeight="1" x14ac:dyDescent="0.25">
      <c r="B64" s="1"/>
      <c r="C64" s="94"/>
      <c r="D64" s="94"/>
      <c r="E64" s="94"/>
      <c r="F64" s="2"/>
    </row>
    <row r="65" spans="2:6" ht="15" hidden="1" customHeight="1" x14ac:dyDescent="0.25">
      <c r="B65" s="1"/>
      <c r="C65" s="94" t="s">
        <v>35</v>
      </c>
      <c r="D65" s="94"/>
      <c r="E65" s="94"/>
      <c r="F65" s="2"/>
    </row>
    <row r="66" spans="2:6" ht="15" hidden="1" customHeight="1" x14ac:dyDescent="0.25">
      <c r="B66" s="1"/>
      <c r="C66" s="97" t="s">
        <v>36</v>
      </c>
      <c r="D66" s="100" t="str">
        <f>IF(I.Facility.ComplianceYear="","Compliance year",I.Facility.ComplianceYear)</f>
        <v>Compliance year</v>
      </c>
      <c r="E66" s="96" t="s">
        <v>37</v>
      </c>
      <c r="F66" s="2"/>
    </row>
    <row r="67" spans="2:6" ht="15" hidden="1" customHeight="1" x14ac:dyDescent="0.25">
      <c r="B67" s="1"/>
      <c r="C67" s="98" t="s">
        <v>38</v>
      </c>
      <c r="D67" s="101"/>
      <c r="E67" s="95" t="s">
        <v>39</v>
      </c>
      <c r="F67" s="2"/>
    </row>
    <row r="68" spans="2:6" ht="15" hidden="1" customHeight="1" x14ac:dyDescent="0.25">
      <c r="B68" s="1"/>
      <c r="C68" s="94"/>
      <c r="D68" s="94"/>
      <c r="E68" s="94"/>
      <c r="F68" s="2"/>
    </row>
    <row r="69" spans="2:6" ht="15" hidden="1" customHeight="1" x14ac:dyDescent="0.25">
      <c r="B69" s="1"/>
      <c r="C69" s="94" t="s">
        <v>40</v>
      </c>
      <c r="D69" s="94"/>
      <c r="E69" s="94"/>
      <c r="F69" s="2"/>
    </row>
    <row r="70" spans="2:6" ht="15" hidden="1" customHeight="1" x14ac:dyDescent="0.25">
      <c r="B70" s="1"/>
      <c r="C70" s="97" t="s">
        <v>36</v>
      </c>
      <c r="D70" s="100" t="str">
        <f>IF(I.Facility.ComplianceYear="","Compliance year",I.Facility.ComplianceYear)</f>
        <v>Compliance year</v>
      </c>
      <c r="E70" s="96" t="s">
        <v>37</v>
      </c>
      <c r="F70" s="2"/>
    </row>
    <row r="71" spans="2:6" ht="15" hidden="1" customHeight="1" x14ac:dyDescent="0.25">
      <c r="B71" s="1"/>
      <c r="C71" s="98" t="s">
        <v>41</v>
      </c>
      <c r="D71" s="101"/>
      <c r="E71" s="104" t="s">
        <v>42</v>
      </c>
      <c r="F71" s="2"/>
    </row>
    <row r="72" spans="2:6" ht="15" hidden="1" customHeight="1" x14ac:dyDescent="0.25">
      <c r="B72" s="1"/>
      <c r="C72" s="98" t="s">
        <v>43</v>
      </c>
      <c r="D72" s="101"/>
      <c r="E72" s="95" t="s">
        <v>44</v>
      </c>
      <c r="F72" s="2"/>
    </row>
    <row r="73" spans="2:6" ht="15" hidden="1" customHeight="1" x14ac:dyDescent="0.25">
      <c r="B73" s="1"/>
      <c r="C73" s="98" t="s">
        <v>45</v>
      </c>
      <c r="D73" s="101"/>
      <c r="E73" s="95" t="s">
        <v>44</v>
      </c>
      <c r="F73" s="2"/>
    </row>
    <row r="74" spans="2:6" ht="15" hidden="1" customHeight="1" x14ac:dyDescent="0.25">
      <c r="B74" s="1"/>
      <c r="C74" s="98" t="s">
        <v>46</v>
      </c>
      <c r="D74" s="101"/>
      <c r="E74" s="95" t="s">
        <v>44</v>
      </c>
      <c r="F74" s="2"/>
    </row>
    <row r="75" spans="2:6" ht="15" hidden="1" customHeight="1" x14ac:dyDescent="0.25">
      <c r="B75" s="1"/>
      <c r="C75" s="98" t="s">
        <v>47</v>
      </c>
      <c r="D75" s="101"/>
      <c r="E75" s="95" t="s">
        <v>44</v>
      </c>
      <c r="F75" s="2"/>
    </row>
    <row r="76" spans="2:6" ht="15" hidden="1" customHeight="1" x14ac:dyDescent="0.25">
      <c r="B76" s="1"/>
      <c r="C76" s="98" t="s">
        <v>48</v>
      </c>
      <c r="D76" s="101"/>
      <c r="E76" s="95" t="s">
        <v>44</v>
      </c>
      <c r="F76" s="2"/>
    </row>
    <row r="77" spans="2:6" ht="15" hidden="1" customHeight="1" x14ac:dyDescent="0.35">
      <c r="B77" s="1"/>
      <c r="C77" s="98" t="s">
        <v>49</v>
      </c>
      <c r="D77" s="101"/>
      <c r="E77" s="104" t="s">
        <v>50</v>
      </c>
      <c r="F77" s="2"/>
    </row>
    <row r="78" spans="2:6" ht="15" hidden="1" customHeight="1" x14ac:dyDescent="0.35">
      <c r="B78" s="1"/>
      <c r="C78" s="98" t="s">
        <v>51</v>
      </c>
      <c r="D78" s="101"/>
      <c r="E78" s="104" t="s">
        <v>52</v>
      </c>
      <c r="F78" s="2"/>
    </row>
    <row r="79" spans="2:6" ht="15" hidden="1" customHeight="1" x14ac:dyDescent="0.35">
      <c r="B79" s="1"/>
      <c r="C79" s="98" t="s">
        <v>53</v>
      </c>
      <c r="D79" s="101"/>
      <c r="E79" s="104" t="s">
        <v>54</v>
      </c>
      <c r="F79" s="2"/>
    </row>
    <row r="80" spans="2:6" ht="15" hidden="1" customHeight="1" x14ac:dyDescent="0.25">
      <c r="B80" s="1"/>
      <c r="C80" s="94"/>
      <c r="D80" s="94"/>
      <c r="E80" s="94"/>
      <c r="F80" s="2"/>
    </row>
    <row r="81" spans="2:6" ht="15" hidden="1" customHeight="1" x14ac:dyDescent="0.25">
      <c r="B81" s="1"/>
      <c r="C81" s="94" t="s">
        <v>55</v>
      </c>
      <c r="D81" s="94"/>
      <c r="E81" s="94"/>
      <c r="F81" s="2"/>
    </row>
    <row r="82" spans="2:6" ht="15" hidden="1" customHeight="1" x14ac:dyDescent="0.25">
      <c r="B82" s="1"/>
      <c r="C82" s="97" t="s">
        <v>36</v>
      </c>
      <c r="D82" s="100" t="str">
        <f>IF(I.Facility.ComplianceYear="","Compliance year",I.Facility.ComplianceYear)</f>
        <v>Compliance year</v>
      </c>
      <c r="E82" s="96" t="s">
        <v>37</v>
      </c>
      <c r="F82" s="2"/>
    </row>
    <row r="83" spans="2:6" ht="15" hidden="1" customHeight="1" x14ac:dyDescent="0.35">
      <c r="B83" s="1"/>
      <c r="C83" s="98" t="s">
        <v>56</v>
      </c>
      <c r="D83" s="101"/>
      <c r="E83" s="104" t="s">
        <v>57</v>
      </c>
      <c r="F83" s="2"/>
    </row>
    <row r="84" spans="2:6" ht="15" hidden="1" customHeight="1" x14ac:dyDescent="0.35">
      <c r="B84" s="1"/>
      <c r="C84" s="98" t="s">
        <v>58</v>
      </c>
      <c r="D84" s="101"/>
      <c r="E84" s="104" t="s">
        <v>59</v>
      </c>
      <c r="F84" s="2"/>
    </row>
    <row r="85" spans="2:6" ht="15" hidden="1" customHeight="1" x14ac:dyDescent="0.35">
      <c r="B85" s="1"/>
      <c r="C85" s="98" t="s">
        <v>60</v>
      </c>
      <c r="D85" s="101"/>
      <c r="E85" s="104" t="s">
        <v>61</v>
      </c>
      <c r="F85" s="2"/>
    </row>
    <row r="86" spans="2:6" ht="15" hidden="1" customHeight="1" x14ac:dyDescent="0.35">
      <c r="B86" s="1"/>
      <c r="C86" s="98" t="s">
        <v>62</v>
      </c>
      <c r="D86" s="101"/>
      <c r="E86" s="104" t="s">
        <v>63</v>
      </c>
      <c r="F86" s="2"/>
    </row>
    <row r="87" spans="2:6" ht="15" hidden="1" customHeight="1" x14ac:dyDescent="0.35">
      <c r="B87" s="1"/>
      <c r="C87" s="98" t="s">
        <v>64</v>
      </c>
      <c r="D87" s="101"/>
      <c r="E87" s="104" t="s">
        <v>65</v>
      </c>
      <c r="F87" s="2"/>
    </row>
    <row r="88" spans="2:6" ht="15" hidden="1" customHeight="1" x14ac:dyDescent="0.35">
      <c r="B88" s="1"/>
      <c r="C88" s="98" t="s">
        <v>66</v>
      </c>
      <c r="D88" s="101"/>
      <c r="E88" s="104" t="s">
        <v>67</v>
      </c>
      <c r="F88" s="2"/>
    </row>
    <row r="89" spans="2:6" ht="15" hidden="1" customHeight="1" x14ac:dyDescent="0.35">
      <c r="B89" s="1"/>
      <c r="C89" s="98" t="s">
        <v>68</v>
      </c>
      <c r="D89" s="101"/>
      <c r="E89" s="104" t="s">
        <v>69</v>
      </c>
      <c r="F89" s="2"/>
    </row>
    <row r="90" spans="2:6" ht="15" hidden="1" customHeight="1" x14ac:dyDescent="0.35">
      <c r="B90" s="1"/>
      <c r="C90" s="98" t="s">
        <v>70</v>
      </c>
      <c r="D90" s="101"/>
      <c r="E90" s="104" t="s">
        <v>71</v>
      </c>
      <c r="F90" s="2"/>
    </row>
    <row r="91" spans="2:6" ht="15" hidden="1" customHeight="1" x14ac:dyDescent="0.35">
      <c r="B91" s="1"/>
      <c r="C91" s="98" t="s">
        <v>72</v>
      </c>
      <c r="D91" s="101"/>
      <c r="E91" s="104" t="s">
        <v>73</v>
      </c>
      <c r="F91" s="2"/>
    </row>
    <row r="92" spans="2:6" ht="15" hidden="1" customHeight="1" x14ac:dyDescent="0.35">
      <c r="B92" s="1"/>
      <c r="C92" s="98" t="s">
        <v>74</v>
      </c>
      <c r="D92" s="101"/>
      <c r="E92" s="104" t="s">
        <v>75</v>
      </c>
      <c r="F92" s="2"/>
    </row>
    <row r="93" spans="2:6" ht="15" hidden="1" customHeight="1" x14ac:dyDescent="0.35">
      <c r="B93" s="1"/>
      <c r="C93" s="98" t="s">
        <v>76</v>
      </c>
      <c r="D93" s="101"/>
      <c r="E93" s="104" t="s">
        <v>77</v>
      </c>
      <c r="F93" s="2"/>
    </row>
    <row r="94" spans="2:6" ht="15" hidden="1" customHeight="1" x14ac:dyDescent="0.35">
      <c r="B94" s="1"/>
      <c r="C94" s="98" t="s">
        <v>78</v>
      </c>
      <c r="D94" s="101"/>
      <c r="E94" s="104" t="s">
        <v>79</v>
      </c>
      <c r="F94" s="2"/>
    </row>
    <row r="95" spans="2:6" ht="15" hidden="1" customHeight="1" x14ac:dyDescent="0.35">
      <c r="B95" s="1"/>
      <c r="C95" s="98" t="s">
        <v>80</v>
      </c>
      <c r="D95" s="101"/>
      <c r="E95" s="104" t="s">
        <v>81</v>
      </c>
      <c r="F95" s="2"/>
    </row>
    <row r="96" spans="2:6" ht="15" hidden="1" customHeight="1" x14ac:dyDescent="0.35">
      <c r="B96" s="1"/>
      <c r="C96" s="98" t="s">
        <v>82</v>
      </c>
      <c r="D96" s="101"/>
      <c r="E96" s="104" t="s">
        <v>83</v>
      </c>
      <c r="F96" s="2"/>
    </row>
    <row r="97" spans="2:6" ht="15" hidden="1" customHeight="1" x14ac:dyDescent="0.35">
      <c r="B97" s="1"/>
      <c r="C97" s="98" t="s">
        <v>84</v>
      </c>
      <c r="D97" s="101"/>
      <c r="E97" s="104" t="s">
        <v>85</v>
      </c>
      <c r="F97" s="2"/>
    </row>
    <row r="98" spans="2:6" ht="15" hidden="1" customHeight="1" x14ac:dyDescent="0.35">
      <c r="B98" s="1"/>
      <c r="C98" s="98" t="s">
        <v>86</v>
      </c>
      <c r="D98" s="101"/>
      <c r="E98" s="104" t="s">
        <v>87</v>
      </c>
      <c r="F98" s="2"/>
    </row>
    <row r="99" spans="2:6" ht="15" hidden="1" customHeight="1" x14ac:dyDescent="0.35">
      <c r="B99" s="1"/>
      <c r="C99" s="98" t="s">
        <v>88</v>
      </c>
      <c r="D99" s="101"/>
      <c r="E99" s="104" t="s">
        <v>89</v>
      </c>
      <c r="F99" s="2"/>
    </row>
    <row r="100" spans="2:6" ht="15" hidden="1" customHeight="1" x14ac:dyDescent="0.35">
      <c r="B100" s="1"/>
      <c r="C100" s="98" t="s">
        <v>90</v>
      </c>
      <c r="D100" s="101"/>
      <c r="E100" s="104" t="s">
        <v>91</v>
      </c>
      <c r="F100" s="2"/>
    </row>
    <row r="101" spans="2:6" ht="15" hidden="1" customHeight="1" x14ac:dyDescent="0.35">
      <c r="B101" s="1"/>
      <c r="C101" s="98" t="s">
        <v>92</v>
      </c>
      <c r="D101" s="101"/>
      <c r="E101" s="104" t="s">
        <v>93</v>
      </c>
      <c r="F101" s="2"/>
    </row>
    <row r="102" spans="2:6" ht="15" hidden="1" customHeight="1" x14ac:dyDescent="0.35">
      <c r="B102" s="1"/>
      <c r="C102" s="98" t="s">
        <v>94</v>
      </c>
      <c r="D102" s="101"/>
      <c r="E102" s="104" t="s">
        <v>95</v>
      </c>
      <c r="F102" s="2"/>
    </row>
    <row r="103" spans="2:6" ht="15" hidden="1" customHeight="1" x14ac:dyDescent="0.35">
      <c r="B103" s="1"/>
      <c r="C103" s="98" t="s">
        <v>96</v>
      </c>
      <c r="D103" s="101"/>
      <c r="E103" s="104" t="s">
        <v>97</v>
      </c>
      <c r="F103" s="2"/>
    </row>
    <row r="104" spans="2:6" ht="15" hidden="1" customHeight="1" x14ac:dyDescent="0.25">
      <c r="B104" s="1"/>
      <c r="C104" s="94"/>
      <c r="D104" s="94"/>
      <c r="E104" s="94"/>
      <c r="F104" s="2"/>
    </row>
    <row r="105" spans="2:6" ht="15" hidden="1" customHeight="1" x14ac:dyDescent="0.25">
      <c r="B105" s="1"/>
      <c r="C105" s="94" t="s">
        <v>98</v>
      </c>
      <c r="D105" s="94"/>
      <c r="E105" s="94"/>
      <c r="F105" s="2"/>
    </row>
    <row r="106" spans="2:6" ht="15" hidden="1" customHeight="1" x14ac:dyDescent="0.25">
      <c r="B106" s="1"/>
      <c r="C106" s="97" t="s">
        <v>36</v>
      </c>
      <c r="D106" s="100" t="str">
        <f>IF(I.Facility.ComplianceYear="","Compliance year",I.Facility.ComplianceYear)</f>
        <v>Compliance year</v>
      </c>
      <c r="E106" s="96" t="s">
        <v>37</v>
      </c>
      <c r="F106" s="2"/>
    </row>
    <row r="107" spans="2:6" ht="15" hidden="1" customHeight="1" x14ac:dyDescent="0.25">
      <c r="B107" s="1"/>
      <c r="C107" s="98" t="s">
        <v>99</v>
      </c>
      <c r="D107" s="101"/>
      <c r="E107" s="104" t="s">
        <v>42</v>
      </c>
      <c r="F107" s="2"/>
    </row>
    <row r="108" spans="2:6" ht="15" hidden="1" customHeight="1" x14ac:dyDescent="0.25">
      <c r="B108" s="1"/>
      <c r="C108" s="98" t="s">
        <v>100</v>
      </c>
      <c r="D108" s="101"/>
      <c r="E108" s="104" t="s">
        <v>42</v>
      </c>
      <c r="F108" s="2"/>
    </row>
    <row r="109" spans="2:6" ht="15" hidden="1" customHeight="1" x14ac:dyDescent="0.35">
      <c r="B109" s="1"/>
      <c r="C109" s="98" t="s">
        <v>49</v>
      </c>
      <c r="D109" s="101"/>
      <c r="E109" s="104" t="s">
        <v>50</v>
      </c>
      <c r="F109" s="2"/>
    </row>
    <row r="110" spans="2:6" ht="15" hidden="1" customHeight="1" x14ac:dyDescent="0.35">
      <c r="B110" s="1"/>
      <c r="C110" s="98" t="s">
        <v>51</v>
      </c>
      <c r="D110" s="101"/>
      <c r="E110" s="104" t="s">
        <v>52</v>
      </c>
      <c r="F110" s="2"/>
    </row>
    <row r="111" spans="2:6" ht="15" hidden="1" customHeight="1" x14ac:dyDescent="0.35">
      <c r="B111" s="1"/>
      <c r="C111" s="98" t="s">
        <v>53</v>
      </c>
      <c r="D111" s="101"/>
      <c r="E111" s="104" t="s">
        <v>54</v>
      </c>
      <c r="F111" s="2"/>
    </row>
    <row r="112" spans="2:6" ht="15" hidden="1" customHeight="1" x14ac:dyDescent="0.25">
      <c r="B112" s="1"/>
      <c r="C112" s="122" t="s">
        <v>101</v>
      </c>
      <c r="D112" s="123"/>
      <c r="E112" s="123"/>
      <c r="F112" s="2"/>
    </row>
    <row r="113" spans="2:6" ht="15" hidden="1" customHeight="1" x14ac:dyDescent="0.25">
      <c r="B113" s="1"/>
      <c r="C113" s="124" t="s">
        <v>102</v>
      </c>
      <c r="D113" s="113"/>
      <c r="E113" s="113"/>
      <c r="F113" s="2"/>
    </row>
    <row r="114" spans="2:6" ht="15" hidden="1" customHeight="1" x14ac:dyDescent="0.25">
      <c r="B114" s="1"/>
      <c r="C114" s="94"/>
      <c r="D114" s="94"/>
      <c r="E114" s="94"/>
      <c r="F114" s="2"/>
    </row>
    <row r="115" spans="2:6" ht="15" hidden="1" customHeight="1" x14ac:dyDescent="0.25">
      <c r="B115" s="1"/>
      <c r="C115" s="94" t="s">
        <v>103</v>
      </c>
      <c r="D115" s="94"/>
      <c r="E115" s="94"/>
      <c r="F115" s="2"/>
    </row>
    <row r="116" spans="2:6" ht="15" hidden="1" customHeight="1" x14ac:dyDescent="0.25">
      <c r="B116" s="1"/>
      <c r="C116" s="97" t="s">
        <v>36</v>
      </c>
      <c r="D116" s="100" t="str">
        <f>IF(I.Facility.ComplianceYear="","Compliance year",I.Facility.ComplianceYear)</f>
        <v>Compliance year</v>
      </c>
      <c r="E116" s="96" t="s">
        <v>37</v>
      </c>
      <c r="F116" s="2"/>
    </row>
    <row r="117" spans="2:6" ht="15" hidden="1" customHeight="1" x14ac:dyDescent="0.35">
      <c r="B117" s="1"/>
      <c r="C117" s="98" t="s">
        <v>49</v>
      </c>
      <c r="D117" s="101"/>
      <c r="E117" s="104" t="s">
        <v>50</v>
      </c>
      <c r="F117" s="2"/>
    </row>
    <row r="118" spans="2:6" ht="15" hidden="1" customHeight="1" x14ac:dyDescent="0.35">
      <c r="B118" s="1"/>
      <c r="C118" s="98" t="s">
        <v>51</v>
      </c>
      <c r="D118" s="101"/>
      <c r="E118" s="104" t="s">
        <v>52</v>
      </c>
      <c r="F118" s="2"/>
    </row>
    <row r="119" spans="2:6" ht="15" hidden="1" customHeight="1" x14ac:dyDescent="0.35">
      <c r="B119" s="1"/>
      <c r="C119" s="98" t="s">
        <v>53</v>
      </c>
      <c r="D119" s="101"/>
      <c r="E119" s="104" t="s">
        <v>54</v>
      </c>
      <c r="F119" s="2"/>
    </row>
    <row r="120" spans="2:6" ht="15" hidden="1" customHeight="1" x14ac:dyDescent="0.25">
      <c r="B120" s="1"/>
      <c r="C120" s="94"/>
      <c r="D120" s="94"/>
      <c r="E120" s="94"/>
      <c r="F120" s="2"/>
    </row>
    <row r="121" spans="2:6" ht="20.100000000000001" hidden="1" customHeight="1" x14ac:dyDescent="0.25">
      <c r="B121" s="10"/>
      <c r="C121" s="118" t="s">
        <v>31</v>
      </c>
      <c r="D121" s="118"/>
      <c r="E121" s="118"/>
      <c r="F121" s="11"/>
    </row>
    <row r="122" spans="2:6" ht="15" hidden="1" customHeight="1" x14ac:dyDescent="0.25">
      <c r="B122" s="1"/>
      <c r="C122" s="94"/>
      <c r="D122" s="94"/>
      <c r="E122" s="94"/>
      <c r="F122" s="2"/>
    </row>
    <row r="123" spans="2:6" ht="15" hidden="1" customHeight="1" x14ac:dyDescent="0.25">
      <c r="B123" s="1"/>
      <c r="C123" s="94" t="s">
        <v>35</v>
      </c>
      <c r="D123" s="94"/>
      <c r="E123" s="94"/>
      <c r="F123" s="2"/>
    </row>
    <row r="124" spans="2:6" ht="15" hidden="1" customHeight="1" x14ac:dyDescent="0.25">
      <c r="B124" s="1"/>
      <c r="C124" s="97" t="s">
        <v>36</v>
      </c>
      <c r="D124" s="100" t="str">
        <f>IF(I.Facility.ComplianceYear="","Compliance year",I.Facility.ComplianceYear)</f>
        <v>Compliance year</v>
      </c>
      <c r="E124" s="96" t="s">
        <v>37</v>
      </c>
      <c r="F124" s="2"/>
    </row>
    <row r="125" spans="2:6" ht="15" hidden="1" customHeight="1" x14ac:dyDescent="0.25">
      <c r="B125" s="1"/>
      <c r="C125" s="98" t="s">
        <v>38</v>
      </c>
      <c r="D125" s="101"/>
      <c r="E125" s="95" t="s">
        <v>39</v>
      </c>
      <c r="F125" s="2"/>
    </row>
    <row r="126" spans="2:6" ht="15" hidden="1" customHeight="1" x14ac:dyDescent="0.25">
      <c r="B126" s="1"/>
      <c r="C126" s="94"/>
      <c r="D126" s="94"/>
      <c r="E126" s="94"/>
      <c r="F126" s="2"/>
    </row>
    <row r="127" spans="2:6" ht="15" hidden="1" customHeight="1" x14ac:dyDescent="0.25">
      <c r="B127" s="1"/>
      <c r="C127" s="94" t="s">
        <v>40</v>
      </c>
      <c r="D127" s="94"/>
      <c r="E127" s="94"/>
      <c r="F127" s="2"/>
    </row>
    <row r="128" spans="2:6" ht="15" hidden="1" customHeight="1" x14ac:dyDescent="0.25">
      <c r="B128" s="1"/>
      <c r="C128" s="97" t="s">
        <v>36</v>
      </c>
      <c r="D128" s="100" t="str">
        <f>IF(I.Facility.ComplianceYear="","Compliance year",I.Facility.ComplianceYear)</f>
        <v>Compliance year</v>
      </c>
      <c r="E128" s="96" t="s">
        <v>37</v>
      </c>
      <c r="F128" s="2"/>
    </row>
    <row r="129" spans="2:6" ht="15" hidden="1" customHeight="1" x14ac:dyDescent="0.25">
      <c r="B129" s="1"/>
      <c r="C129" s="98" t="s">
        <v>41</v>
      </c>
      <c r="D129" s="101"/>
      <c r="E129" s="104" t="s">
        <v>42</v>
      </c>
      <c r="F129" s="2"/>
    </row>
    <row r="130" spans="2:6" ht="15" hidden="1" customHeight="1" x14ac:dyDescent="0.25">
      <c r="B130" s="1"/>
      <c r="C130" s="98" t="s">
        <v>43</v>
      </c>
      <c r="D130" s="101"/>
      <c r="E130" s="95" t="s">
        <v>44</v>
      </c>
      <c r="F130" s="2"/>
    </row>
    <row r="131" spans="2:6" ht="15" hidden="1" customHeight="1" x14ac:dyDescent="0.25">
      <c r="B131" s="1"/>
      <c r="C131" s="98" t="s">
        <v>45</v>
      </c>
      <c r="D131" s="101"/>
      <c r="E131" s="95" t="s">
        <v>44</v>
      </c>
      <c r="F131" s="2"/>
    </row>
    <row r="132" spans="2:6" ht="15" hidden="1" customHeight="1" x14ac:dyDescent="0.25">
      <c r="B132" s="1"/>
      <c r="C132" s="98" t="s">
        <v>46</v>
      </c>
      <c r="D132" s="101"/>
      <c r="E132" s="95" t="s">
        <v>44</v>
      </c>
      <c r="F132" s="2"/>
    </row>
    <row r="133" spans="2:6" ht="15" hidden="1" customHeight="1" x14ac:dyDescent="0.25">
      <c r="B133" s="1"/>
      <c r="C133" s="98" t="s">
        <v>47</v>
      </c>
      <c r="D133" s="101"/>
      <c r="E133" s="95" t="s">
        <v>44</v>
      </c>
      <c r="F133" s="2"/>
    </row>
    <row r="134" spans="2:6" ht="15" hidden="1" customHeight="1" x14ac:dyDescent="0.25">
      <c r="B134" s="1"/>
      <c r="C134" s="98" t="s">
        <v>48</v>
      </c>
      <c r="D134" s="101"/>
      <c r="E134" s="95" t="s">
        <v>44</v>
      </c>
      <c r="F134" s="2"/>
    </row>
    <row r="135" spans="2:6" ht="15" hidden="1" customHeight="1" x14ac:dyDescent="0.35">
      <c r="B135" s="1"/>
      <c r="C135" s="98" t="s">
        <v>49</v>
      </c>
      <c r="D135" s="101"/>
      <c r="E135" s="104" t="s">
        <v>50</v>
      </c>
      <c r="F135" s="2"/>
    </row>
    <row r="136" spans="2:6" ht="15" hidden="1" customHeight="1" x14ac:dyDescent="0.35">
      <c r="B136" s="1"/>
      <c r="C136" s="98" t="s">
        <v>51</v>
      </c>
      <c r="D136" s="101"/>
      <c r="E136" s="104" t="s">
        <v>52</v>
      </c>
      <c r="F136" s="2"/>
    </row>
    <row r="137" spans="2:6" ht="15" hidden="1" customHeight="1" x14ac:dyDescent="0.35">
      <c r="B137" s="1"/>
      <c r="C137" s="98" t="s">
        <v>53</v>
      </c>
      <c r="D137" s="101"/>
      <c r="E137" s="104" t="s">
        <v>54</v>
      </c>
      <c r="F137" s="2"/>
    </row>
    <row r="138" spans="2:6" ht="15" hidden="1" customHeight="1" x14ac:dyDescent="0.25">
      <c r="B138" s="1"/>
      <c r="C138" s="94"/>
      <c r="D138" s="94"/>
      <c r="E138" s="94"/>
      <c r="F138" s="2"/>
    </row>
    <row r="139" spans="2:6" ht="15" hidden="1" customHeight="1" x14ac:dyDescent="0.25">
      <c r="B139" s="1"/>
      <c r="C139" s="94" t="s">
        <v>55</v>
      </c>
      <c r="D139" s="94"/>
      <c r="E139" s="94"/>
      <c r="F139" s="2"/>
    </row>
    <row r="140" spans="2:6" ht="15" hidden="1" customHeight="1" x14ac:dyDescent="0.25">
      <c r="B140" s="1"/>
      <c r="C140" s="97" t="s">
        <v>36</v>
      </c>
      <c r="D140" s="100" t="str">
        <f>IF(I.Facility.ComplianceYear="","Compliance year",I.Facility.ComplianceYear)</f>
        <v>Compliance year</v>
      </c>
      <c r="E140" s="96" t="s">
        <v>37</v>
      </c>
      <c r="F140" s="2"/>
    </row>
    <row r="141" spans="2:6" ht="15" hidden="1" customHeight="1" x14ac:dyDescent="0.35">
      <c r="B141" s="1"/>
      <c r="C141" s="98" t="s">
        <v>56</v>
      </c>
      <c r="D141" s="101"/>
      <c r="E141" s="104" t="s">
        <v>57</v>
      </c>
      <c r="F141" s="2"/>
    </row>
    <row r="142" spans="2:6" ht="15" hidden="1" customHeight="1" x14ac:dyDescent="0.35">
      <c r="B142" s="1"/>
      <c r="C142" s="98" t="s">
        <v>58</v>
      </c>
      <c r="D142" s="101"/>
      <c r="E142" s="104" t="s">
        <v>59</v>
      </c>
      <c r="F142" s="2"/>
    </row>
    <row r="143" spans="2:6" ht="15" hidden="1" customHeight="1" x14ac:dyDescent="0.35">
      <c r="B143" s="1"/>
      <c r="C143" s="98" t="s">
        <v>60</v>
      </c>
      <c r="D143" s="101"/>
      <c r="E143" s="104" t="s">
        <v>61</v>
      </c>
      <c r="F143" s="2"/>
    </row>
    <row r="144" spans="2:6" ht="15" hidden="1" customHeight="1" x14ac:dyDescent="0.35">
      <c r="B144" s="1"/>
      <c r="C144" s="98" t="s">
        <v>62</v>
      </c>
      <c r="D144" s="101"/>
      <c r="E144" s="104" t="s">
        <v>63</v>
      </c>
      <c r="F144" s="2"/>
    </row>
    <row r="145" spans="2:6" ht="15" hidden="1" customHeight="1" x14ac:dyDescent="0.35">
      <c r="B145" s="1"/>
      <c r="C145" s="98" t="s">
        <v>64</v>
      </c>
      <c r="D145" s="101"/>
      <c r="E145" s="104" t="s">
        <v>65</v>
      </c>
      <c r="F145" s="2"/>
    </row>
    <row r="146" spans="2:6" ht="15" hidden="1" customHeight="1" x14ac:dyDescent="0.35">
      <c r="B146" s="1"/>
      <c r="C146" s="98" t="s">
        <v>66</v>
      </c>
      <c r="D146" s="101"/>
      <c r="E146" s="104" t="s">
        <v>67</v>
      </c>
      <c r="F146" s="2"/>
    </row>
    <row r="147" spans="2:6" ht="15" hidden="1" customHeight="1" x14ac:dyDescent="0.35">
      <c r="B147" s="1"/>
      <c r="C147" s="98" t="s">
        <v>68</v>
      </c>
      <c r="D147" s="101"/>
      <c r="E147" s="104" t="s">
        <v>69</v>
      </c>
      <c r="F147" s="2"/>
    </row>
    <row r="148" spans="2:6" ht="15" hidden="1" customHeight="1" x14ac:dyDescent="0.35">
      <c r="B148" s="1"/>
      <c r="C148" s="98" t="s">
        <v>70</v>
      </c>
      <c r="D148" s="101"/>
      <c r="E148" s="104" t="s">
        <v>71</v>
      </c>
      <c r="F148" s="2"/>
    </row>
    <row r="149" spans="2:6" ht="15" hidden="1" customHeight="1" x14ac:dyDescent="0.35">
      <c r="B149" s="1"/>
      <c r="C149" s="98" t="s">
        <v>72</v>
      </c>
      <c r="D149" s="101"/>
      <c r="E149" s="104" t="s">
        <v>73</v>
      </c>
      <c r="F149" s="2"/>
    </row>
    <row r="150" spans="2:6" ht="15" hidden="1" customHeight="1" x14ac:dyDescent="0.35">
      <c r="B150" s="1"/>
      <c r="C150" s="98" t="s">
        <v>74</v>
      </c>
      <c r="D150" s="101"/>
      <c r="E150" s="104" t="s">
        <v>75</v>
      </c>
      <c r="F150" s="2"/>
    </row>
    <row r="151" spans="2:6" ht="15" hidden="1" customHeight="1" x14ac:dyDescent="0.35">
      <c r="B151" s="1"/>
      <c r="C151" s="98" t="s">
        <v>76</v>
      </c>
      <c r="D151" s="101"/>
      <c r="E151" s="104" t="s">
        <v>77</v>
      </c>
      <c r="F151" s="2"/>
    </row>
    <row r="152" spans="2:6" ht="15" hidden="1" customHeight="1" x14ac:dyDescent="0.35">
      <c r="B152" s="1"/>
      <c r="C152" s="98" t="s">
        <v>78</v>
      </c>
      <c r="D152" s="101"/>
      <c r="E152" s="104" t="s">
        <v>79</v>
      </c>
      <c r="F152" s="2"/>
    </row>
    <row r="153" spans="2:6" ht="15" hidden="1" customHeight="1" x14ac:dyDescent="0.35">
      <c r="B153" s="1"/>
      <c r="C153" s="98" t="s">
        <v>80</v>
      </c>
      <c r="D153" s="101"/>
      <c r="E153" s="104" t="s">
        <v>81</v>
      </c>
      <c r="F153" s="2"/>
    </row>
    <row r="154" spans="2:6" ht="15" hidden="1" customHeight="1" x14ac:dyDescent="0.35">
      <c r="B154" s="1"/>
      <c r="C154" s="98" t="s">
        <v>82</v>
      </c>
      <c r="D154" s="101"/>
      <c r="E154" s="104" t="s">
        <v>83</v>
      </c>
      <c r="F154" s="2"/>
    </row>
    <row r="155" spans="2:6" ht="15" hidden="1" customHeight="1" x14ac:dyDescent="0.35">
      <c r="B155" s="1"/>
      <c r="C155" s="98" t="s">
        <v>84</v>
      </c>
      <c r="D155" s="101"/>
      <c r="E155" s="104" t="s">
        <v>85</v>
      </c>
      <c r="F155" s="2"/>
    </row>
    <row r="156" spans="2:6" ht="15" hidden="1" customHeight="1" x14ac:dyDescent="0.35">
      <c r="B156" s="1"/>
      <c r="C156" s="98" t="s">
        <v>86</v>
      </c>
      <c r="D156" s="101"/>
      <c r="E156" s="104" t="s">
        <v>87</v>
      </c>
      <c r="F156" s="2"/>
    </row>
    <row r="157" spans="2:6" ht="15" hidden="1" customHeight="1" x14ac:dyDescent="0.35">
      <c r="B157" s="1"/>
      <c r="C157" s="98" t="s">
        <v>88</v>
      </c>
      <c r="D157" s="101"/>
      <c r="E157" s="104" t="s">
        <v>89</v>
      </c>
      <c r="F157" s="2"/>
    </row>
    <row r="158" spans="2:6" ht="15" hidden="1" customHeight="1" x14ac:dyDescent="0.35">
      <c r="B158" s="1"/>
      <c r="C158" s="98" t="s">
        <v>90</v>
      </c>
      <c r="D158" s="101"/>
      <c r="E158" s="104" t="s">
        <v>91</v>
      </c>
      <c r="F158" s="2"/>
    </row>
    <row r="159" spans="2:6" ht="15" hidden="1" customHeight="1" x14ac:dyDescent="0.35">
      <c r="B159" s="1"/>
      <c r="C159" s="98" t="s">
        <v>92</v>
      </c>
      <c r="D159" s="101"/>
      <c r="E159" s="104" t="s">
        <v>93</v>
      </c>
      <c r="F159" s="2"/>
    </row>
    <row r="160" spans="2:6" ht="15" hidden="1" customHeight="1" x14ac:dyDescent="0.35">
      <c r="B160" s="1"/>
      <c r="C160" s="98" t="s">
        <v>94</v>
      </c>
      <c r="D160" s="101"/>
      <c r="E160" s="104" t="s">
        <v>95</v>
      </c>
      <c r="F160" s="2"/>
    </row>
    <row r="161" spans="2:6" ht="15" hidden="1" customHeight="1" x14ac:dyDescent="0.35">
      <c r="B161" s="1"/>
      <c r="C161" s="98" t="s">
        <v>96</v>
      </c>
      <c r="D161" s="101"/>
      <c r="E161" s="104" t="s">
        <v>97</v>
      </c>
      <c r="F161" s="2"/>
    </row>
    <row r="162" spans="2:6" ht="15" hidden="1" customHeight="1" x14ac:dyDescent="0.25">
      <c r="B162" s="1"/>
      <c r="C162" s="94"/>
      <c r="D162" s="94"/>
      <c r="E162" s="94"/>
      <c r="F162" s="2"/>
    </row>
    <row r="163" spans="2:6" ht="15" hidden="1" customHeight="1" x14ac:dyDescent="0.25">
      <c r="B163" s="1"/>
      <c r="C163" s="94" t="s">
        <v>98</v>
      </c>
      <c r="D163" s="94"/>
      <c r="E163" s="94"/>
      <c r="F163" s="2"/>
    </row>
    <row r="164" spans="2:6" ht="15" hidden="1" customHeight="1" x14ac:dyDescent="0.25">
      <c r="B164" s="1"/>
      <c r="C164" s="97" t="s">
        <v>36</v>
      </c>
      <c r="D164" s="100" t="str">
        <f>IF(I.Facility.ComplianceYear="","Compliance year",I.Facility.ComplianceYear)</f>
        <v>Compliance year</v>
      </c>
      <c r="E164" s="96" t="s">
        <v>37</v>
      </c>
      <c r="F164" s="2"/>
    </row>
    <row r="165" spans="2:6" ht="15" hidden="1" customHeight="1" x14ac:dyDescent="0.25">
      <c r="B165" s="1"/>
      <c r="C165" s="98" t="s">
        <v>99</v>
      </c>
      <c r="D165" s="101"/>
      <c r="E165" s="104" t="s">
        <v>42</v>
      </c>
      <c r="F165" s="2"/>
    </row>
    <row r="166" spans="2:6" ht="15" hidden="1" customHeight="1" x14ac:dyDescent="0.25">
      <c r="B166" s="1"/>
      <c r="C166" s="98" t="s">
        <v>100</v>
      </c>
      <c r="D166" s="101"/>
      <c r="E166" s="104" t="s">
        <v>42</v>
      </c>
      <c r="F166" s="2"/>
    </row>
    <row r="167" spans="2:6" ht="15" hidden="1" customHeight="1" x14ac:dyDescent="0.35">
      <c r="B167" s="1"/>
      <c r="C167" s="98" t="s">
        <v>49</v>
      </c>
      <c r="D167" s="101"/>
      <c r="E167" s="104" t="s">
        <v>50</v>
      </c>
      <c r="F167" s="2"/>
    </row>
    <row r="168" spans="2:6" ht="15" hidden="1" customHeight="1" x14ac:dyDescent="0.35">
      <c r="B168" s="1"/>
      <c r="C168" s="98" t="s">
        <v>51</v>
      </c>
      <c r="D168" s="101"/>
      <c r="E168" s="104" t="s">
        <v>52</v>
      </c>
      <c r="F168" s="2"/>
    </row>
    <row r="169" spans="2:6" ht="15" hidden="1" customHeight="1" x14ac:dyDescent="0.35">
      <c r="B169" s="1"/>
      <c r="C169" s="98" t="s">
        <v>53</v>
      </c>
      <c r="D169" s="101"/>
      <c r="E169" s="104" t="s">
        <v>54</v>
      </c>
      <c r="F169" s="2"/>
    </row>
    <row r="170" spans="2:6" ht="15" hidden="1" customHeight="1" x14ac:dyDescent="0.25">
      <c r="B170" s="1"/>
      <c r="C170" s="122" t="s">
        <v>101</v>
      </c>
      <c r="D170" s="123"/>
      <c r="E170" s="123"/>
      <c r="F170" s="2"/>
    </row>
    <row r="171" spans="2:6" ht="15" hidden="1" customHeight="1" x14ac:dyDescent="0.25">
      <c r="B171" s="1"/>
      <c r="C171" s="124" t="s">
        <v>102</v>
      </c>
      <c r="D171" s="113"/>
      <c r="E171" s="113"/>
      <c r="F171" s="2"/>
    </row>
    <row r="172" spans="2:6" ht="15" hidden="1" customHeight="1" x14ac:dyDescent="0.25">
      <c r="B172" s="1"/>
      <c r="C172" s="94"/>
      <c r="D172" s="94"/>
      <c r="E172" s="94"/>
      <c r="F172" s="2"/>
    </row>
    <row r="173" spans="2:6" ht="15" hidden="1" customHeight="1" x14ac:dyDescent="0.25">
      <c r="B173" s="1"/>
      <c r="C173" s="94" t="s">
        <v>103</v>
      </c>
      <c r="D173" s="94"/>
      <c r="E173" s="94"/>
      <c r="F173" s="2"/>
    </row>
    <row r="174" spans="2:6" ht="15" hidden="1" customHeight="1" x14ac:dyDescent="0.25">
      <c r="B174" s="1"/>
      <c r="C174" s="97" t="s">
        <v>36</v>
      </c>
      <c r="D174" s="100" t="str">
        <f>IF(I.Facility.ComplianceYear="","Compliance year",I.Facility.ComplianceYear)</f>
        <v>Compliance year</v>
      </c>
      <c r="E174" s="96" t="s">
        <v>37</v>
      </c>
      <c r="F174" s="2"/>
    </row>
    <row r="175" spans="2:6" ht="15" hidden="1" customHeight="1" x14ac:dyDescent="0.35">
      <c r="B175" s="1"/>
      <c r="C175" s="98" t="s">
        <v>49</v>
      </c>
      <c r="D175" s="101"/>
      <c r="E175" s="104" t="s">
        <v>50</v>
      </c>
      <c r="F175" s="2"/>
    </row>
    <row r="176" spans="2:6" ht="15" hidden="1" customHeight="1" x14ac:dyDescent="0.35">
      <c r="B176" s="1"/>
      <c r="C176" s="98" t="s">
        <v>51</v>
      </c>
      <c r="D176" s="101"/>
      <c r="E176" s="104" t="s">
        <v>52</v>
      </c>
      <c r="F176" s="2"/>
    </row>
    <row r="177" spans="2:6" ht="15" hidden="1" customHeight="1" x14ac:dyDescent="0.35">
      <c r="B177" s="1"/>
      <c r="C177" s="98" t="s">
        <v>53</v>
      </c>
      <c r="D177" s="101"/>
      <c r="E177" s="104" t="s">
        <v>54</v>
      </c>
      <c r="F177" s="2"/>
    </row>
    <row r="178" spans="2:6" ht="15" hidden="1" customHeight="1" x14ac:dyDescent="0.25">
      <c r="B178" s="1"/>
      <c r="C178" s="94"/>
      <c r="D178" s="94"/>
      <c r="E178" s="94"/>
      <c r="F178" s="2"/>
    </row>
    <row r="179" spans="2:6" ht="20.100000000000001" hidden="1" customHeight="1" x14ac:dyDescent="0.25">
      <c r="B179" s="10"/>
      <c r="C179" s="118" t="s">
        <v>32</v>
      </c>
      <c r="D179" s="118"/>
      <c r="E179" s="118"/>
      <c r="F179" s="11"/>
    </row>
    <row r="180" spans="2:6" ht="15" hidden="1" customHeight="1" x14ac:dyDescent="0.25">
      <c r="B180" s="1"/>
      <c r="C180" s="94"/>
      <c r="D180" s="94"/>
      <c r="E180" s="94"/>
      <c r="F180" s="2"/>
    </row>
    <row r="181" spans="2:6" ht="15" hidden="1" customHeight="1" x14ac:dyDescent="0.25">
      <c r="B181" s="1"/>
      <c r="C181" s="94" t="s">
        <v>35</v>
      </c>
      <c r="D181" s="94"/>
      <c r="E181" s="94"/>
      <c r="F181" s="2"/>
    </row>
    <row r="182" spans="2:6" ht="15" hidden="1" customHeight="1" x14ac:dyDescent="0.25">
      <c r="B182" s="1"/>
      <c r="C182" s="97" t="s">
        <v>36</v>
      </c>
      <c r="D182" s="100" t="str">
        <f>IF(I.Facility.ComplianceYear="","Compliance year",I.Facility.ComplianceYear)</f>
        <v>Compliance year</v>
      </c>
      <c r="E182" s="96" t="s">
        <v>37</v>
      </c>
      <c r="F182" s="2"/>
    </row>
    <row r="183" spans="2:6" ht="15" hidden="1" customHeight="1" x14ac:dyDescent="0.25">
      <c r="B183" s="1"/>
      <c r="C183" s="98" t="s">
        <v>38</v>
      </c>
      <c r="D183" s="101"/>
      <c r="E183" s="95" t="s">
        <v>39</v>
      </c>
      <c r="F183" s="2"/>
    </row>
    <row r="184" spans="2:6" ht="15" hidden="1" customHeight="1" x14ac:dyDescent="0.25">
      <c r="B184" s="1"/>
      <c r="C184" s="94"/>
      <c r="D184" s="94"/>
      <c r="E184" s="94"/>
      <c r="F184" s="2"/>
    </row>
    <row r="185" spans="2:6" ht="15" hidden="1" customHeight="1" x14ac:dyDescent="0.25">
      <c r="B185" s="1"/>
      <c r="C185" s="94" t="s">
        <v>40</v>
      </c>
      <c r="D185" s="94"/>
      <c r="E185" s="94"/>
      <c r="F185" s="2"/>
    </row>
    <row r="186" spans="2:6" ht="15" hidden="1" customHeight="1" x14ac:dyDescent="0.25">
      <c r="B186" s="1"/>
      <c r="C186" s="97" t="s">
        <v>36</v>
      </c>
      <c r="D186" s="100" t="str">
        <f>IF(I.Facility.ComplianceYear="","Compliance year",I.Facility.ComplianceYear)</f>
        <v>Compliance year</v>
      </c>
      <c r="E186" s="96" t="s">
        <v>37</v>
      </c>
      <c r="F186" s="2"/>
    </row>
    <row r="187" spans="2:6" ht="15" hidden="1" customHeight="1" x14ac:dyDescent="0.25">
      <c r="B187" s="1"/>
      <c r="C187" s="98" t="s">
        <v>41</v>
      </c>
      <c r="D187" s="101"/>
      <c r="E187" s="104" t="s">
        <v>42</v>
      </c>
      <c r="F187" s="2"/>
    </row>
    <row r="188" spans="2:6" ht="15" hidden="1" customHeight="1" x14ac:dyDescent="0.25">
      <c r="B188" s="1"/>
      <c r="C188" s="98" t="s">
        <v>43</v>
      </c>
      <c r="D188" s="101"/>
      <c r="E188" s="95" t="s">
        <v>44</v>
      </c>
      <c r="F188" s="2"/>
    </row>
    <row r="189" spans="2:6" ht="15" hidden="1" customHeight="1" x14ac:dyDescent="0.25">
      <c r="B189" s="1"/>
      <c r="C189" s="98" t="s">
        <v>45</v>
      </c>
      <c r="D189" s="101"/>
      <c r="E189" s="95" t="s">
        <v>44</v>
      </c>
      <c r="F189" s="2"/>
    </row>
    <row r="190" spans="2:6" ht="15" hidden="1" customHeight="1" x14ac:dyDescent="0.25">
      <c r="B190" s="1"/>
      <c r="C190" s="98" t="s">
        <v>46</v>
      </c>
      <c r="D190" s="101"/>
      <c r="E190" s="95" t="s">
        <v>44</v>
      </c>
      <c r="F190" s="2"/>
    </row>
    <row r="191" spans="2:6" ht="15" hidden="1" customHeight="1" x14ac:dyDescent="0.25">
      <c r="B191" s="1"/>
      <c r="C191" s="98" t="s">
        <v>47</v>
      </c>
      <c r="D191" s="101"/>
      <c r="E191" s="95" t="s">
        <v>44</v>
      </c>
      <c r="F191" s="2"/>
    </row>
    <row r="192" spans="2:6" ht="15" hidden="1" customHeight="1" x14ac:dyDescent="0.25">
      <c r="B192" s="1"/>
      <c r="C192" s="98" t="s">
        <v>48</v>
      </c>
      <c r="D192" s="101"/>
      <c r="E192" s="95" t="s">
        <v>44</v>
      </c>
      <c r="F192" s="2"/>
    </row>
    <row r="193" spans="2:6" ht="15" hidden="1" customHeight="1" x14ac:dyDescent="0.35">
      <c r="B193" s="1"/>
      <c r="C193" s="98" t="s">
        <v>49</v>
      </c>
      <c r="D193" s="101"/>
      <c r="E193" s="104" t="s">
        <v>50</v>
      </c>
      <c r="F193" s="2"/>
    </row>
    <row r="194" spans="2:6" ht="15" hidden="1" customHeight="1" x14ac:dyDescent="0.35">
      <c r="B194" s="1"/>
      <c r="C194" s="98" t="s">
        <v>51</v>
      </c>
      <c r="D194" s="101"/>
      <c r="E194" s="104" t="s">
        <v>52</v>
      </c>
      <c r="F194" s="2"/>
    </row>
    <row r="195" spans="2:6" ht="15" hidden="1" customHeight="1" x14ac:dyDescent="0.35">
      <c r="B195" s="1"/>
      <c r="C195" s="98" t="s">
        <v>53</v>
      </c>
      <c r="D195" s="101"/>
      <c r="E195" s="104" t="s">
        <v>54</v>
      </c>
      <c r="F195" s="2"/>
    </row>
    <row r="196" spans="2:6" ht="15" hidden="1" customHeight="1" x14ac:dyDescent="0.25">
      <c r="B196" s="1"/>
      <c r="C196" s="94"/>
      <c r="D196" s="94"/>
      <c r="E196" s="94"/>
      <c r="F196" s="2"/>
    </row>
    <row r="197" spans="2:6" ht="15" hidden="1" customHeight="1" x14ac:dyDescent="0.25">
      <c r="B197" s="1"/>
      <c r="C197" s="94" t="s">
        <v>55</v>
      </c>
      <c r="D197" s="94"/>
      <c r="E197" s="94"/>
      <c r="F197" s="2"/>
    </row>
    <row r="198" spans="2:6" ht="15" hidden="1" customHeight="1" x14ac:dyDescent="0.25">
      <c r="B198" s="1"/>
      <c r="C198" s="97" t="s">
        <v>36</v>
      </c>
      <c r="D198" s="100" t="str">
        <f>IF(I.Facility.ComplianceYear="","Compliance year",I.Facility.ComplianceYear)</f>
        <v>Compliance year</v>
      </c>
      <c r="E198" s="96" t="s">
        <v>37</v>
      </c>
      <c r="F198" s="2"/>
    </row>
    <row r="199" spans="2:6" ht="15" hidden="1" customHeight="1" x14ac:dyDescent="0.35">
      <c r="B199" s="1"/>
      <c r="C199" s="98" t="s">
        <v>56</v>
      </c>
      <c r="D199" s="101"/>
      <c r="E199" s="104" t="s">
        <v>57</v>
      </c>
      <c r="F199" s="2"/>
    </row>
    <row r="200" spans="2:6" ht="15" hidden="1" customHeight="1" x14ac:dyDescent="0.35">
      <c r="B200" s="1"/>
      <c r="C200" s="98" t="s">
        <v>58</v>
      </c>
      <c r="D200" s="101"/>
      <c r="E200" s="104" t="s">
        <v>59</v>
      </c>
      <c r="F200" s="2"/>
    </row>
    <row r="201" spans="2:6" ht="15" hidden="1" customHeight="1" x14ac:dyDescent="0.35">
      <c r="B201" s="1"/>
      <c r="C201" s="98" t="s">
        <v>60</v>
      </c>
      <c r="D201" s="101"/>
      <c r="E201" s="104" t="s">
        <v>61</v>
      </c>
      <c r="F201" s="2"/>
    </row>
    <row r="202" spans="2:6" ht="15" hidden="1" customHeight="1" x14ac:dyDescent="0.35">
      <c r="B202" s="1"/>
      <c r="C202" s="98" t="s">
        <v>62</v>
      </c>
      <c r="D202" s="101"/>
      <c r="E202" s="104" t="s">
        <v>63</v>
      </c>
      <c r="F202" s="2"/>
    </row>
    <row r="203" spans="2:6" ht="15" hidden="1" customHeight="1" x14ac:dyDescent="0.35">
      <c r="B203" s="1"/>
      <c r="C203" s="98" t="s">
        <v>64</v>
      </c>
      <c r="D203" s="101"/>
      <c r="E203" s="104" t="s">
        <v>65</v>
      </c>
      <c r="F203" s="2"/>
    </row>
    <row r="204" spans="2:6" ht="15" hidden="1" customHeight="1" x14ac:dyDescent="0.35">
      <c r="B204" s="1"/>
      <c r="C204" s="98" t="s">
        <v>66</v>
      </c>
      <c r="D204" s="101"/>
      <c r="E204" s="104" t="s">
        <v>67</v>
      </c>
      <c r="F204" s="2"/>
    </row>
    <row r="205" spans="2:6" ht="15" hidden="1" customHeight="1" x14ac:dyDescent="0.35">
      <c r="B205" s="1"/>
      <c r="C205" s="98" t="s">
        <v>68</v>
      </c>
      <c r="D205" s="101"/>
      <c r="E205" s="104" t="s">
        <v>69</v>
      </c>
      <c r="F205" s="2"/>
    </row>
    <row r="206" spans="2:6" ht="15" hidden="1" customHeight="1" x14ac:dyDescent="0.35">
      <c r="B206" s="1"/>
      <c r="C206" s="98" t="s">
        <v>70</v>
      </c>
      <c r="D206" s="101"/>
      <c r="E206" s="104" t="s">
        <v>71</v>
      </c>
      <c r="F206" s="2"/>
    </row>
    <row r="207" spans="2:6" ht="15" hidden="1" customHeight="1" x14ac:dyDescent="0.35">
      <c r="B207" s="1"/>
      <c r="C207" s="98" t="s">
        <v>72</v>
      </c>
      <c r="D207" s="101"/>
      <c r="E207" s="104" t="s">
        <v>73</v>
      </c>
      <c r="F207" s="2"/>
    </row>
    <row r="208" spans="2:6" ht="15" hidden="1" customHeight="1" x14ac:dyDescent="0.35">
      <c r="B208" s="1"/>
      <c r="C208" s="98" t="s">
        <v>74</v>
      </c>
      <c r="D208" s="101"/>
      <c r="E208" s="104" t="s">
        <v>75</v>
      </c>
      <c r="F208" s="2"/>
    </row>
    <row r="209" spans="2:6" ht="15" hidden="1" customHeight="1" x14ac:dyDescent="0.35">
      <c r="B209" s="1"/>
      <c r="C209" s="98" t="s">
        <v>76</v>
      </c>
      <c r="D209" s="101"/>
      <c r="E209" s="104" t="s">
        <v>77</v>
      </c>
      <c r="F209" s="2"/>
    </row>
    <row r="210" spans="2:6" ht="15" hidden="1" customHeight="1" x14ac:dyDescent="0.35">
      <c r="B210" s="1"/>
      <c r="C210" s="98" t="s">
        <v>78</v>
      </c>
      <c r="D210" s="101"/>
      <c r="E210" s="104" t="s">
        <v>79</v>
      </c>
      <c r="F210" s="2"/>
    </row>
    <row r="211" spans="2:6" ht="15" hidden="1" customHeight="1" x14ac:dyDescent="0.35">
      <c r="B211" s="1"/>
      <c r="C211" s="98" t="s">
        <v>80</v>
      </c>
      <c r="D211" s="101"/>
      <c r="E211" s="104" t="s">
        <v>81</v>
      </c>
      <c r="F211" s="2"/>
    </row>
    <row r="212" spans="2:6" ht="15" hidden="1" customHeight="1" x14ac:dyDescent="0.35">
      <c r="B212" s="1"/>
      <c r="C212" s="98" t="s">
        <v>82</v>
      </c>
      <c r="D212" s="101"/>
      <c r="E212" s="104" t="s">
        <v>83</v>
      </c>
      <c r="F212" s="2"/>
    </row>
    <row r="213" spans="2:6" ht="15" hidden="1" customHeight="1" x14ac:dyDescent="0.35">
      <c r="B213" s="1"/>
      <c r="C213" s="98" t="s">
        <v>84</v>
      </c>
      <c r="D213" s="101"/>
      <c r="E213" s="104" t="s">
        <v>85</v>
      </c>
      <c r="F213" s="2"/>
    </row>
    <row r="214" spans="2:6" ht="15" hidden="1" customHeight="1" x14ac:dyDescent="0.35">
      <c r="B214" s="1"/>
      <c r="C214" s="98" t="s">
        <v>86</v>
      </c>
      <c r="D214" s="101"/>
      <c r="E214" s="104" t="s">
        <v>87</v>
      </c>
      <c r="F214" s="2"/>
    </row>
    <row r="215" spans="2:6" ht="15" hidden="1" customHeight="1" x14ac:dyDescent="0.35">
      <c r="B215" s="1"/>
      <c r="C215" s="98" t="s">
        <v>88</v>
      </c>
      <c r="D215" s="101"/>
      <c r="E215" s="104" t="s">
        <v>89</v>
      </c>
      <c r="F215" s="2"/>
    </row>
    <row r="216" spans="2:6" ht="15" hidden="1" customHeight="1" x14ac:dyDescent="0.35">
      <c r="B216" s="1"/>
      <c r="C216" s="98" t="s">
        <v>90</v>
      </c>
      <c r="D216" s="101"/>
      <c r="E216" s="104" t="s">
        <v>91</v>
      </c>
      <c r="F216" s="2"/>
    </row>
    <row r="217" spans="2:6" ht="15" hidden="1" customHeight="1" x14ac:dyDescent="0.35">
      <c r="B217" s="1"/>
      <c r="C217" s="98" t="s">
        <v>92</v>
      </c>
      <c r="D217" s="101"/>
      <c r="E217" s="104" t="s">
        <v>93</v>
      </c>
      <c r="F217" s="2"/>
    </row>
    <row r="218" spans="2:6" ht="15" hidden="1" customHeight="1" x14ac:dyDescent="0.35">
      <c r="B218" s="1"/>
      <c r="C218" s="98" t="s">
        <v>94</v>
      </c>
      <c r="D218" s="101"/>
      <c r="E218" s="104" t="s">
        <v>95</v>
      </c>
      <c r="F218" s="2"/>
    </row>
    <row r="219" spans="2:6" ht="15" hidden="1" customHeight="1" x14ac:dyDescent="0.35">
      <c r="B219" s="1"/>
      <c r="C219" s="98" t="s">
        <v>96</v>
      </c>
      <c r="D219" s="101"/>
      <c r="E219" s="104" t="s">
        <v>97</v>
      </c>
      <c r="F219" s="2"/>
    </row>
    <row r="220" spans="2:6" ht="15" hidden="1" customHeight="1" x14ac:dyDescent="0.25">
      <c r="B220" s="1"/>
      <c r="C220" s="94"/>
      <c r="D220" s="94"/>
      <c r="E220" s="94"/>
      <c r="F220" s="2"/>
    </row>
    <row r="221" spans="2:6" ht="15" hidden="1" customHeight="1" x14ac:dyDescent="0.25">
      <c r="B221" s="1"/>
      <c r="C221" s="94" t="s">
        <v>98</v>
      </c>
      <c r="D221" s="94"/>
      <c r="E221" s="94"/>
      <c r="F221" s="2"/>
    </row>
    <row r="222" spans="2:6" ht="15" hidden="1" customHeight="1" x14ac:dyDescent="0.25">
      <c r="B222" s="1"/>
      <c r="C222" s="97" t="s">
        <v>36</v>
      </c>
      <c r="D222" s="100" t="str">
        <f>IF(I.Facility.ComplianceYear="","Compliance year",I.Facility.ComplianceYear)</f>
        <v>Compliance year</v>
      </c>
      <c r="E222" s="96" t="s">
        <v>37</v>
      </c>
      <c r="F222" s="2"/>
    </row>
    <row r="223" spans="2:6" ht="15" hidden="1" customHeight="1" x14ac:dyDescent="0.25">
      <c r="B223" s="1"/>
      <c r="C223" s="98" t="s">
        <v>99</v>
      </c>
      <c r="D223" s="101"/>
      <c r="E223" s="104" t="s">
        <v>42</v>
      </c>
      <c r="F223" s="2"/>
    </row>
    <row r="224" spans="2:6" ht="15" hidden="1" customHeight="1" x14ac:dyDescent="0.25">
      <c r="B224" s="1"/>
      <c r="C224" s="98" t="s">
        <v>100</v>
      </c>
      <c r="D224" s="101"/>
      <c r="E224" s="104" t="s">
        <v>42</v>
      </c>
      <c r="F224" s="2"/>
    </row>
    <row r="225" spans="2:6" ht="15" hidden="1" customHeight="1" x14ac:dyDescent="0.35">
      <c r="B225" s="1"/>
      <c r="C225" s="98" t="s">
        <v>49</v>
      </c>
      <c r="D225" s="101"/>
      <c r="E225" s="104" t="s">
        <v>50</v>
      </c>
      <c r="F225" s="2"/>
    </row>
    <row r="226" spans="2:6" ht="15" hidden="1" customHeight="1" x14ac:dyDescent="0.35">
      <c r="B226" s="1"/>
      <c r="C226" s="98" t="s">
        <v>51</v>
      </c>
      <c r="D226" s="101"/>
      <c r="E226" s="104" t="s">
        <v>52</v>
      </c>
      <c r="F226" s="2"/>
    </row>
    <row r="227" spans="2:6" ht="15" hidden="1" customHeight="1" x14ac:dyDescent="0.35">
      <c r="B227" s="1"/>
      <c r="C227" s="98" t="s">
        <v>53</v>
      </c>
      <c r="D227" s="101"/>
      <c r="E227" s="104" t="s">
        <v>54</v>
      </c>
      <c r="F227" s="2"/>
    </row>
    <row r="228" spans="2:6" ht="15" hidden="1" customHeight="1" x14ac:dyDescent="0.25">
      <c r="B228" s="1"/>
      <c r="C228" s="122" t="s">
        <v>101</v>
      </c>
      <c r="D228" s="123"/>
      <c r="E228" s="123"/>
      <c r="F228" s="2"/>
    </row>
    <row r="229" spans="2:6" ht="15" hidden="1" customHeight="1" x14ac:dyDescent="0.25">
      <c r="B229" s="1"/>
      <c r="C229" s="124" t="s">
        <v>102</v>
      </c>
      <c r="D229" s="113"/>
      <c r="E229" s="113"/>
      <c r="F229" s="2"/>
    </row>
    <row r="230" spans="2:6" ht="15" hidden="1" customHeight="1" x14ac:dyDescent="0.25">
      <c r="B230" s="1"/>
      <c r="C230" s="94"/>
      <c r="D230" s="94"/>
      <c r="E230" s="94"/>
      <c r="F230" s="2"/>
    </row>
    <row r="231" spans="2:6" ht="15" hidden="1" customHeight="1" x14ac:dyDescent="0.25">
      <c r="B231" s="1"/>
      <c r="C231" s="94" t="s">
        <v>103</v>
      </c>
      <c r="D231" s="94"/>
      <c r="E231" s="94"/>
      <c r="F231" s="2"/>
    </row>
    <row r="232" spans="2:6" ht="15" hidden="1" customHeight="1" x14ac:dyDescent="0.25">
      <c r="B232" s="1"/>
      <c r="C232" s="97" t="s">
        <v>36</v>
      </c>
      <c r="D232" s="100" t="str">
        <f>IF(I.Facility.ComplianceYear="","Compliance year",I.Facility.ComplianceYear)</f>
        <v>Compliance year</v>
      </c>
      <c r="E232" s="96" t="s">
        <v>37</v>
      </c>
      <c r="F232" s="2"/>
    </row>
    <row r="233" spans="2:6" ht="15" hidden="1" customHeight="1" x14ac:dyDescent="0.35">
      <c r="B233" s="1"/>
      <c r="C233" s="98" t="s">
        <v>49</v>
      </c>
      <c r="D233" s="101"/>
      <c r="E233" s="104" t="s">
        <v>50</v>
      </c>
      <c r="F233" s="2"/>
    </row>
    <row r="234" spans="2:6" ht="15" hidden="1" customHeight="1" x14ac:dyDescent="0.35">
      <c r="B234" s="1"/>
      <c r="C234" s="98" t="s">
        <v>51</v>
      </c>
      <c r="D234" s="101"/>
      <c r="E234" s="104" t="s">
        <v>52</v>
      </c>
      <c r="F234" s="2"/>
    </row>
    <row r="235" spans="2:6" ht="15" hidden="1" customHeight="1" x14ac:dyDescent="0.35">
      <c r="B235" s="1"/>
      <c r="C235" s="98" t="s">
        <v>53</v>
      </c>
      <c r="D235" s="101"/>
      <c r="E235" s="104" t="s">
        <v>54</v>
      </c>
      <c r="F235" s="2"/>
    </row>
    <row r="236" spans="2:6" ht="15" hidden="1" customHeight="1" x14ac:dyDescent="0.25">
      <c r="B236" s="1"/>
      <c r="C236" s="94"/>
      <c r="D236" s="94"/>
      <c r="E236" s="94"/>
      <c r="F236" s="2"/>
    </row>
    <row r="237" spans="2:6" ht="20.100000000000001" hidden="1" customHeight="1" x14ac:dyDescent="0.25">
      <c r="B237" s="10"/>
      <c r="C237" s="118" t="s">
        <v>33</v>
      </c>
      <c r="D237" s="118"/>
      <c r="E237" s="118"/>
      <c r="F237" s="11"/>
    </row>
    <row r="238" spans="2:6" ht="15" hidden="1" customHeight="1" x14ac:dyDescent="0.25">
      <c r="B238" s="1"/>
      <c r="C238" s="94"/>
      <c r="D238" s="94"/>
      <c r="E238" s="94"/>
      <c r="F238" s="2"/>
    </row>
    <row r="239" spans="2:6" ht="15" hidden="1" customHeight="1" x14ac:dyDescent="0.25">
      <c r="B239" s="1"/>
      <c r="C239" s="94" t="s">
        <v>35</v>
      </c>
      <c r="D239" s="94"/>
      <c r="E239" s="94"/>
      <c r="F239" s="2"/>
    </row>
    <row r="240" spans="2:6" ht="15" hidden="1" customHeight="1" x14ac:dyDescent="0.25">
      <c r="B240" s="1"/>
      <c r="C240" s="97" t="s">
        <v>36</v>
      </c>
      <c r="D240" s="100" t="str">
        <f>IF(I.Facility.ComplianceYear="","Compliance year",I.Facility.ComplianceYear)</f>
        <v>Compliance year</v>
      </c>
      <c r="E240" s="96" t="s">
        <v>37</v>
      </c>
      <c r="F240" s="2"/>
    </row>
    <row r="241" spans="2:6" ht="15" hidden="1" customHeight="1" x14ac:dyDescent="0.25">
      <c r="B241" s="1"/>
      <c r="C241" s="98" t="s">
        <v>38</v>
      </c>
      <c r="D241" s="101"/>
      <c r="E241" s="95" t="s">
        <v>39</v>
      </c>
      <c r="F241" s="2"/>
    </row>
    <row r="242" spans="2:6" ht="15" hidden="1" customHeight="1" x14ac:dyDescent="0.25">
      <c r="B242" s="1"/>
      <c r="C242" s="94"/>
      <c r="D242" s="94"/>
      <c r="E242" s="94"/>
      <c r="F242" s="2"/>
    </row>
    <row r="243" spans="2:6" ht="15" hidden="1" customHeight="1" x14ac:dyDescent="0.25">
      <c r="B243" s="1"/>
      <c r="C243" s="94" t="s">
        <v>40</v>
      </c>
      <c r="D243" s="94"/>
      <c r="E243" s="94"/>
      <c r="F243" s="2"/>
    </row>
    <row r="244" spans="2:6" ht="15" hidden="1" customHeight="1" x14ac:dyDescent="0.25">
      <c r="B244" s="1"/>
      <c r="C244" s="97" t="s">
        <v>36</v>
      </c>
      <c r="D244" s="100" t="str">
        <f>IF(I.Facility.ComplianceYear="","Compliance year",I.Facility.ComplianceYear)</f>
        <v>Compliance year</v>
      </c>
      <c r="E244" s="96" t="s">
        <v>37</v>
      </c>
      <c r="F244" s="2"/>
    </row>
    <row r="245" spans="2:6" ht="15" hidden="1" customHeight="1" x14ac:dyDescent="0.25">
      <c r="B245" s="1"/>
      <c r="C245" s="98" t="s">
        <v>41</v>
      </c>
      <c r="D245" s="101"/>
      <c r="E245" s="104" t="s">
        <v>42</v>
      </c>
      <c r="F245" s="2"/>
    </row>
    <row r="246" spans="2:6" ht="15" hidden="1" customHeight="1" x14ac:dyDescent="0.25">
      <c r="B246" s="1"/>
      <c r="C246" s="98" t="s">
        <v>43</v>
      </c>
      <c r="D246" s="101"/>
      <c r="E246" s="95" t="s">
        <v>44</v>
      </c>
      <c r="F246" s="2"/>
    </row>
    <row r="247" spans="2:6" ht="15" hidden="1" customHeight="1" x14ac:dyDescent="0.25">
      <c r="B247" s="1"/>
      <c r="C247" s="98" t="s">
        <v>45</v>
      </c>
      <c r="D247" s="101"/>
      <c r="E247" s="95" t="s">
        <v>44</v>
      </c>
      <c r="F247" s="2"/>
    </row>
    <row r="248" spans="2:6" ht="15" hidden="1" customHeight="1" x14ac:dyDescent="0.25">
      <c r="B248" s="1"/>
      <c r="C248" s="98" t="s">
        <v>46</v>
      </c>
      <c r="D248" s="101"/>
      <c r="E248" s="95" t="s">
        <v>44</v>
      </c>
      <c r="F248" s="2"/>
    </row>
    <row r="249" spans="2:6" ht="15" hidden="1" customHeight="1" x14ac:dyDescent="0.25">
      <c r="B249" s="1"/>
      <c r="C249" s="98" t="s">
        <v>47</v>
      </c>
      <c r="D249" s="101"/>
      <c r="E249" s="95" t="s">
        <v>44</v>
      </c>
      <c r="F249" s="2"/>
    </row>
    <row r="250" spans="2:6" ht="15" hidden="1" customHeight="1" x14ac:dyDescent="0.25">
      <c r="B250" s="1"/>
      <c r="C250" s="98" t="s">
        <v>48</v>
      </c>
      <c r="D250" s="101"/>
      <c r="E250" s="95" t="s">
        <v>44</v>
      </c>
      <c r="F250" s="2"/>
    </row>
    <row r="251" spans="2:6" ht="15" hidden="1" customHeight="1" x14ac:dyDescent="0.35">
      <c r="B251" s="1"/>
      <c r="C251" s="98" t="s">
        <v>49</v>
      </c>
      <c r="D251" s="101"/>
      <c r="E251" s="104" t="s">
        <v>50</v>
      </c>
      <c r="F251" s="2"/>
    </row>
    <row r="252" spans="2:6" ht="15" hidden="1" customHeight="1" x14ac:dyDescent="0.35">
      <c r="B252" s="1"/>
      <c r="C252" s="98" t="s">
        <v>51</v>
      </c>
      <c r="D252" s="101"/>
      <c r="E252" s="104" t="s">
        <v>52</v>
      </c>
      <c r="F252" s="2"/>
    </row>
    <row r="253" spans="2:6" ht="15" hidden="1" customHeight="1" x14ac:dyDescent="0.35">
      <c r="B253" s="1"/>
      <c r="C253" s="98" t="s">
        <v>53</v>
      </c>
      <c r="D253" s="101"/>
      <c r="E253" s="104" t="s">
        <v>54</v>
      </c>
      <c r="F253" s="2"/>
    </row>
    <row r="254" spans="2:6" ht="15" hidden="1" customHeight="1" x14ac:dyDescent="0.25">
      <c r="B254" s="1"/>
      <c r="C254" s="94"/>
      <c r="D254" s="94"/>
      <c r="E254" s="94"/>
      <c r="F254" s="2"/>
    </row>
    <row r="255" spans="2:6" ht="15" hidden="1" customHeight="1" x14ac:dyDescent="0.25">
      <c r="B255" s="1"/>
      <c r="C255" s="94" t="s">
        <v>55</v>
      </c>
      <c r="D255" s="94"/>
      <c r="E255" s="94"/>
      <c r="F255" s="2"/>
    </row>
    <row r="256" spans="2:6" ht="15" hidden="1" customHeight="1" x14ac:dyDescent="0.25">
      <c r="B256" s="1"/>
      <c r="C256" s="97" t="s">
        <v>36</v>
      </c>
      <c r="D256" s="100" t="str">
        <f>IF(I.Facility.ComplianceYear="","Compliance year",I.Facility.ComplianceYear)</f>
        <v>Compliance year</v>
      </c>
      <c r="E256" s="96" t="s">
        <v>37</v>
      </c>
      <c r="F256" s="2"/>
    </row>
    <row r="257" spans="2:6" ht="15" hidden="1" customHeight="1" x14ac:dyDescent="0.35">
      <c r="B257" s="1"/>
      <c r="C257" s="98" t="s">
        <v>56</v>
      </c>
      <c r="D257" s="101"/>
      <c r="E257" s="104" t="s">
        <v>57</v>
      </c>
      <c r="F257" s="2"/>
    </row>
    <row r="258" spans="2:6" ht="15" hidden="1" customHeight="1" x14ac:dyDescent="0.35">
      <c r="B258" s="1"/>
      <c r="C258" s="98" t="s">
        <v>58</v>
      </c>
      <c r="D258" s="101"/>
      <c r="E258" s="104" t="s">
        <v>59</v>
      </c>
      <c r="F258" s="2"/>
    </row>
    <row r="259" spans="2:6" ht="15" hidden="1" customHeight="1" x14ac:dyDescent="0.35">
      <c r="B259" s="1"/>
      <c r="C259" s="98" t="s">
        <v>60</v>
      </c>
      <c r="D259" s="101"/>
      <c r="E259" s="104" t="s">
        <v>61</v>
      </c>
      <c r="F259" s="2"/>
    </row>
    <row r="260" spans="2:6" ht="15" hidden="1" customHeight="1" x14ac:dyDescent="0.35">
      <c r="B260" s="1"/>
      <c r="C260" s="98" t="s">
        <v>62</v>
      </c>
      <c r="D260" s="101"/>
      <c r="E260" s="104" t="s">
        <v>63</v>
      </c>
      <c r="F260" s="2"/>
    </row>
    <row r="261" spans="2:6" ht="15" hidden="1" customHeight="1" x14ac:dyDescent="0.35">
      <c r="B261" s="1"/>
      <c r="C261" s="98" t="s">
        <v>64</v>
      </c>
      <c r="D261" s="101"/>
      <c r="E261" s="104" t="s">
        <v>65</v>
      </c>
      <c r="F261" s="2"/>
    </row>
    <row r="262" spans="2:6" ht="15" hidden="1" customHeight="1" x14ac:dyDescent="0.35">
      <c r="B262" s="1"/>
      <c r="C262" s="98" t="s">
        <v>66</v>
      </c>
      <c r="D262" s="101"/>
      <c r="E262" s="104" t="s">
        <v>67</v>
      </c>
      <c r="F262" s="2"/>
    </row>
    <row r="263" spans="2:6" ht="15" hidden="1" customHeight="1" x14ac:dyDescent="0.35">
      <c r="B263" s="1"/>
      <c r="C263" s="98" t="s">
        <v>68</v>
      </c>
      <c r="D263" s="101"/>
      <c r="E263" s="104" t="s">
        <v>69</v>
      </c>
      <c r="F263" s="2"/>
    </row>
    <row r="264" spans="2:6" ht="15" hidden="1" customHeight="1" x14ac:dyDescent="0.35">
      <c r="B264" s="1"/>
      <c r="C264" s="98" t="s">
        <v>70</v>
      </c>
      <c r="D264" s="101"/>
      <c r="E264" s="104" t="s">
        <v>71</v>
      </c>
      <c r="F264" s="2"/>
    </row>
    <row r="265" spans="2:6" ht="15" hidden="1" customHeight="1" x14ac:dyDescent="0.35">
      <c r="B265" s="1"/>
      <c r="C265" s="98" t="s">
        <v>72</v>
      </c>
      <c r="D265" s="101"/>
      <c r="E265" s="104" t="s">
        <v>73</v>
      </c>
      <c r="F265" s="2"/>
    </row>
    <row r="266" spans="2:6" ht="15" hidden="1" customHeight="1" x14ac:dyDescent="0.35">
      <c r="B266" s="1"/>
      <c r="C266" s="98" t="s">
        <v>74</v>
      </c>
      <c r="D266" s="101"/>
      <c r="E266" s="104" t="s">
        <v>75</v>
      </c>
      <c r="F266" s="2"/>
    </row>
    <row r="267" spans="2:6" ht="15" hidden="1" customHeight="1" x14ac:dyDescent="0.35">
      <c r="B267" s="1"/>
      <c r="C267" s="98" t="s">
        <v>76</v>
      </c>
      <c r="D267" s="101"/>
      <c r="E267" s="104" t="s">
        <v>77</v>
      </c>
      <c r="F267" s="2"/>
    </row>
    <row r="268" spans="2:6" ht="15" hidden="1" customHeight="1" x14ac:dyDescent="0.35">
      <c r="B268" s="1"/>
      <c r="C268" s="98" t="s">
        <v>78</v>
      </c>
      <c r="D268" s="101"/>
      <c r="E268" s="104" t="s">
        <v>79</v>
      </c>
      <c r="F268" s="2"/>
    </row>
    <row r="269" spans="2:6" ht="15" hidden="1" customHeight="1" x14ac:dyDescent="0.35">
      <c r="B269" s="1"/>
      <c r="C269" s="98" t="s">
        <v>80</v>
      </c>
      <c r="D269" s="101"/>
      <c r="E269" s="104" t="s">
        <v>81</v>
      </c>
      <c r="F269" s="2"/>
    </row>
    <row r="270" spans="2:6" ht="15" hidden="1" customHeight="1" x14ac:dyDescent="0.35">
      <c r="B270" s="1"/>
      <c r="C270" s="98" t="s">
        <v>82</v>
      </c>
      <c r="D270" s="101"/>
      <c r="E270" s="104" t="s">
        <v>83</v>
      </c>
      <c r="F270" s="2"/>
    </row>
    <row r="271" spans="2:6" ht="15" hidden="1" customHeight="1" x14ac:dyDescent="0.35">
      <c r="B271" s="1"/>
      <c r="C271" s="98" t="s">
        <v>84</v>
      </c>
      <c r="D271" s="101"/>
      <c r="E271" s="104" t="s">
        <v>85</v>
      </c>
      <c r="F271" s="2"/>
    </row>
    <row r="272" spans="2:6" ht="15" hidden="1" customHeight="1" x14ac:dyDescent="0.35">
      <c r="B272" s="1"/>
      <c r="C272" s="98" t="s">
        <v>86</v>
      </c>
      <c r="D272" s="101"/>
      <c r="E272" s="104" t="s">
        <v>87</v>
      </c>
      <c r="F272" s="2"/>
    </row>
    <row r="273" spans="2:6" ht="15" hidden="1" customHeight="1" x14ac:dyDescent="0.35">
      <c r="B273" s="1"/>
      <c r="C273" s="98" t="s">
        <v>88</v>
      </c>
      <c r="D273" s="101"/>
      <c r="E273" s="104" t="s">
        <v>89</v>
      </c>
      <c r="F273" s="2"/>
    </row>
    <row r="274" spans="2:6" ht="15" hidden="1" customHeight="1" x14ac:dyDescent="0.35">
      <c r="B274" s="1"/>
      <c r="C274" s="98" t="s">
        <v>90</v>
      </c>
      <c r="D274" s="101"/>
      <c r="E274" s="104" t="s">
        <v>91</v>
      </c>
      <c r="F274" s="2"/>
    </row>
    <row r="275" spans="2:6" ht="15" hidden="1" customHeight="1" x14ac:dyDescent="0.35">
      <c r="B275" s="1"/>
      <c r="C275" s="98" t="s">
        <v>92</v>
      </c>
      <c r="D275" s="101"/>
      <c r="E275" s="104" t="s">
        <v>93</v>
      </c>
      <c r="F275" s="2"/>
    </row>
    <row r="276" spans="2:6" ht="15" hidden="1" customHeight="1" x14ac:dyDescent="0.35">
      <c r="B276" s="1"/>
      <c r="C276" s="98" t="s">
        <v>94</v>
      </c>
      <c r="D276" s="101"/>
      <c r="E276" s="104" t="s">
        <v>95</v>
      </c>
      <c r="F276" s="2"/>
    </row>
    <row r="277" spans="2:6" ht="15" hidden="1" customHeight="1" x14ac:dyDescent="0.35">
      <c r="B277" s="1"/>
      <c r="C277" s="98" t="s">
        <v>96</v>
      </c>
      <c r="D277" s="101"/>
      <c r="E277" s="104" t="s">
        <v>97</v>
      </c>
      <c r="F277" s="2"/>
    </row>
    <row r="278" spans="2:6" ht="15" hidden="1" customHeight="1" x14ac:dyDescent="0.25">
      <c r="B278" s="1"/>
      <c r="C278" s="94"/>
      <c r="D278" s="94"/>
      <c r="E278" s="94"/>
      <c r="F278" s="2"/>
    </row>
    <row r="279" spans="2:6" ht="15" hidden="1" customHeight="1" x14ac:dyDescent="0.25">
      <c r="B279" s="1"/>
      <c r="C279" s="94" t="s">
        <v>98</v>
      </c>
      <c r="D279" s="94"/>
      <c r="E279" s="94"/>
      <c r="F279" s="2"/>
    </row>
    <row r="280" spans="2:6" ht="15" hidden="1" customHeight="1" x14ac:dyDescent="0.25">
      <c r="B280" s="1"/>
      <c r="C280" s="97" t="s">
        <v>36</v>
      </c>
      <c r="D280" s="100" t="str">
        <f>IF(I.Facility.ComplianceYear="","Compliance year",I.Facility.ComplianceYear)</f>
        <v>Compliance year</v>
      </c>
      <c r="E280" s="96" t="s">
        <v>37</v>
      </c>
      <c r="F280" s="2"/>
    </row>
    <row r="281" spans="2:6" ht="15" hidden="1" customHeight="1" x14ac:dyDescent="0.25">
      <c r="B281" s="1"/>
      <c r="C281" s="98" t="s">
        <v>99</v>
      </c>
      <c r="D281" s="101"/>
      <c r="E281" s="104" t="s">
        <v>42</v>
      </c>
      <c r="F281" s="2"/>
    </row>
    <row r="282" spans="2:6" ht="15" hidden="1" customHeight="1" x14ac:dyDescent="0.25">
      <c r="B282" s="1"/>
      <c r="C282" s="98" t="s">
        <v>100</v>
      </c>
      <c r="D282" s="101"/>
      <c r="E282" s="104" t="s">
        <v>42</v>
      </c>
      <c r="F282" s="2"/>
    </row>
    <row r="283" spans="2:6" ht="15" hidden="1" customHeight="1" x14ac:dyDescent="0.35">
      <c r="B283" s="1"/>
      <c r="C283" s="98" t="s">
        <v>49</v>
      </c>
      <c r="D283" s="101"/>
      <c r="E283" s="104" t="s">
        <v>50</v>
      </c>
      <c r="F283" s="2"/>
    </row>
    <row r="284" spans="2:6" ht="15" hidden="1" customHeight="1" x14ac:dyDescent="0.35">
      <c r="B284" s="1"/>
      <c r="C284" s="98" t="s">
        <v>51</v>
      </c>
      <c r="D284" s="101"/>
      <c r="E284" s="104" t="s">
        <v>52</v>
      </c>
      <c r="F284" s="2"/>
    </row>
    <row r="285" spans="2:6" ht="15" hidden="1" customHeight="1" x14ac:dyDescent="0.35">
      <c r="B285" s="1"/>
      <c r="C285" s="98" t="s">
        <v>53</v>
      </c>
      <c r="D285" s="101"/>
      <c r="E285" s="104" t="s">
        <v>54</v>
      </c>
      <c r="F285" s="2"/>
    </row>
    <row r="286" spans="2:6" ht="15" hidden="1" customHeight="1" x14ac:dyDescent="0.25">
      <c r="B286" s="1"/>
      <c r="C286" s="122" t="s">
        <v>101</v>
      </c>
      <c r="D286" s="123"/>
      <c r="E286" s="123"/>
      <c r="F286" s="2"/>
    </row>
    <row r="287" spans="2:6" ht="15" hidden="1" customHeight="1" x14ac:dyDescent="0.25">
      <c r="B287" s="1"/>
      <c r="C287" s="124" t="s">
        <v>102</v>
      </c>
      <c r="D287" s="113"/>
      <c r="E287" s="113"/>
      <c r="F287" s="2"/>
    </row>
    <row r="288" spans="2:6" ht="15" hidden="1" customHeight="1" x14ac:dyDescent="0.25">
      <c r="B288" s="1"/>
      <c r="C288" s="94"/>
      <c r="D288" s="94"/>
      <c r="E288" s="94"/>
      <c r="F288" s="2"/>
    </row>
    <row r="289" spans="2:6" ht="15" hidden="1" customHeight="1" x14ac:dyDescent="0.25">
      <c r="B289" s="1"/>
      <c r="C289" s="94" t="s">
        <v>103</v>
      </c>
      <c r="D289" s="94"/>
      <c r="E289" s="94"/>
      <c r="F289" s="2"/>
    </row>
    <row r="290" spans="2:6" ht="15" hidden="1" customHeight="1" x14ac:dyDescent="0.25">
      <c r="B290" s="1"/>
      <c r="C290" s="97" t="s">
        <v>36</v>
      </c>
      <c r="D290" s="100" t="str">
        <f>IF(I.Facility.ComplianceYear="","Compliance year",I.Facility.ComplianceYear)</f>
        <v>Compliance year</v>
      </c>
      <c r="E290" s="96" t="s">
        <v>37</v>
      </c>
      <c r="F290" s="2"/>
    </row>
    <row r="291" spans="2:6" ht="15" hidden="1" customHeight="1" x14ac:dyDescent="0.35">
      <c r="B291" s="1"/>
      <c r="C291" s="98" t="s">
        <v>49</v>
      </c>
      <c r="D291" s="101"/>
      <c r="E291" s="104" t="s">
        <v>50</v>
      </c>
      <c r="F291" s="2"/>
    </row>
    <row r="292" spans="2:6" ht="15" hidden="1" customHeight="1" x14ac:dyDescent="0.35">
      <c r="B292" s="1"/>
      <c r="C292" s="98" t="s">
        <v>51</v>
      </c>
      <c r="D292" s="101"/>
      <c r="E292" s="104" t="s">
        <v>52</v>
      </c>
      <c r="F292" s="2"/>
    </row>
    <row r="293" spans="2:6" ht="15" hidden="1" customHeight="1" x14ac:dyDescent="0.35">
      <c r="B293" s="1"/>
      <c r="C293" s="98" t="s">
        <v>53</v>
      </c>
      <c r="D293" s="101"/>
      <c r="E293" s="104" t="s">
        <v>54</v>
      </c>
      <c r="F293" s="2"/>
    </row>
    <row r="294" spans="2:6" ht="15" hidden="1" customHeight="1" x14ac:dyDescent="0.25">
      <c r="B294" s="1"/>
      <c r="C294" s="94"/>
      <c r="D294" s="94"/>
      <c r="E294" s="94"/>
      <c r="F294" s="2"/>
    </row>
    <row r="295" spans="2:6" ht="15" customHeight="1" x14ac:dyDescent="0.25">
      <c r="B295" s="1"/>
      <c r="C295" s="107"/>
      <c r="D295" s="94"/>
      <c r="E295" s="94"/>
      <c r="F295" s="2"/>
    </row>
    <row r="296" spans="2:6" ht="15" customHeight="1" x14ac:dyDescent="0.25">
      <c r="B296" s="1"/>
      <c r="C296" s="94"/>
      <c r="D296" s="94"/>
      <c r="E296" s="94"/>
      <c r="F296" s="2"/>
    </row>
    <row r="297" spans="2:6" ht="15" customHeight="1" x14ac:dyDescent="0.25">
      <c r="B297" s="3"/>
      <c r="C297" s="13">
        <f>R.Instructions.VersionNumber</f>
        <v>5</v>
      </c>
      <c r="D297" s="4"/>
      <c r="E297" s="14">
        <f>R.Instructions.VersionDate</f>
        <v>45691</v>
      </c>
      <c r="F297" s="5"/>
    </row>
    <row r="299" spans="2:6" ht="15" customHeight="1" x14ac:dyDescent="0.25">
      <c r="C299" s="119" t="str">
        <f>IFERROR(VLOOKUP("Incomplete",Developer!H29:I223,2,FALSE),"Sheet complete.")</f>
        <v>Sheet complete.</v>
      </c>
      <c r="D299" s="119"/>
      <c r="E299" s="119"/>
    </row>
    <row r="300" spans="2:6" ht="15" customHeight="1" x14ac:dyDescent="0.25">
      <c r="C300" s="119"/>
      <c r="D300" s="119"/>
      <c r="E300" s="119"/>
    </row>
    <row r="301" spans="2:6" ht="15" customHeight="1" x14ac:dyDescent="0.25">
      <c r="C301" s="119"/>
      <c r="D301" s="119"/>
      <c r="E301" s="119"/>
    </row>
  </sheetData>
  <sheetProtection algorithmName="SHA-512" hashValue="ASqcufYXak5QnwPeKn1RMprTmnGMviFuEtrjUW0ur0lBglCPupeIlII2A2NxjQzNqJ3efUs+7GYulr1JphtrOg==" saltValue="SVSrepT4tAJK978a3quJow==" spinCount="100000" sheet="1" objects="1" scenarios="1" selectLockedCells="1"/>
  <mergeCells count="17">
    <mergeCell ref="C299:E301"/>
    <mergeCell ref="C228:E228"/>
    <mergeCell ref="C229:E229"/>
    <mergeCell ref="C286:E286"/>
    <mergeCell ref="C287:E287"/>
    <mergeCell ref="C237:E237"/>
    <mergeCell ref="C4:E4"/>
    <mergeCell ref="C5:E5"/>
    <mergeCell ref="C63:E63"/>
    <mergeCell ref="C121:E121"/>
    <mergeCell ref="C179:E179"/>
    <mergeCell ref="C170:E170"/>
    <mergeCell ref="C171:E171"/>
    <mergeCell ref="C54:E54"/>
    <mergeCell ref="C55:E55"/>
    <mergeCell ref="C112:E112"/>
    <mergeCell ref="C113:E113"/>
  </mergeCells>
  <conditionalFormatting sqref="C299">
    <cfRule type="cellIs" dxfId="5" priority="1" stopIfTrue="1" operator="equal">
      <formula>"Sheet complete."</formula>
    </cfRule>
  </conditionalFormatting>
  <printOptions horizontalCentered="1"/>
  <pageMargins left="0.25" right="0.25" top="0.25" bottom="0.25" header="0" footer="0"/>
  <pageSetup scale="85"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6946B-D9CE-4649-B94A-A3FAA01B2E4B}">
  <sheetPr codeName="Sheet5">
    <tabColor rgb="FF046A38"/>
    <pageSetUpPr fitToPage="1"/>
  </sheetPr>
  <dimension ref="B1:F284"/>
  <sheetViews>
    <sheetView showGridLines="0" showRowColHeaders="0" zoomScaleNormal="100" workbookViewId="0">
      <selection activeCell="D12" sqref="D12"/>
    </sheetView>
  </sheetViews>
  <sheetFormatPr defaultColWidth="8.7109375" defaultRowHeight="15" customHeight="1" x14ac:dyDescent="0.25"/>
  <cols>
    <col min="1" max="2" width="5.7109375" customWidth="1"/>
    <col min="3" max="5" width="35.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15"/>
      <c r="C4" s="120" t="s">
        <v>104</v>
      </c>
      <c r="D4" s="120"/>
      <c r="E4" s="120"/>
      <c r="F4" s="16"/>
    </row>
    <row r="5" spans="2:6" ht="15" customHeight="1" x14ac:dyDescent="0.25">
      <c r="B5" s="1"/>
      <c r="C5" s="94"/>
      <c r="D5" s="94"/>
      <c r="E5" s="94"/>
      <c r="F5" s="2"/>
    </row>
    <row r="6" spans="2:6" ht="15" customHeight="1" x14ac:dyDescent="0.25">
      <c r="B6" s="1"/>
      <c r="C6" s="114" t="s">
        <v>105</v>
      </c>
      <c r="D6" s="113"/>
      <c r="E6" s="113"/>
      <c r="F6" s="2"/>
    </row>
    <row r="7" spans="2:6" ht="15" customHeight="1" x14ac:dyDescent="0.25">
      <c r="B7" s="1"/>
      <c r="C7" s="115"/>
      <c r="D7" s="115"/>
      <c r="E7" s="115"/>
      <c r="F7" s="2"/>
    </row>
    <row r="8" spans="2:6" ht="20.100000000000001" hidden="1" customHeight="1" x14ac:dyDescent="0.25">
      <c r="B8" s="10"/>
      <c r="C8" s="118" t="s">
        <v>24</v>
      </c>
      <c r="D8" s="118"/>
      <c r="E8" s="118"/>
      <c r="F8" s="11"/>
    </row>
    <row r="9" spans="2:6" ht="15" hidden="1" customHeight="1" x14ac:dyDescent="0.25">
      <c r="B9" s="1"/>
      <c r="C9" s="94"/>
      <c r="D9" s="94"/>
      <c r="E9" s="94"/>
      <c r="F9" s="2"/>
    </row>
    <row r="10" spans="2:6" ht="15" hidden="1" customHeight="1" x14ac:dyDescent="0.25">
      <c r="B10" s="1"/>
      <c r="C10" s="94" t="s">
        <v>40</v>
      </c>
      <c r="D10" s="94"/>
      <c r="E10" s="94"/>
      <c r="F10" s="2"/>
    </row>
    <row r="11" spans="2:6" ht="15" hidden="1" customHeight="1" x14ac:dyDescent="0.25">
      <c r="B11" s="1"/>
      <c r="C11" s="97" t="s">
        <v>36</v>
      </c>
      <c r="D11" s="100" t="str">
        <f>IF(I.Facility.ComplianceYear="","Compliance year",I.Facility.ComplianceYear)</f>
        <v>Compliance year</v>
      </c>
      <c r="E11" s="96" t="s">
        <v>37</v>
      </c>
      <c r="F11" s="2"/>
    </row>
    <row r="12" spans="2:6" ht="15" hidden="1" customHeight="1" x14ac:dyDescent="0.25">
      <c r="B12" s="1"/>
      <c r="C12" s="98" t="s">
        <v>41</v>
      </c>
      <c r="D12" s="101"/>
      <c r="E12" s="104" t="s">
        <v>42</v>
      </c>
      <c r="F12" s="2"/>
    </row>
    <row r="13" spans="2:6" ht="15" hidden="1" customHeight="1" x14ac:dyDescent="0.25">
      <c r="B13" s="1"/>
      <c r="C13" s="98" t="s">
        <v>43</v>
      </c>
      <c r="D13" s="101"/>
      <c r="E13" s="95" t="s">
        <v>44</v>
      </c>
      <c r="F13" s="2"/>
    </row>
    <row r="14" spans="2:6" ht="15" hidden="1" customHeight="1" x14ac:dyDescent="0.25">
      <c r="B14" s="1"/>
      <c r="C14" s="98" t="s">
        <v>45</v>
      </c>
      <c r="D14" s="101"/>
      <c r="E14" s="95" t="s">
        <v>44</v>
      </c>
      <c r="F14" s="2"/>
    </row>
    <row r="15" spans="2:6" ht="15" hidden="1" customHeight="1" x14ac:dyDescent="0.25">
      <c r="B15" s="1"/>
      <c r="C15" s="98" t="s">
        <v>46</v>
      </c>
      <c r="D15" s="101"/>
      <c r="E15" s="95" t="s">
        <v>44</v>
      </c>
      <c r="F15" s="2"/>
    </row>
    <row r="16" spans="2:6" ht="15" hidden="1" customHeight="1" x14ac:dyDescent="0.25">
      <c r="B16" s="1"/>
      <c r="C16" s="98" t="s">
        <v>47</v>
      </c>
      <c r="D16" s="101"/>
      <c r="E16" s="95" t="s">
        <v>44</v>
      </c>
      <c r="F16" s="2"/>
    </row>
    <row r="17" spans="2:6" ht="15" hidden="1" customHeight="1" x14ac:dyDescent="0.25">
      <c r="B17" s="1"/>
      <c r="C17" s="98" t="s">
        <v>48</v>
      </c>
      <c r="D17" s="101"/>
      <c r="E17" s="95" t="s">
        <v>44</v>
      </c>
      <c r="F17" s="2"/>
    </row>
    <row r="18" spans="2:6" ht="15" hidden="1" customHeight="1" x14ac:dyDescent="0.35">
      <c r="B18" s="1"/>
      <c r="C18" s="98" t="s">
        <v>49</v>
      </c>
      <c r="D18" s="101"/>
      <c r="E18" s="104" t="s">
        <v>50</v>
      </c>
      <c r="F18" s="2"/>
    </row>
    <row r="19" spans="2:6" ht="15" hidden="1" customHeight="1" x14ac:dyDescent="0.35">
      <c r="B19" s="1"/>
      <c r="C19" s="98" t="s">
        <v>51</v>
      </c>
      <c r="D19" s="101"/>
      <c r="E19" s="104" t="s">
        <v>52</v>
      </c>
      <c r="F19" s="2"/>
    </row>
    <row r="20" spans="2:6" ht="15" hidden="1" customHeight="1" x14ac:dyDescent="0.35">
      <c r="B20" s="1"/>
      <c r="C20" s="98" t="s">
        <v>53</v>
      </c>
      <c r="D20" s="101"/>
      <c r="E20" s="104" t="s">
        <v>54</v>
      </c>
      <c r="F20" s="2"/>
    </row>
    <row r="21" spans="2:6" ht="15" hidden="1" customHeight="1" x14ac:dyDescent="0.25">
      <c r="B21" s="1"/>
      <c r="C21" s="94"/>
      <c r="D21" s="94"/>
      <c r="E21" s="94"/>
      <c r="F21" s="2"/>
    </row>
    <row r="22" spans="2:6" ht="15" hidden="1" customHeight="1" x14ac:dyDescent="0.25">
      <c r="B22" s="1"/>
      <c r="C22" s="94" t="s">
        <v>55</v>
      </c>
      <c r="D22" s="94"/>
      <c r="E22" s="94"/>
      <c r="F22" s="2"/>
    </row>
    <row r="23" spans="2:6" ht="15" hidden="1" customHeight="1" x14ac:dyDescent="0.25">
      <c r="B23" s="1"/>
      <c r="C23" s="97" t="s">
        <v>36</v>
      </c>
      <c r="D23" s="100" t="str">
        <f>IF(I.Facility.ComplianceYear="","Compliance year",I.Facility.ComplianceYear)</f>
        <v>Compliance year</v>
      </c>
      <c r="E23" s="96" t="s">
        <v>37</v>
      </c>
      <c r="F23" s="2"/>
    </row>
    <row r="24" spans="2:6" ht="15" hidden="1" customHeight="1" x14ac:dyDescent="0.35">
      <c r="B24" s="1"/>
      <c r="C24" s="98" t="s">
        <v>56</v>
      </c>
      <c r="D24" s="101"/>
      <c r="E24" s="104" t="s">
        <v>57</v>
      </c>
      <c r="F24" s="2"/>
    </row>
    <row r="25" spans="2:6" ht="15" hidden="1" customHeight="1" x14ac:dyDescent="0.35">
      <c r="B25" s="1"/>
      <c r="C25" s="98" t="s">
        <v>58</v>
      </c>
      <c r="D25" s="101"/>
      <c r="E25" s="104" t="s">
        <v>59</v>
      </c>
      <c r="F25" s="2"/>
    </row>
    <row r="26" spans="2:6" ht="15" hidden="1" customHeight="1" x14ac:dyDescent="0.35">
      <c r="B26" s="1"/>
      <c r="C26" s="98" t="s">
        <v>60</v>
      </c>
      <c r="D26" s="101"/>
      <c r="E26" s="104" t="s">
        <v>61</v>
      </c>
      <c r="F26" s="2"/>
    </row>
    <row r="27" spans="2:6" ht="15" hidden="1" customHeight="1" x14ac:dyDescent="0.35">
      <c r="B27" s="1"/>
      <c r="C27" s="98" t="s">
        <v>62</v>
      </c>
      <c r="D27" s="101"/>
      <c r="E27" s="104" t="s">
        <v>63</v>
      </c>
      <c r="F27" s="2"/>
    </row>
    <row r="28" spans="2:6" ht="15" hidden="1" customHeight="1" x14ac:dyDescent="0.35">
      <c r="B28" s="1"/>
      <c r="C28" s="98" t="s">
        <v>64</v>
      </c>
      <c r="D28" s="101"/>
      <c r="E28" s="104" t="s">
        <v>65</v>
      </c>
      <c r="F28" s="2"/>
    </row>
    <row r="29" spans="2:6" ht="15" hidden="1" customHeight="1" x14ac:dyDescent="0.35">
      <c r="B29" s="1"/>
      <c r="C29" s="98" t="s">
        <v>66</v>
      </c>
      <c r="D29" s="101"/>
      <c r="E29" s="104" t="s">
        <v>67</v>
      </c>
      <c r="F29" s="2"/>
    </row>
    <row r="30" spans="2:6" ht="15" hidden="1" customHeight="1" x14ac:dyDescent="0.35">
      <c r="B30" s="1"/>
      <c r="C30" s="98" t="s">
        <v>68</v>
      </c>
      <c r="D30" s="101"/>
      <c r="E30" s="104" t="s">
        <v>69</v>
      </c>
      <c r="F30" s="2"/>
    </row>
    <row r="31" spans="2:6" ht="15" hidden="1" customHeight="1" x14ac:dyDescent="0.35">
      <c r="B31" s="1"/>
      <c r="C31" s="98" t="s">
        <v>70</v>
      </c>
      <c r="D31" s="101"/>
      <c r="E31" s="104" t="s">
        <v>71</v>
      </c>
      <c r="F31" s="2"/>
    </row>
    <row r="32" spans="2:6" ht="15" hidden="1" customHeight="1" x14ac:dyDescent="0.35">
      <c r="B32" s="1"/>
      <c r="C32" s="98" t="s">
        <v>72</v>
      </c>
      <c r="D32" s="101"/>
      <c r="E32" s="104" t="s">
        <v>73</v>
      </c>
      <c r="F32" s="2"/>
    </row>
    <row r="33" spans="2:6" ht="15" hidden="1" customHeight="1" x14ac:dyDescent="0.35">
      <c r="B33" s="1"/>
      <c r="C33" s="98" t="s">
        <v>74</v>
      </c>
      <c r="D33" s="101"/>
      <c r="E33" s="104" t="s">
        <v>75</v>
      </c>
      <c r="F33" s="2"/>
    </row>
    <row r="34" spans="2:6" ht="15" hidden="1" customHeight="1" x14ac:dyDescent="0.35">
      <c r="B34" s="1"/>
      <c r="C34" s="98" t="s">
        <v>76</v>
      </c>
      <c r="D34" s="101"/>
      <c r="E34" s="104" t="s">
        <v>77</v>
      </c>
      <c r="F34" s="2"/>
    </row>
    <row r="35" spans="2:6" ht="15" hidden="1" customHeight="1" x14ac:dyDescent="0.35">
      <c r="B35" s="1"/>
      <c r="C35" s="98" t="s">
        <v>78</v>
      </c>
      <c r="D35" s="101"/>
      <c r="E35" s="104" t="s">
        <v>79</v>
      </c>
      <c r="F35" s="2"/>
    </row>
    <row r="36" spans="2:6" ht="15" hidden="1" customHeight="1" x14ac:dyDescent="0.35">
      <c r="B36" s="1"/>
      <c r="C36" s="98" t="s">
        <v>80</v>
      </c>
      <c r="D36" s="101"/>
      <c r="E36" s="104" t="s">
        <v>81</v>
      </c>
      <c r="F36" s="2"/>
    </row>
    <row r="37" spans="2:6" ht="15" hidden="1" customHeight="1" x14ac:dyDescent="0.35">
      <c r="B37" s="1"/>
      <c r="C37" s="98" t="s">
        <v>82</v>
      </c>
      <c r="D37" s="101"/>
      <c r="E37" s="104" t="s">
        <v>83</v>
      </c>
      <c r="F37" s="2"/>
    </row>
    <row r="38" spans="2:6" ht="15" hidden="1" customHeight="1" x14ac:dyDescent="0.35">
      <c r="B38" s="1"/>
      <c r="C38" s="98" t="s">
        <v>84</v>
      </c>
      <c r="D38" s="101"/>
      <c r="E38" s="104" t="s">
        <v>85</v>
      </c>
      <c r="F38" s="2"/>
    </row>
    <row r="39" spans="2:6" ht="15" hidden="1" customHeight="1" x14ac:dyDescent="0.35">
      <c r="B39" s="1"/>
      <c r="C39" s="98" t="s">
        <v>86</v>
      </c>
      <c r="D39" s="101"/>
      <c r="E39" s="104" t="s">
        <v>87</v>
      </c>
      <c r="F39" s="2"/>
    </row>
    <row r="40" spans="2:6" ht="15" hidden="1" customHeight="1" x14ac:dyDescent="0.35">
      <c r="B40" s="1"/>
      <c r="C40" s="98" t="s">
        <v>88</v>
      </c>
      <c r="D40" s="101"/>
      <c r="E40" s="104" t="s">
        <v>89</v>
      </c>
      <c r="F40" s="2"/>
    </row>
    <row r="41" spans="2:6" ht="15" hidden="1" customHeight="1" x14ac:dyDescent="0.35">
      <c r="B41" s="1"/>
      <c r="C41" s="98" t="s">
        <v>90</v>
      </c>
      <c r="D41" s="101"/>
      <c r="E41" s="104" t="s">
        <v>91</v>
      </c>
      <c r="F41" s="2"/>
    </row>
    <row r="42" spans="2:6" ht="15" hidden="1" customHeight="1" x14ac:dyDescent="0.35">
      <c r="B42" s="1"/>
      <c r="C42" s="98" t="s">
        <v>92</v>
      </c>
      <c r="D42" s="101"/>
      <c r="E42" s="104" t="s">
        <v>93</v>
      </c>
      <c r="F42" s="2"/>
    </row>
    <row r="43" spans="2:6" ht="15" hidden="1" customHeight="1" x14ac:dyDescent="0.35">
      <c r="B43" s="1"/>
      <c r="C43" s="98" t="s">
        <v>94</v>
      </c>
      <c r="D43" s="101"/>
      <c r="E43" s="104" t="s">
        <v>95</v>
      </c>
      <c r="F43" s="2"/>
    </row>
    <row r="44" spans="2:6" ht="15" hidden="1" customHeight="1" x14ac:dyDescent="0.35">
      <c r="B44" s="1"/>
      <c r="C44" s="98" t="s">
        <v>96</v>
      </c>
      <c r="D44" s="101"/>
      <c r="E44" s="104" t="s">
        <v>97</v>
      </c>
      <c r="F44" s="2"/>
    </row>
    <row r="45" spans="2:6" ht="15" hidden="1" customHeight="1" x14ac:dyDescent="0.25">
      <c r="B45" s="1"/>
      <c r="C45" s="94"/>
      <c r="D45" s="94"/>
      <c r="E45" s="94"/>
      <c r="F45" s="2"/>
    </row>
    <row r="46" spans="2:6" ht="15" hidden="1" customHeight="1" x14ac:dyDescent="0.25">
      <c r="B46" s="1"/>
      <c r="C46" s="94" t="s">
        <v>98</v>
      </c>
      <c r="D46" s="94"/>
      <c r="E46" s="94"/>
      <c r="F46" s="2"/>
    </row>
    <row r="47" spans="2:6" ht="15" hidden="1" customHeight="1" x14ac:dyDescent="0.25">
      <c r="B47" s="1"/>
      <c r="C47" s="97" t="s">
        <v>36</v>
      </c>
      <c r="D47" s="100" t="str">
        <f>IF(I.Facility.ComplianceYear="","Compliance year",I.Facility.ComplianceYear)</f>
        <v>Compliance year</v>
      </c>
      <c r="E47" s="96" t="s">
        <v>37</v>
      </c>
      <c r="F47" s="2"/>
    </row>
    <row r="48" spans="2:6" ht="15" hidden="1" customHeight="1" x14ac:dyDescent="0.25">
      <c r="B48" s="1"/>
      <c r="C48" s="98" t="s">
        <v>99</v>
      </c>
      <c r="D48" s="101"/>
      <c r="E48" s="104" t="s">
        <v>42</v>
      </c>
      <c r="F48" s="2"/>
    </row>
    <row r="49" spans="2:6" ht="15" hidden="1" customHeight="1" x14ac:dyDescent="0.25">
      <c r="B49" s="1"/>
      <c r="C49" s="98" t="s">
        <v>100</v>
      </c>
      <c r="D49" s="101"/>
      <c r="E49" s="104" t="s">
        <v>42</v>
      </c>
      <c r="F49" s="2"/>
    </row>
    <row r="50" spans="2:6" ht="15" hidden="1" customHeight="1" x14ac:dyDescent="0.35">
      <c r="B50" s="1"/>
      <c r="C50" s="98" t="s">
        <v>49</v>
      </c>
      <c r="D50" s="101"/>
      <c r="E50" s="104" t="s">
        <v>50</v>
      </c>
      <c r="F50" s="2"/>
    </row>
    <row r="51" spans="2:6" ht="15" hidden="1" customHeight="1" x14ac:dyDescent="0.35">
      <c r="B51" s="1"/>
      <c r="C51" s="98" t="s">
        <v>51</v>
      </c>
      <c r="D51" s="101"/>
      <c r="E51" s="104" t="s">
        <v>52</v>
      </c>
      <c r="F51" s="2"/>
    </row>
    <row r="52" spans="2:6" ht="15" hidden="1" customHeight="1" x14ac:dyDescent="0.35">
      <c r="B52" s="1"/>
      <c r="C52" s="98" t="s">
        <v>53</v>
      </c>
      <c r="D52" s="101"/>
      <c r="E52" s="104" t="s">
        <v>54</v>
      </c>
      <c r="F52" s="2"/>
    </row>
    <row r="53" spans="2:6" ht="15" hidden="1" customHeight="1" x14ac:dyDescent="0.25">
      <c r="B53" s="1"/>
      <c r="C53" s="122" t="s">
        <v>101</v>
      </c>
      <c r="D53" s="123"/>
      <c r="E53" s="123"/>
      <c r="F53" s="2"/>
    </row>
    <row r="54" spans="2:6" ht="15" hidden="1" customHeight="1" x14ac:dyDescent="0.25">
      <c r="B54" s="1"/>
      <c r="C54" s="124" t="s">
        <v>102</v>
      </c>
      <c r="D54" s="113"/>
      <c r="E54" s="113"/>
      <c r="F54" s="2"/>
    </row>
    <row r="55" spans="2:6" ht="15" hidden="1" customHeight="1" x14ac:dyDescent="0.25">
      <c r="B55" s="1"/>
      <c r="C55" s="94"/>
      <c r="D55" s="94"/>
      <c r="E55" s="94"/>
      <c r="F55" s="2"/>
    </row>
    <row r="56" spans="2:6" ht="15" hidden="1" customHeight="1" x14ac:dyDescent="0.25">
      <c r="B56" s="1"/>
      <c r="C56" s="94" t="s">
        <v>103</v>
      </c>
      <c r="D56" s="94"/>
      <c r="E56" s="94"/>
      <c r="F56" s="2"/>
    </row>
    <row r="57" spans="2:6" ht="15" hidden="1" customHeight="1" x14ac:dyDescent="0.25">
      <c r="B57" s="1"/>
      <c r="C57" s="97" t="s">
        <v>36</v>
      </c>
      <c r="D57" s="100" t="str">
        <f>IF(I.Facility.ComplianceYear="","Compliance year",I.Facility.ComplianceYear)</f>
        <v>Compliance year</v>
      </c>
      <c r="E57" s="96" t="s">
        <v>37</v>
      </c>
      <c r="F57" s="2"/>
    </row>
    <row r="58" spans="2:6" ht="15" hidden="1" customHeight="1" x14ac:dyDescent="0.35">
      <c r="B58" s="1"/>
      <c r="C58" s="98" t="s">
        <v>49</v>
      </c>
      <c r="D58" s="101"/>
      <c r="E58" s="104" t="s">
        <v>50</v>
      </c>
      <c r="F58" s="2"/>
    </row>
    <row r="59" spans="2:6" ht="15" hidden="1" customHeight="1" x14ac:dyDescent="0.35">
      <c r="B59" s="1"/>
      <c r="C59" s="98" t="s">
        <v>51</v>
      </c>
      <c r="D59" s="101"/>
      <c r="E59" s="104" t="s">
        <v>52</v>
      </c>
      <c r="F59" s="2"/>
    </row>
    <row r="60" spans="2:6" ht="15" hidden="1" customHeight="1" x14ac:dyDescent="0.35">
      <c r="B60" s="1"/>
      <c r="C60" s="98" t="s">
        <v>53</v>
      </c>
      <c r="D60" s="101"/>
      <c r="E60" s="104" t="s">
        <v>54</v>
      </c>
      <c r="F60" s="2"/>
    </row>
    <row r="61" spans="2:6" ht="15" hidden="1" customHeight="1" x14ac:dyDescent="0.25">
      <c r="B61" s="1"/>
      <c r="C61" s="94"/>
      <c r="D61" s="94"/>
      <c r="E61" s="94"/>
      <c r="F61" s="2"/>
    </row>
    <row r="62" spans="2:6" ht="20.100000000000001" hidden="1" customHeight="1" x14ac:dyDescent="0.25">
      <c r="B62" s="10"/>
      <c r="C62" s="118" t="s">
        <v>30</v>
      </c>
      <c r="D62" s="118"/>
      <c r="E62" s="118"/>
      <c r="F62" s="11"/>
    </row>
    <row r="63" spans="2:6" ht="15" hidden="1" customHeight="1" x14ac:dyDescent="0.25">
      <c r="B63" s="1"/>
      <c r="C63" s="94"/>
      <c r="D63" s="94"/>
      <c r="E63" s="94"/>
      <c r="F63" s="2"/>
    </row>
    <row r="64" spans="2:6" ht="15" hidden="1" customHeight="1" x14ac:dyDescent="0.25">
      <c r="B64" s="1"/>
      <c r="C64" s="94" t="s">
        <v>40</v>
      </c>
      <c r="D64" s="94"/>
      <c r="E64" s="94"/>
      <c r="F64" s="2"/>
    </row>
    <row r="65" spans="2:6" ht="15" hidden="1" customHeight="1" x14ac:dyDescent="0.25">
      <c r="B65" s="1"/>
      <c r="C65" s="97" t="s">
        <v>36</v>
      </c>
      <c r="D65" s="100" t="str">
        <f>IF(I.Facility.ComplianceYear="","Compliance year",I.Facility.ComplianceYear)</f>
        <v>Compliance year</v>
      </c>
      <c r="E65" s="96" t="s">
        <v>37</v>
      </c>
      <c r="F65" s="2"/>
    </row>
    <row r="66" spans="2:6" ht="15" hidden="1" customHeight="1" x14ac:dyDescent="0.25">
      <c r="B66" s="1"/>
      <c r="C66" s="98" t="s">
        <v>41</v>
      </c>
      <c r="D66" s="101"/>
      <c r="E66" s="104" t="s">
        <v>42</v>
      </c>
      <c r="F66" s="2"/>
    </row>
    <row r="67" spans="2:6" ht="15" hidden="1" customHeight="1" x14ac:dyDescent="0.25">
      <c r="B67" s="1"/>
      <c r="C67" s="98" t="s">
        <v>43</v>
      </c>
      <c r="D67" s="101"/>
      <c r="E67" s="95" t="s">
        <v>44</v>
      </c>
      <c r="F67" s="2"/>
    </row>
    <row r="68" spans="2:6" ht="15" hidden="1" customHeight="1" x14ac:dyDescent="0.25">
      <c r="B68" s="1"/>
      <c r="C68" s="98" t="s">
        <v>45</v>
      </c>
      <c r="D68" s="101"/>
      <c r="E68" s="95" t="s">
        <v>44</v>
      </c>
      <c r="F68" s="2"/>
    </row>
    <row r="69" spans="2:6" ht="15" hidden="1" customHeight="1" x14ac:dyDescent="0.25">
      <c r="B69" s="1"/>
      <c r="C69" s="98" t="s">
        <v>46</v>
      </c>
      <c r="D69" s="101"/>
      <c r="E69" s="95" t="s">
        <v>44</v>
      </c>
      <c r="F69" s="2"/>
    </row>
    <row r="70" spans="2:6" ht="15" hidden="1" customHeight="1" x14ac:dyDescent="0.25">
      <c r="B70" s="1"/>
      <c r="C70" s="98" t="s">
        <v>47</v>
      </c>
      <c r="D70" s="101"/>
      <c r="E70" s="95" t="s">
        <v>44</v>
      </c>
      <c r="F70" s="2"/>
    </row>
    <row r="71" spans="2:6" ht="15" hidden="1" customHeight="1" x14ac:dyDescent="0.25">
      <c r="B71" s="1"/>
      <c r="C71" s="98" t="s">
        <v>48</v>
      </c>
      <c r="D71" s="101"/>
      <c r="E71" s="95" t="s">
        <v>44</v>
      </c>
      <c r="F71" s="2"/>
    </row>
    <row r="72" spans="2:6" ht="15" hidden="1" customHeight="1" x14ac:dyDescent="0.35">
      <c r="B72" s="1"/>
      <c r="C72" s="98" t="s">
        <v>49</v>
      </c>
      <c r="D72" s="101"/>
      <c r="E72" s="104" t="s">
        <v>50</v>
      </c>
      <c r="F72" s="2"/>
    </row>
    <row r="73" spans="2:6" ht="15" hidden="1" customHeight="1" x14ac:dyDescent="0.35">
      <c r="B73" s="1"/>
      <c r="C73" s="98" t="s">
        <v>51</v>
      </c>
      <c r="D73" s="101"/>
      <c r="E73" s="104" t="s">
        <v>52</v>
      </c>
      <c r="F73" s="2"/>
    </row>
    <row r="74" spans="2:6" ht="15" hidden="1" customHeight="1" x14ac:dyDescent="0.35">
      <c r="B74" s="1"/>
      <c r="C74" s="98" t="s">
        <v>53</v>
      </c>
      <c r="D74" s="101"/>
      <c r="E74" s="104" t="s">
        <v>54</v>
      </c>
      <c r="F74" s="2"/>
    </row>
    <row r="75" spans="2:6" ht="15" hidden="1" customHeight="1" x14ac:dyDescent="0.25">
      <c r="B75" s="1"/>
      <c r="C75" s="94"/>
      <c r="D75" s="94"/>
      <c r="E75" s="94"/>
      <c r="F75" s="2"/>
    </row>
    <row r="76" spans="2:6" ht="15" hidden="1" customHeight="1" x14ac:dyDescent="0.25">
      <c r="B76" s="1"/>
      <c r="C76" s="94" t="s">
        <v>55</v>
      </c>
      <c r="D76" s="94"/>
      <c r="E76" s="94"/>
      <c r="F76" s="2"/>
    </row>
    <row r="77" spans="2:6" ht="15" hidden="1" customHeight="1" x14ac:dyDescent="0.25">
      <c r="B77" s="1"/>
      <c r="C77" s="97" t="s">
        <v>36</v>
      </c>
      <c r="D77" s="100" t="str">
        <f>IF(I.Facility.ComplianceYear="","Compliance year",I.Facility.ComplianceYear)</f>
        <v>Compliance year</v>
      </c>
      <c r="E77" s="96" t="s">
        <v>37</v>
      </c>
      <c r="F77" s="2"/>
    </row>
    <row r="78" spans="2:6" ht="15" hidden="1" customHeight="1" x14ac:dyDescent="0.35">
      <c r="B78" s="1"/>
      <c r="C78" s="98" t="s">
        <v>56</v>
      </c>
      <c r="D78" s="101"/>
      <c r="E78" s="104" t="s">
        <v>57</v>
      </c>
      <c r="F78" s="2"/>
    </row>
    <row r="79" spans="2:6" ht="15" hidden="1" customHeight="1" x14ac:dyDescent="0.35">
      <c r="B79" s="1"/>
      <c r="C79" s="98" t="s">
        <v>58</v>
      </c>
      <c r="D79" s="101"/>
      <c r="E79" s="104" t="s">
        <v>59</v>
      </c>
      <c r="F79" s="2"/>
    </row>
    <row r="80" spans="2:6" ht="15" hidden="1" customHeight="1" x14ac:dyDescent="0.35">
      <c r="B80" s="1"/>
      <c r="C80" s="98" t="s">
        <v>60</v>
      </c>
      <c r="D80" s="101"/>
      <c r="E80" s="104" t="s">
        <v>61</v>
      </c>
      <c r="F80" s="2"/>
    </row>
    <row r="81" spans="2:6" ht="15" hidden="1" customHeight="1" x14ac:dyDescent="0.35">
      <c r="B81" s="1"/>
      <c r="C81" s="98" t="s">
        <v>62</v>
      </c>
      <c r="D81" s="101"/>
      <c r="E81" s="104" t="s">
        <v>63</v>
      </c>
      <c r="F81" s="2"/>
    </row>
    <row r="82" spans="2:6" ht="15" hidden="1" customHeight="1" x14ac:dyDescent="0.35">
      <c r="B82" s="1"/>
      <c r="C82" s="98" t="s">
        <v>64</v>
      </c>
      <c r="D82" s="101"/>
      <c r="E82" s="104" t="s">
        <v>65</v>
      </c>
      <c r="F82" s="2"/>
    </row>
    <row r="83" spans="2:6" ht="15" hidden="1" customHeight="1" x14ac:dyDescent="0.35">
      <c r="B83" s="1"/>
      <c r="C83" s="98" t="s">
        <v>66</v>
      </c>
      <c r="D83" s="101"/>
      <c r="E83" s="104" t="s">
        <v>67</v>
      </c>
      <c r="F83" s="2"/>
    </row>
    <row r="84" spans="2:6" ht="15" hidden="1" customHeight="1" x14ac:dyDescent="0.35">
      <c r="B84" s="1"/>
      <c r="C84" s="98" t="s">
        <v>68</v>
      </c>
      <c r="D84" s="101"/>
      <c r="E84" s="104" t="s">
        <v>69</v>
      </c>
      <c r="F84" s="2"/>
    </row>
    <row r="85" spans="2:6" ht="15" hidden="1" customHeight="1" x14ac:dyDescent="0.35">
      <c r="B85" s="1"/>
      <c r="C85" s="98" t="s">
        <v>70</v>
      </c>
      <c r="D85" s="101"/>
      <c r="E85" s="104" t="s">
        <v>71</v>
      </c>
      <c r="F85" s="2"/>
    </row>
    <row r="86" spans="2:6" ht="15" hidden="1" customHeight="1" x14ac:dyDescent="0.35">
      <c r="B86" s="1"/>
      <c r="C86" s="98" t="s">
        <v>72</v>
      </c>
      <c r="D86" s="101"/>
      <c r="E86" s="104" t="s">
        <v>73</v>
      </c>
      <c r="F86" s="2"/>
    </row>
    <row r="87" spans="2:6" ht="15" hidden="1" customHeight="1" x14ac:dyDescent="0.35">
      <c r="B87" s="1"/>
      <c r="C87" s="98" t="s">
        <v>74</v>
      </c>
      <c r="D87" s="101"/>
      <c r="E87" s="104" t="s">
        <v>75</v>
      </c>
      <c r="F87" s="2"/>
    </row>
    <row r="88" spans="2:6" ht="15" hidden="1" customHeight="1" x14ac:dyDescent="0.35">
      <c r="B88" s="1"/>
      <c r="C88" s="98" t="s">
        <v>76</v>
      </c>
      <c r="D88" s="101"/>
      <c r="E88" s="104" t="s">
        <v>77</v>
      </c>
      <c r="F88" s="2"/>
    </row>
    <row r="89" spans="2:6" ht="15" hidden="1" customHeight="1" x14ac:dyDescent="0.35">
      <c r="B89" s="1"/>
      <c r="C89" s="98" t="s">
        <v>78</v>
      </c>
      <c r="D89" s="101"/>
      <c r="E89" s="104" t="s">
        <v>79</v>
      </c>
      <c r="F89" s="2"/>
    </row>
    <row r="90" spans="2:6" ht="15" hidden="1" customHeight="1" x14ac:dyDescent="0.35">
      <c r="B90" s="1"/>
      <c r="C90" s="98" t="s">
        <v>80</v>
      </c>
      <c r="D90" s="101"/>
      <c r="E90" s="104" t="s">
        <v>81</v>
      </c>
      <c r="F90" s="2"/>
    </row>
    <row r="91" spans="2:6" ht="15" hidden="1" customHeight="1" x14ac:dyDescent="0.35">
      <c r="B91" s="1"/>
      <c r="C91" s="98" t="s">
        <v>82</v>
      </c>
      <c r="D91" s="101"/>
      <c r="E91" s="104" t="s">
        <v>83</v>
      </c>
      <c r="F91" s="2"/>
    </row>
    <row r="92" spans="2:6" ht="15" hidden="1" customHeight="1" x14ac:dyDescent="0.35">
      <c r="B92" s="1"/>
      <c r="C92" s="98" t="s">
        <v>84</v>
      </c>
      <c r="D92" s="101"/>
      <c r="E92" s="104" t="s">
        <v>85</v>
      </c>
      <c r="F92" s="2"/>
    </row>
    <row r="93" spans="2:6" ht="15" hidden="1" customHeight="1" x14ac:dyDescent="0.35">
      <c r="B93" s="1"/>
      <c r="C93" s="98" t="s">
        <v>86</v>
      </c>
      <c r="D93" s="101"/>
      <c r="E93" s="104" t="s">
        <v>87</v>
      </c>
      <c r="F93" s="2"/>
    </row>
    <row r="94" spans="2:6" ht="15" hidden="1" customHeight="1" x14ac:dyDescent="0.35">
      <c r="B94" s="1"/>
      <c r="C94" s="98" t="s">
        <v>88</v>
      </c>
      <c r="D94" s="101"/>
      <c r="E94" s="104" t="s">
        <v>89</v>
      </c>
      <c r="F94" s="2"/>
    </row>
    <row r="95" spans="2:6" ht="15" hidden="1" customHeight="1" x14ac:dyDescent="0.35">
      <c r="B95" s="1"/>
      <c r="C95" s="98" t="s">
        <v>90</v>
      </c>
      <c r="D95" s="101"/>
      <c r="E95" s="104" t="s">
        <v>91</v>
      </c>
      <c r="F95" s="2"/>
    </row>
    <row r="96" spans="2:6" ht="15" hidden="1" customHeight="1" x14ac:dyDescent="0.35">
      <c r="B96" s="1"/>
      <c r="C96" s="98" t="s">
        <v>92</v>
      </c>
      <c r="D96" s="101"/>
      <c r="E96" s="104" t="s">
        <v>93</v>
      </c>
      <c r="F96" s="2"/>
    </row>
    <row r="97" spans="2:6" ht="15" hidden="1" customHeight="1" x14ac:dyDescent="0.35">
      <c r="B97" s="1"/>
      <c r="C97" s="98" t="s">
        <v>94</v>
      </c>
      <c r="D97" s="101"/>
      <c r="E97" s="104" t="s">
        <v>95</v>
      </c>
      <c r="F97" s="2"/>
    </row>
    <row r="98" spans="2:6" ht="15" hidden="1" customHeight="1" x14ac:dyDescent="0.35">
      <c r="B98" s="1"/>
      <c r="C98" s="98" t="s">
        <v>96</v>
      </c>
      <c r="D98" s="101"/>
      <c r="E98" s="104" t="s">
        <v>97</v>
      </c>
      <c r="F98" s="2"/>
    </row>
    <row r="99" spans="2:6" ht="15" hidden="1" customHeight="1" x14ac:dyDescent="0.25">
      <c r="B99" s="1"/>
      <c r="C99" s="94"/>
      <c r="D99" s="94"/>
      <c r="E99" s="94"/>
      <c r="F99" s="2"/>
    </row>
    <row r="100" spans="2:6" ht="15" hidden="1" customHeight="1" x14ac:dyDescent="0.25">
      <c r="B100" s="1"/>
      <c r="C100" s="94" t="s">
        <v>98</v>
      </c>
      <c r="D100" s="94"/>
      <c r="E100" s="94"/>
      <c r="F100" s="2"/>
    </row>
    <row r="101" spans="2:6" ht="15" hidden="1" customHeight="1" x14ac:dyDescent="0.25">
      <c r="B101" s="1"/>
      <c r="C101" s="97" t="s">
        <v>36</v>
      </c>
      <c r="D101" s="100" t="str">
        <f>IF(I.Facility.ComplianceYear="","Compliance year",I.Facility.ComplianceYear)</f>
        <v>Compliance year</v>
      </c>
      <c r="E101" s="96" t="s">
        <v>37</v>
      </c>
      <c r="F101" s="2"/>
    </row>
    <row r="102" spans="2:6" ht="15" hidden="1" customHeight="1" x14ac:dyDescent="0.25">
      <c r="B102" s="1"/>
      <c r="C102" s="98" t="s">
        <v>99</v>
      </c>
      <c r="D102" s="101"/>
      <c r="E102" s="104" t="s">
        <v>42</v>
      </c>
      <c r="F102" s="2"/>
    </row>
    <row r="103" spans="2:6" ht="15" hidden="1" customHeight="1" x14ac:dyDescent="0.25">
      <c r="B103" s="1"/>
      <c r="C103" s="98" t="s">
        <v>100</v>
      </c>
      <c r="D103" s="101"/>
      <c r="E103" s="104" t="s">
        <v>42</v>
      </c>
      <c r="F103" s="2"/>
    </row>
    <row r="104" spans="2:6" ht="15" hidden="1" customHeight="1" x14ac:dyDescent="0.35">
      <c r="B104" s="1"/>
      <c r="C104" s="98" t="s">
        <v>49</v>
      </c>
      <c r="D104" s="101"/>
      <c r="E104" s="104" t="s">
        <v>50</v>
      </c>
      <c r="F104" s="2"/>
    </row>
    <row r="105" spans="2:6" ht="15" hidden="1" customHeight="1" x14ac:dyDescent="0.35">
      <c r="B105" s="1"/>
      <c r="C105" s="98" t="s">
        <v>51</v>
      </c>
      <c r="D105" s="101"/>
      <c r="E105" s="104" t="s">
        <v>52</v>
      </c>
      <c r="F105" s="2"/>
    </row>
    <row r="106" spans="2:6" ht="15" hidden="1" customHeight="1" x14ac:dyDescent="0.35">
      <c r="B106" s="1"/>
      <c r="C106" s="98" t="s">
        <v>53</v>
      </c>
      <c r="D106" s="101"/>
      <c r="E106" s="104" t="s">
        <v>54</v>
      </c>
      <c r="F106" s="2"/>
    </row>
    <row r="107" spans="2:6" ht="15" hidden="1" customHeight="1" x14ac:dyDescent="0.25">
      <c r="B107" s="1"/>
      <c r="C107" s="122" t="s">
        <v>101</v>
      </c>
      <c r="D107" s="123"/>
      <c r="E107" s="123"/>
      <c r="F107" s="2"/>
    </row>
    <row r="108" spans="2:6" ht="15" hidden="1" customHeight="1" x14ac:dyDescent="0.25">
      <c r="B108" s="1"/>
      <c r="C108" s="124" t="s">
        <v>102</v>
      </c>
      <c r="D108" s="113"/>
      <c r="E108" s="113"/>
      <c r="F108" s="2"/>
    </row>
    <row r="109" spans="2:6" ht="15" hidden="1" customHeight="1" x14ac:dyDescent="0.25">
      <c r="B109" s="1"/>
      <c r="C109" s="94"/>
      <c r="D109" s="94"/>
      <c r="E109" s="94"/>
      <c r="F109" s="2"/>
    </row>
    <row r="110" spans="2:6" ht="15" hidden="1" customHeight="1" x14ac:dyDescent="0.25">
      <c r="B110" s="1"/>
      <c r="C110" s="94" t="s">
        <v>103</v>
      </c>
      <c r="D110" s="94"/>
      <c r="E110" s="94"/>
      <c r="F110" s="2"/>
    </row>
    <row r="111" spans="2:6" ht="15" hidden="1" customHeight="1" x14ac:dyDescent="0.25">
      <c r="B111" s="1"/>
      <c r="C111" s="97" t="s">
        <v>36</v>
      </c>
      <c r="D111" s="100" t="str">
        <f>IF(I.Facility.ComplianceYear="","Compliance year",I.Facility.ComplianceYear)</f>
        <v>Compliance year</v>
      </c>
      <c r="E111" s="96" t="s">
        <v>37</v>
      </c>
      <c r="F111" s="2"/>
    </row>
    <row r="112" spans="2:6" ht="15" hidden="1" customHeight="1" x14ac:dyDescent="0.35">
      <c r="B112" s="1"/>
      <c r="C112" s="98" t="s">
        <v>49</v>
      </c>
      <c r="D112" s="101"/>
      <c r="E112" s="104" t="s">
        <v>50</v>
      </c>
      <c r="F112" s="2"/>
    </row>
    <row r="113" spans="2:6" ht="15" hidden="1" customHeight="1" x14ac:dyDescent="0.35">
      <c r="B113" s="1"/>
      <c r="C113" s="98" t="s">
        <v>51</v>
      </c>
      <c r="D113" s="101"/>
      <c r="E113" s="104" t="s">
        <v>52</v>
      </c>
      <c r="F113" s="2"/>
    </row>
    <row r="114" spans="2:6" ht="15" hidden="1" customHeight="1" x14ac:dyDescent="0.35">
      <c r="B114" s="1"/>
      <c r="C114" s="98" t="s">
        <v>53</v>
      </c>
      <c r="D114" s="101"/>
      <c r="E114" s="104" t="s">
        <v>54</v>
      </c>
      <c r="F114" s="2"/>
    </row>
    <row r="115" spans="2:6" ht="15" hidden="1" customHeight="1" x14ac:dyDescent="0.25">
      <c r="B115" s="1"/>
      <c r="C115" s="94"/>
      <c r="D115" s="94"/>
      <c r="E115" s="94"/>
      <c r="F115" s="2"/>
    </row>
    <row r="116" spans="2:6" ht="20.100000000000001" hidden="1" customHeight="1" x14ac:dyDescent="0.25">
      <c r="B116" s="10"/>
      <c r="C116" s="118" t="s">
        <v>31</v>
      </c>
      <c r="D116" s="118"/>
      <c r="E116" s="118"/>
      <c r="F116" s="11"/>
    </row>
    <row r="117" spans="2:6" ht="15" hidden="1" customHeight="1" x14ac:dyDescent="0.25">
      <c r="B117" s="1"/>
      <c r="C117" s="94"/>
      <c r="D117" s="94"/>
      <c r="E117" s="94"/>
      <c r="F117" s="2"/>
    </row>
    <row r="118" spans="2:6" ht="15" hidden="1" customHeight="1" x14ac:dyDescent="0.25">
      <c r="B118" s="1"/>
      <c r="C118" s="94" t="s">
        <v>40</v>
      </c>
      <c r="D118" s="94"/>
      <c r="E118" s="94"/>
      <c r="F118" s="2"/>
    </row>
    <row r="119" spans="2:6" ht="15" hidden="1" customHeight="1" x14ac:dyDescent="0.25">
      <c r="B119" s="1"/>
      <c r="C119" s="97" t="s">
        <v>36</v>
      </c>
      <c r="D119" s="100" t="str">
        <f>IF(I.Facility.ComplianceYear="","Compliance year",I.Facility.ComplianceYear)</f>
        <v>Compliance year</v>
      </c>
      <c r="E119" s="96" t="s">
        <v>37</v>
      </c>
      <c r="F119" s="2"/>
    </row>
    <row r="120" spans="2:6" ht="15" hidden="1" customHeight="1" x14ac:dyDescent="0.25">
      <c r="B120" s="1"/>
      <c r="C120" s="98" t="s">
        <v>41</v>
      </c>
      <c r="D120" s="101"/>
      <c r="E120" s="104" t="s">
        <v>42</v>
      </c>
      <c r="F120" s="2"/>
    </row>
    <row r="121" spans="2:6" ht="15" hidden="1" customHeight="1" x14ac:dyDescent="0.25">
      <c r="B121" s="1"/>
      <c r="C121" s="98" t="s">
        <v>43</v>
      </c>
      <c r="D121" s="101"/>
      <c r="E121" s="95" t="s">
        <v>44</v>
      </c>
      <c r="F121" s="2"/>
    </row>
    <row r="122" spans="2:6" ht="15" hidden="1" customHeight="1" x14ac:dyDescent="0.25">
      <c r="B122" s="1"/>
      <c r="C122" s="98" t="s">
        <v>45</v>
      </c>
      <c r="D122" s="101"/>
      <c r="E122" s="95" t="s">
        <v>44</v>
      </c>
      <c r="F122" s="2"/>
    </row>
    <row r="123" spans="2:6" ht="15" hidden="1" customHeight="1" x14ac:dyDescent="0.25">
      <c r="B123" s="1"/>
      <c r="C123" s="98" t="s">
        <v>46</v>
      </c>
      <c r="D123" s="101"/>
      <c r="E123" s="95" t="s">
        <v>44</v>
      </c>
      <c r="F123" s="2"/>
    </row>
    <row r="124" spans="2:6" ht="15" hidden="1" customHeight="1" x14ac:dyDescent="0.25">
      <c r="B124" s="1"/>
      <c r="C124" s="98" t="s">
        <v>47</v>
      </c>
      <c r="D124" s="101"/>
      <c r="E124" s="95" t="s">
        <v>44</v>
      </c>
      <c r="F124" s="2"/>
    </row>
    <row r="125" spans="2:6" ht="15" hidden="1" customHeight="1" x14ac:dyDescent="0.25">
      <c r="B125" s="1"/>
      <c r="C125" s="98" t="s">
        <v>48</v>
      </c>
      <c r="D125" s="101"/>
      <c r="E125" s="95" t="s">
        <v>44</v>
      </c>
      <c r="F125" s="2"/>
    </row>
    <row r="126" spans="2:6" ht="15" hidden="1" customHeight="1" x14ac:dyDescent="0.35">
      <c r="B126" s="1"/>
      <c r="C126" s="98" t="s">
        <v>49</v>
      </c>
      <c r="D126" s="101"/>
      <c r="E126" s="104" t="s">
        <v>50</v>
      </c>
      <c r="F126" s="2"/>
    </row>
    <row r="127" spans="2:6" ht="15" hidden="1" customHeight="1" x14ac:dyDescent="0.35">
      <c r="B127" s="1"/>
      <c r="C127" s="98" t="s">
        <v>51</v>
      </c>
      <c r="D127" s="101"/>
      <c r="E127" s="104" t="s">
        <v>52</v>
      </c>
      <c r="F127" s="2"/>
    </row>
    <row r="128" spans="2:6" ht="15" hidden="1" customHeight="1" x14ac:dyDescent="0.35">
      <c r="B128" s="1"/>
      <c r="C128" s="98" t="s">
        <v>53</v>
      </c>
      <c r="D128" s="101"/>
      <c r="E128" s="104" t="s">
        <v>54</v>
      </c>
      <c r="F128" s="2"/>
    </row>
    <row r="129" spans="2:6" ht="15" hidden="1" customHeight="1" x14ac:dyDescent="0.25">
      <c r="B129" s="1"/>
      <c r="C129" s="94"/>
      <c r="D129" s="94"/>
      <c r="E129" s="94"/>
      <c r="F129" s="2"/>
    </row>
    <row r="130" spans="2:6" ht="15" hidden="1" customHeight="1" x14ac:dyDescent="0.25">
      <c r="B130" s="1"/>
      <c r="C130" s="94" t="s">
        <v>55</v>
      </c>
      <c r="D130" s="94"/>
      <c r="E130" s="94"/>
      <c r="F130" s="2"/>
    </row>
    <row r="131" spans="2:6" ht="15" hidden="1" customHeight="1" x14ac:dyDescent="0.25">
      <c r="B131" s="1"/>
      <c r="C131" s="97" t="s">
        <v>36</v>
      </c>
      <c r="D131" s="100" t="str">
        <f>IF(I.Facility.ComplianceYear="","Compliance year",I.Facility.ComplianceYear)</f>
        <v>Compliance year</v>
      </c>
      <c r="E131" s="96" t="s">
        <v>37</v>
      </c>
      <c r="F131" s="2"/>
    </row>
    <row r="132" spans="2:6" ht="15" hidden="1" customHeight="1" x14ac:dyDescent="0.35">
      <c r="B132" s="1"/>
      <c r="C132" s="98" t="s">
        <v>56</v>
      </c>
      <c r="D132" s="101"/>
      <c r="E132" s="104" t="s">
        <v>57</v>
      </c>
      <c r="F132" s="2"/>
    </row>
    <row r="133" spans="2:6" ht="15" hidden="1" customHeight="1" x14ac:dyDescent="0.35">
      <c r="B133" s="1"/>
      <c r="C133" s="98" t="s">
        <v>58</v>
      </c>
      <c r="D133" s="101"/>
      <c r="E133" s="104" t="s">
        <v>59</v>
      </c>
      <c r="F133" s="2"/>
    </row>
    <row r="134" spans="2:6" ht="15" hidden="1" customHeight="1" x14ac:dyDescent="0.35">
      <c r="B134" s="1"/>
      <c r="C134" s="98" t="s">
        <v>60</v>
      </c>
      <c r="D134" s="101"/>
      <c r="E134" s="104" t="s">
        <v>61</v>
      </c>
      <c r="F134" s="2"/>
    </row>
    <row r="135" spans="2:6" ht="15" hidden="1" customHeight="1" x14ac:dyDescent="0.35">
      <c r="B135" s="1"/>
      <c r="C135" s="98" t="s">
        <v>62</v>
      </c>
      <c r="D135" s="101"/>
      <c r="E135" s="104" t="s">
        <v>63</v>
      </c>
      <c r="F135" s="2"/>
    </row>
    <row r="136" spans="2:6" ht="15" hidden="1" customHeight="1" x14ac:dyDescent="0.35">
      <c r="B136" s="1"/>
      <c r="C136" s="98" t="s">
        <v>64</v>
      </c>
      <c r="D136" s="101"/>
      <c r="E136" s="104" t="s">
        <v>65</v>
      </c>
      <c r="F136" s="2"/>
    </row>
    <row r="137" spans="2:6" ht="15" hidden="1" customHeight="1" x14ac:dyDescent="0.35">
      <c r="B137" s="1"/>
      <c r="C137" s="98" t="s">
        <v>66</v>
      </c>
      <c r="D137" s="101"/>
      <c r="E137" s="104" t="s">
        <v>67</v>
      </c>
      <c r="F137" s="2"/>
    </row>
    <row r="138" spans="2:6" ht="15" hidden="1" customHeight="1" x14ac:dyDescent="0.35">
      <c r="B138" s="1"/>
      <c r="C138" s="98" t="s">
        <v>68</v>
      </c>
      <c r="D138" s="101"/>
      <c r="E138" s="104" t="s">
        <v>69</v>
      </c>
      <c r="F138" s="2"/>
    </row>
    <row r="139" spans="2:6" ht="15" hidden="1" customHeight="1" x14ac:dyDescent="0.35">
      <c r="B139" s="1"/>
      <c r="C139" s="98" t="s">
        <v>70</v>
      </c>
      <c r="D139" s="101"/>
      <c r="E139" s="104" t="s">
        <v>71</v>
      </c>
      <c r="F139" s="2"/>
    </row>
    <row r="140" spans="2:6" ht="15" hidden="1" customHeight="1" x14ac:dyDescent="0.35">
      <c r="B140" s="1"/>
      <c r="C140" s="98" t="s">
        <v>72</v>
      </c>
      <c r="D140" s="101"/>
      <c r="E140" s="104" t="s">
        <v>73</v>
      </c>
      <c r="F140" s="2"/>
    </row>
    <row r="141" spans="2:6" ht="15" hidden="1" customHeight="1" x14ac:dyDescent="0.35">
      <c r="B141" s="1"/>
      <c r="C141" s="98" t="s">
        <v>74</v>
      </c>
      <c r="D141" s="101"/>
      <c r="E141" s="104" t="s">
        <v>75</v>
      </c>
      <c r="F141" s="2"/>
    </row>
    <row r="142" spans="2:6" ht="15" hidden="1" customHeight="1" x14ac:dyDescent="0.35">
      <c r="B142" s="1"/>
      <c r="C142" s="98" t="s">
        <v>76</v>
      </c>
      <c r="D142" s="101"/>
      <c r="E142" s="104" t="s">
        <v>77</v>
      </c>
      <c r="F142" s="2"/>
    </row>
    <row r="143" spans="2:6" ht="15" hidden="1" customHeight="1" x14ac:dyDescent="0.35">
      <c r="B143" s="1"/>
      <c r="C143" s="98" t="s">
        <v>78</v>
      </c>
      <c r="D143" s="101"/>
      <c r="E143" s="104" t="s">
        <v>79</v>
      </c>
      <c r="F143" s="2"/>
    </row>
    <row r="144" spans="2:6" ht="15" hidden="1" customHeight="1" x14ac:dyDescent="0.35">
      <c r="B144" s="1"/>
      <c r="C144" s="98" t="s">
        <v>80</v>
      </c>
      <c r="D144" s="101"/>
      <c r="E144" s="104" t="s">
        <v>81</v>
      </c>
      <c r="F144" s="2"/>
    </row>
    <row r="145" spans="2:6" ht="15" hidden="1" customHeight="1" x14ac:dyDescent="0.35">
      <c r="B145" s="1"/>
      <c r="C145" s="98" t="s">
        <v>82</v>
      </c>
      <c r="D145" s="101"/>
      <c r="E145" s="104" t="s">
        <v>83</v>
      </c>
      <c r="F145" s="2"/>
    </row>
    <row r="146" spans="2:6" ht="15" hidden="1" customHeight="1" x14ac:dyDescent="0.35">
      <c r="B146" s="1"/>
      <c r="C146" s="98" t="s">
        <v>84</v>
      </c>
      <c r="D146" s="101"/>
      <c r="E146" s="104" t="s">
        <v>85</v>
      </c>
      <c r="F146" s="2"/>
    </row>
    <row r="147" spans="2:6" ht="15" hidden="1" customHeight="1" x14ac:dyDescent="0.35">
      <c r="B147" s="1"/>
      <c r="C147" s="98" t="s">
        <v>86</v>
      </c>
      <c r="D147" s="101"/>
      <c r="E147" s="104" t="s">
        <v>87</v>
      </c>
      <c r="F147" s="2"/>
    </row>
    <row r="148" spans="2:6" ht="15" hidden="1" customHeight="1" x14ac:dyDescent="0.35">
      <c r="B148" s="1"/>
      <c r="C148" s="98" t="s">
        <v>88</v>
      </c>
      <c r="D148" s="101"/>
      <c r="E148" s="104" t="s">
        <v>89</v>
      </c>
      <c r="F148" s="2"/>
    </row>
    <row r="149" spans="2:6" ht="15" hidden="1" customHeight="1" x14ac:dyDescent="0.35">
      <c r="B149" s="1"/>
      <c r="C149" s="98" t="s">
        <v>90</v>
      </c>
      <c r="D149" s="101"/>
      <c r="E149" s="104" t="s">
        <v>91</v>
      </c>
      <c r="F149" s="2"/>
    </row>
    <row r="150" spans="2:6" ht="15" hidden="1" customHeight="1" x14ac:dyDescent="0.35">
      <c r="B150" s="1"/>
      <c r="C150" s="98" t="s">
        <v>92</v>
      </c>
      <c r="D150" s="101"/>
      <c r="E150" s="104" t="s">
        <v>93</v>
      </c>
      <c r="F150" s="2"/>
    </row>
    <row r="151" spans="2:6" ht="15" hidden="1" customHeight="1" x14ac:dyDescent="0.35">
      <c r="B151" s="1"/>
      <c r="C151" s="98" t="s">
        <v>94</v>
      </c>
      <c r="D151" s="101"/>
      <c r="E151" s="104" t="s">
        <v>95</v>
      </c>
      <c r="F151" s="2"/>
    </row>
    <row r="152" spans="2:6" ht="15" hidden="1" customHeight="1" x14ac:dyDescent="0.35">
      <c r="B152" s="1"/>
      <c r="C152" s="98" t="s">
        <v>96</v>
      </c>
      <c r="D152" s="101"/>
      <c r="E152" s="104" t="s">
        <v>97</v>
      </c>
      <c r="F152" s="2"/>
    </row>
    <row r="153" spans="2:6" ht="15" hidden="1" customHeight="1" x14ac:dyDescent="0.25">
      <c r="B153" s="1"/>
      <c r="C153" s="94"/>
      <c r="D153" s="94"/>
      <c r="E153" s="94"/>
      <c r="F153" s="2"/>
    </row>
    <row r="154" spans="2:6" ht="15" hidden="1" customHeight="1" x14ac:dyDescent="0.25">
      <c r="B154" s="1"/>
      <c r="C154" s="94" t="s">
        <v>98</v>
      </c>
      <c r="D154" s="94"/>
      <c r="E154" s="94"/>
      <c r="F154" s="2"/>
    </row>
    <row r="155" spans="2:6" ht="15" hidden="1" customHeight="1" x14ac:dyDescent="0.25">
      <c r="B155" s="1"/>
      <c r="C155" s="97" t="s">
        <v>36</v>
      </c>
      <c r="D155" s="100" t="str">
        <f>IF(I.Facility.ComplianceYear="","Compliance year",I.Facility.ComplianceYear)</f>
        <v>Compliance year</v>
      </c>
      <c r="E155" s="96" t="s">
        <v>37</v>
      </c>
      <c r="F155" s="2"/>
    </row>
    <row r="156" spans="2:6" ht="15" hidden="1" customHeight="1" x14ac:dyDescent="0.25">
      <c r="B156" s="1"/>
      <c r="C156" s="98" t="s">
        <v>99</v>
      </c>
      <c r="D156" s="101"/>
      <c r="E156" s="104" t="s">
        <v>42</v>
      </c>
      <c r="F156" s="2"/>
    </row>
    <row r="157" spans="2:6" ht="15" hidden="1" customHeight="1" x14ac:dyDescent="0.25">
      <c r="B157" s="1"/>
      <c r="C157" s="98" t="s">
        <v>100</v>
      </c>
      <c r="D157" s="101"/>
      <c r="E157" s="104" t="s">
        <v>42</v>
      </c>
      <c r="F157" s="2"/>
    </row>
    <row r="158" spans="2:6" ht="15" hidden="1" customHeight="1" x14ac:dyDescent="0.35">
      <c r="B158" s="1"/>
      <c r="C158" s="98" t="s">
        <v>49</v>
      </c>
      <c r="D158" s="101"/>
      <c r="E158" s="104" t="s">
        <v>50</v>
      </c>
      <c r="F158" s="2"/>
    </row>
    <row r="159" spans="2:6" ht="15" hidden="1" customHeight="1" x14ac:dyDescent="0.35">
      <c r="B159" s="1"/>
      <c r="C159" s="98" t="s">
        <v>51</v>
      </c>
      <c r="D159" s="101"/>
      <c r="E159" s="104" t="s">
        <v>52</v>
      </c>
      <c r="F159" s="2"/>
    </row>
    <row r="160" spans="2:6" ht="15" hidden="1" customHeight="1" x14ac:dyDescent="0.35">
      <c r="B160" s="1"/>
      <c r="C160" s="98" t="s">
        <v>53</v>
      </c>
      <c r="D160" s="101"/>
      <c r="E160" s="104" t="s">
        <v>54</v>
      </c>
      <c r="F160" s="2"/>
    </row>
    <row r="161" spans="2:6" ht="15" hidden="1" customHeight="1" x14ac:dyDescent="0.25">
      <c r="B161" s="1"/>
      <c r="C161" s="122" t="s">
        <v>101</v>
      </c>
      <c r="D161" s="123"/>
      <c r="E161" s="123"/>
      <c r="F161" s="2"/>
    </row>
    <row r="162" spans="2:6" ht="15" hidden="1" customHeight="1" x14ac:dyDescent="0.25">
      <c r="B162" s="1"/>
      <c r="C162" s="124" t="s">
        <v>102</v>
      </c>
      <c r="D162" s="113"/>
      <c r="E162" s="113"/>
      <c r="F162" s="2"/>
    </row>
    <row r="163" spans="2:6" ht="15" hidden="1" customHeight="1" x14ac:dyDescent="0.25">
      <c r="B163" s="1"/>
      <c r="C163" s="94"/>
      <c r="D163" s="94"/>
      <c r="E163" s="94"/>
      <c r="F163" s="2"/>
    </row>
    <row r="164" spans="2:6" ht="15" hidden="1" customHeight="1" x14ac:dyDescent="0.25">
      <c r="B164" s="1"/>
      <c r="C164" s="94" t="s">
        <v>103</v>
      </c>
      <c r="D164" s="94"/>
      <c r="E164" s="94"/>
      <c r="F164" s="2"/>
    </row>
    <row r="165" spans="2:6" ht="15" hidden="1" customHeight="1" x14ac:dyDescent="0.25">
      <c r="B165" s="1"/>
      <c r="C165" s="97" t="s">
        <v>36</v>
      </c>
      <c r="D165" s="100" t="str">
        <f>IF(I.Facility.ComplianceYear="","Compliance year",I.Facility.ComplianceYear)</f>
        <v>Compliance year</v>
      </c>
      <c r="E165" s="96" t="s">
        <v>37</v>
      </c>
      <c r="F165" s="2"/>
    </row>
    <row r="166" spans="2:6" ht="15" hidden="1" customHeight="1" x14ac:dyDescent="0.35">
      <c r="B166" s="1"/>
      <c r="C166" s="98" t="s">
        <v>49</v>
      </c>
      <c r="D166" s="101"/>
      <c r="E166" s="104" t="s">
        <v>50</v>
      </c>
      <c r="F166" s="2"/>
    </row>
    <row r="167" spans="2:6" ht="15" hidden="1" customHeight="1" x14ac:dyDescent="0.35">
      <c r="B167" s="1"/>
      <c r="C167" s="98" t="s">
        <v>51</v>
      </c>
      <c r="D167" s="101"/>
      <c r="E167" s="104" t="s">
        <v>52</v>
      </c>
      <c r="F167" s="2"/>
    </row>
    <row r="168" spans="2:6" ht="15" hidden="1" customHeight="1" x14ac:dyDescent="0.35">
      <c r="B168" s="1"/>
      <c r="C168" s="98" t="s">
        <v>53</v>
      </c>
      <c r="D168" s="101"/>
      <c r="E168" s="104" t="s">
        <v>54</v>
      </c>
      <c r="F168" s="2"/>
    </row>
    <row r="169" spans="2:6" ht="15" hidden="1" customHeight="1" x14ac:dyDescent="0.25">
      <c r="B169" s="1"/>
      <c r="C169" s="94"/>
      <c r="D169" s="94"/>
      <c r="E169" s="94"/>
      <c r="F169" s="2"/>
    </row>
    <row r="170" spans="2:6" ht="20.100000000000001" hidden="1" customHeight="1" x14ac:dyDescent="0.25">
      <c r="B170" s="10"/>
      <c r="C170" s="118" t="s">
        <v>32</v>
      </c>
      <c r="D170" s="118"/>
      <c r="E170" s="118"/>
      <c r="F170" s="11"/>
    </row>
    <row r="171" spans="2:6" ht="15" hidden="1" customHeight="1" x14ac:dyDescent="0.25">
      <c r="B171" s="1"/>
      <c r="C171" s="94"/>
      <c r="D171" s="94"/>
      <c r="E171" s="94"/>
      <c r="F171" s="2"/>
    </row>
    <row r="172" spans="2:6" ht="15" hidden="1" customHeight="1" x14ac:dyDescent="0.25">
      <c r="B172" s="1"/>
      <c r="C172" s="94" t="s">
        <v>40</v>
      </c>
      <c r="D172" s="94"/>
      <c r="E172" s="94"/>
      <c r="F172" s="2"/>
    </row>
    <row r="173" spans="2:6" ht="15" hidden="1" customHeight="1" x14ac:dyDescent="0.25">
      <c r="B173" s="1"/>
      <c r="C173" s="97" t="s">
        <v>36</v>
      </c>
      <c r="D173" s="100" t="str">
        <f>IF(I.Facility.ComplianceYear="","Compliance year",I.Facility.ComplianceYear)</f>
        <v>Compliance year</v>
      </c>
      <c r="E173" s="96" t="s">
        <v>37</v>
      </c>
      <c r="F173" s="2"/>
    </row>
    <row r="174" spans="2:6" ht="15" hidden="1" customHeight="1" x14ac:dyDescent="0.25">
      <c r="B174" s="1"/>
      <c r="C174" s="98" t="s">
        <v>41</v>
      </c>
      <c r="D174" s="101"/>
      <c r="E174" s="104" t="s">
        <v>42</v>
      </c>
      <c r="F174" s="2"/>
    </row>
    <row r="175" spans="2:6" ht="15" hidden="1" customHeight="1" x14ac:dyDescent="0.25">
      <c r="B175" s="1"/>
      <c r="C175" s="98" t="s">
        <v>43</v>
      </c>
      <c r="D175" s="101"/>
      <c r="E175" s="95" t="s">
        <v>44</v>
      </c>
      <c r="F175" s="2"/>
    </row>
    <row r="176" spans="2:6" ht="15" hidden="1" customHeight="1" x14ac:dyDescent="0.25">
      <c r="B176" s="1"/>
      <c r="C176" s="98" t="s">
        <v>45</v>
      </c>
      <c r="D176" s="101"/>
      <c r="E176" s="95" t="s">
        <v>44</v>
      </c>
      <c r="F176" s="2"/>
    </row>
    <row r="177" spans="2:6" ht="15" hidden="1" customHeight="1" x14ac:dyDescent="0.25">
      <c r="B177" s="1"/>
      <c r="C177" s="98" t="s">
        <v>46</v>
      </c>
      <c r="D177" s="101"/>
      <c r="E177" s="95" t="s">
        <v>44</v>
      </c>
      <c r="F177" s="2"/>
    </row>
    <row r="178" spans="2:6" ht="15" hidden="1" customHeight="1" x14ac:dyDescent="0.25">
      <c r="B178" s="1"/>
      <c r="C178" s="98" t="s">
        <v>47</v>
      </c>
      <c r="D178" s="101"/>
      <c r="E178" s="95" t="s">
        <v>44</v>
      </c>
      <c r="F178" s="2"/>
    </row>
    <row r="179" spans="2:6" ht="15" hidden="1" customHeight="1" x14ac:dyDescent="0.25">
      <c r="B179" s="1"/>
      <c r="C179" s="98" t="s">
        <v>48</v>
      </c>
      <c r="D179" s="101"/>
      <c r="E179" s="95" t="s">
        <v>44</v>
      </c>
      <c r="F179" s="2"/>
    </row>
    <row r="180" spans="2:6" ht="15" hidden="1" customHeight="1" x14ac:dyDescent="0.35">
      <c r="B180" s="1"/>
      <c r="C180" s="98" t="s">
        <v>49</v>
      </c>
      <c r="D180" s="101"/>
      <c r="E180" s="104" t="s">
        <v>50</v>
      </c>
      <c r="F180" s="2"/>
    </row>
    <row r="181" spans="2:6" ht="15" hidden="1" customHeight="1" x14ac:dyDescent="0.35">
      <c r="B181" s="1"/>
      <c r="C181" s="98" t="s">
        <v>51</v>
      </c>
      <c r="D181" s="101"/>
      <c r="E181" s="104" t="s">
        <v>52</v>
      </c>
      <c r="F181" s="2"/>
    </row>
    <row r="182" spans="2:6" ht="15" hidden="1" customHeight="1" x14ac:dyDescent="0.35">
      <c r="B182" s="1"/>
      <c r="C182" s="98" t="s">
        <v>53</v>
      </c>
      <c r="D182" s="101"/>
      <c r="E182" s="104" t="s">
        <v>54</v>
      </c>
      <c r="F182" s="2"/>
    </row>
    <row r="183" spans="2:6" ht="15" hidden="1" customHeight="1" x14ac:dyDescent="0.25">
      <c r="B183" s="1"/>
      <c r="C183" s="94"/>
      <c r="D183" s="94"/>
      <c r="E183" s="94"/>
      <c r="F183" s="2"/>
    </row>
    <row r="184" spans="2:6" ht="15" hidden="1" customHeight="1" x14ac:dyDescent="0.25">
      <c r="B184" s="1"/>
      <c r="C184" s="94" t="s">
        <v>55</v>
      </c>
      <c r="D184" s="94"/>
      <c r="E184" s="94"/>
      <c r="F184" s="2"/>
    </row>
    <row r="185" spans="2:6" ht="15" hidden="1" customHeight="1" x14ac:dyDescent="0.25">
      <c r="B185" s="1"/>
      <c r="C185" s="97" t="s">
        <v>36</v>
      </c>
      <c r="D185" s="100" t="str">
        <f>IF(I.Facility.ComplianceYear="","Compliance year",I.Facility.ComplianceYear)</f>
        <v>Compliance year</v>
      </c>
      <c r="E185" s="96" t="s">
        <v>37</v>
      </c>
      <c r="F185" s="2"/>
    </row>
    <row r="186" spans="2:6" ht="15" hidden="1" customHeight="1" x14ac:dyDescent="0.35">
      <c r="B186" s="1"/>
      <c r="C186" s="98" t="s">
        <v>56</v>
      </c>
      <c r="D186" s="101"/>
      <c r="E186" s="104" t="s">
        <v>57</v>
      </c>
      <c r="F186" s="2"/>
    </row>
    <row r="187" spans="2:6" ht="15" hidden="1" customHeight="1" x14ac:dyDescent="0.35">
      <c r="B187" s="1"/>
      <c r="C187" s="98" t="s">
        <v>58</v>
      </c>
      <c r="D187" s="101"/>
      <c r="E187" s="104" t="s">
        <v>59</v>
      </c>
      <c r="F187" s="2"/>
    </row>
    <row r="188" spans="2:6" ht="15" hidden="1" customHeight="1" x14ac:dyDescent="0.35">
      <c r="B188" s="1"/>
      <c r="C188" s="98" t="s">
        <v>60</v>
      </c>
      <c r="D188" s="101"/>
      <c r="E188" s="104" t="s">
        <v>61</v>
      </c>
      <c r="F188" s="2"/>
    </row>
    <row r="189" spans="2:6" ht="15" hidden="1" customHeight="1" x14ac:dyDescent="0.35">
      <c r="B189" s="1"/>
      <c r="C189" s="98" t="s">
        <v>62</v>
      </c>
      <c r="D189" s="101"/>
      <c r="E189" s="104" t="s">
        <v>63</v>
      </c>
      <c r="F189" s="2"/>
    </row>
    <row r="190" spans="2:6" ht="15" hidden="1" customHeight="1" x14ac:dyDescent="0.35">
      <c r="B190" s="1"/>
      <c r="C190" s="98" t="s">
        <v>64</v>
      </c>
      <c r="D190" s="101"/>
      <c r="E190" s="104" t="s">
        <v>65</v>
      </c>
      <c r="F190" s="2"/>
    </row>
    <row r="191" spans="2:6" ht="15" hidden="1" customHeight="1" x14ac:dyDescent="0.35">
      <c r="B191" s="1"/>
      <c r="C191" s="98" t="s">
        <v>66</v>
      </c>
      <c r="D191" s="101"/>
      <c r="E191" s="104" t="s">
        <v>67</v>
      </c>
      <c r="F191" s="2"/>
    </row>
    <row r="192" spans="2:6" ht="15" hidden="1" customHeight="1" x14ac:dyDescent="0.35">
      <c r="B192" s="1"/>
      <c r="C192" s="98" t="s">
        <v>68</v>
      </c>
      <c r="D192" s="101"/>
      <c r="E192" s="104" t="s">
        <v>69</v>
      </c>
      <c r="F192" s="2"/>
    </row>
    <row r="193" spans="2:6" ht="15" hidden="1" customHeight="1" x14ac:dyDescent="0.35">
      <c r="B193" s="1"/>
      <c r="C193" s="98" t="s">
        <v>70</v>
      </c>
      <c r="D193" s="101"/>
      <c r="E193" s="104" t="s">
        <v>71</v>
      </c>
      <c r="F193" s="2"/>
    </row>
    <row r="194" spans="2:6" ht="15" hidden="1" customHeight="1" x14ac:dyDescent="0.35">
      <c r="B194" s="1"/>
      <c r="C194" s="98" t="s">
        <v>72</v>
      </c>
      <c r="D194" s="101"/>
      <c r="E194" s="104" t="s">
        <v>73</v>
      </c>
      <c r="F194" s="2"/>
    </row>
    <row r="195" spans="2:6" ht="15" hidden="1" customHeight="1" x14ac:dyDescent="0.35">
      <c r="B195" s="1"/>
      <c r="C195" s="98" t="s">
        <v>74</v>
      </c>
      <c r="D195" s="101"/>
      <c r="E195" s="104" t="s">
        <v>75</v>
      </c>
      <c r="F195" s="2"/>
    </row>
    <row r="196" spans="2:6" ht="15" hidden="1" customHeight="1" x14ac:dyDescent="0.35">
      <c r="B196" s="1"/>
      <c r="C196" s="98" t="s">
        <v>76</v>
      </c>
      <c r="D196" s="101"/>
      <c r="E196" s="104" t="s">
        <v>77</v>
      </c>
      <c r="F196" s="2"/>
    </row>
    <row r="197" spans="2:6" ht="15" hidden="1" customHeight="1" x14ac:dyDescent="0.35">
      <c r="B197" s="1"/>
      <c r="C197" s="98" t="s">
        <v>78</v>
      </c>
      <c r="D197" s="101"/>
      <c r="E197" s="104" t="s">
        <v>79</v>
      </c>
      <c r="F197" s="2"/>
    </row>
    <row r="198" spans="2:6" ht="15" hidden="1" customHeight="1" x14ac:dyDescent="0.35">
      <c r="B198" s="1"/>
      <c r="C198" s="98" t="s">
        <v>80</v>
      </c>
      <c r="D198" s="101"/>
      <c r="E198" s="104" t="s">
        <v>81</v>
      </c>
      <c r="F198" s="2"/>
    </row>
    <row r="199" spans="2:6" ht="15" hidden="1" customHeight="1" x14ac:dyDescent="0.35">
      <c r="B199" s="1"/>
      <c r="C199" s="98" t="s">
        <v>82</v>
      </c>
      <c r="D199" s="101"/>
      <c r="E199" s="104" t="s">
        <v>83</v>
      </c>
      <c r="F199" s="2"/>
    </row>
    <row r="200" spans="2:6" ht="15" hidden="1" customHeight="1" x14ac:dyDescent="0.35">
      <c r="B200" s="1"/>
      <c r="C200" s="98" t="s">
        <v>84</v>
      </c>
      <c r="D200" s="101"/>
      <c r="E200" s="104" t="s">
        <v>85</v>
      </c>
      <c r="F200" s="2"/>
    </row>
    <row r="201" spans="2:6" ht="15" hidden="1" customHeight="1" x14ac:dyDescent="0.35">
      <c r="B201" s="1"/>
      <c r="C201" s="98" t="s">
        <v>86</v>
      </c>
      <c r="D201" s="101"/>
      <c r="E201" s="104" t="s">
        <v>87</v>
      </c>
      <c r="F201" s="2"/>
    </row>
    <row r="202" spans="2:6" ht="15" hidden="1" customHeight="1" x14ac:dyDescent="0.35">
      <c r="B202" s="1"/>
      <c r="C202" s="98" t="s">
        <v>88</v>
      </c>
      <c r="D202" s="101"/>
      <c r="E202" s="104" t="s">
        <v>89</v>
      </c>
      <c r="F202" s="2"/>
    </row>
    <row r="203" spans="2:6" ht="15" hidden="1" customHeight="1" x14ac:dyDescent="0.35">
      <c r="B203" s="1"/>
      <c r="C203" s="98" t="s">
        <v>90</v>
      </c>
      <c r="D203" s="101"/>
      <c r="E203" s="104" t="s">
        <v>91</v>
      </c>
      <c r="F203" s="2"/>
    </row>
    <row r="204" spans="2:6" ht="15" hidden="1" customHeight="1" x14ac:dyDescent="0.35">
      <c r="B204" s="1"/>
      <c r="C204" s="98" t="s">
        <v>92</v>
      </c>
      <c r="D204" s="101"/>
      <c r="E204" s="104" t="s">
        <v>93</v>
      </c>
      <c r="F204" s="2"/>
    </row>
    <row r="205" spans="2:6" ht="15" hidden="1" customHeight="1" x14ac:dyDescent="0.35">
      <c r="B205" s="1"/>
      <c r="C205" s="98" t="s">
        <v>94</v>
      </c>
      <c r="D205" s="101"/>
      <c r="E205" s="104" t="s">
        <v>95</v>
      </c>
      <c r="F205" s="2"/>
    </row>
    <row r="206" spans="2:6" ht="15" hidden="1" customHeight="1" x14ac:dyDescent="0.35">
      <c r="B206" s="1"/>
      <c r="C206" s="98" t="s">
        <v>96</v>
      </c>
      <c r="D206" s="101"/>
      <c r="E206" s="104" t="s">
        <v>97</v>
      </c>
      <c r="F206" s="2"/>
    </row>
    <row r="207" spans="2:6" ht="15" hidden="1" customHeight="1" x14ac:dyDescent="0.25">
      <c r="B207" s="1"/>
      <c r="C207" s="94"/>
      <c r="D207" s="94"/>
      <c r="E207" s="94"/>
      <c r="F207" s="2"/>
    </row>
    <row r="208" spans="2:6" ht="15" hidden="1" customHeight="1" x14ac:dyDescent="0.25">
      <c r="B208" s="1"/>
      <c r="C208" s="94" t="s">
        <v>98</v>
      </c>
      <c r="D208" s="94"/>
      <c r="E208" s="94"/>
      <c r="F208" s="2"/>
    </row>
    <row r="209" spans="2:6" ht="15" hidden="1" customHeight="1" x14ac:dyDescent="0.25">
      <c r="B209" s="1"/>
      <c r="C209" s="97" t="s">
        <v>36</v>
      </c>
      <c r="D209" s="100" t="str">
        <f>IF(I.Facility.ComplianceYear="","Compliance year",I.Facility.ComplianceYear)</f>
        <v>Compliance year</v>
      </c>
      <c r="E209" s="96" t="s">
        <v>37</v>
      </c>
      <c r="F209" s="2"/>
    </row>
    <row r="210" spans="2:6" ht="15" hidden="1" customHeight="1" x14ac:dyDescent="0.25">
      <c r="B210" s="1"/>
      <c r="C210" s="98" t="s">
        <v>99</v>
      </c>
      <c r="D210" s="101"/>
      <c r="E210" s="104" t="s">
        <v>42</v>
      </c>
      <c r="F210" s="2"/>
    </row>
    <row r="211" spans="2:6" ht="15" hidden="1" customHeight="1" x14ac:dyDescent="0.25">
      <c r="B211" s="1"/>
      <c r="C211" s="98" t="s">
        <v>100</v>
      </c>
      <c r="D211" s="101"/>
      <c r="E211" s="104" t="s">
        <v>42</v>
      </c>
      <c r="F211" s="2"/>
    </row>
    <row r="212" spans="2:6" ht="15" hidden="1" customHeight="1" x14ac:dyDescent="0.35">
      <c r="B212" s="1"/>
      <c r="C212" s="98" t="s">
        <v>49</v>
      </c>
      <c r="D212" s="101"/>
      <c r="E212" s="104" t="s">
        <v>50</v>
      </c>
      <c r="F212" s="2"/>
    </row>
    <row r="213" spans="2:6" ht="15" hidden="1" customHeight="1" x14ac:dyDescent="0.35">
      <c r="B213" s="1"/>
      <c r="C213" s="98" t="s">
        <v>51</v>
      </c>
      <c r="D213" s="101"/>
      <c r="E213" s="104" t="s">
        <v>52</v>
      </c>
      <c r="F213" s="2"/>
    </row>
    <row r="214" spans="2:6" ht="15" hidden="1" customHeight="1" x14ac:dyDescent="0.35">
      <c r="B214" s="1"/>
      <c r="C214" s="98" t="s">
        <v>53</v>
      </c>
      <c r="D214" s="101"/>
      <c r="E214" s="104" t="s">
        <v>54</v>
      </c>
      <c r="F214" s="2"/>
    </row>
    <row r="215" spans="2:6" ht="15" hidden="1" customHeight="1" x14ac:dyDescent="0.25">
      <c r="B215" s="1"/>
      <c r="C215" s="122" t="s">
        <v>101</v>
      </c>
      <c r="D215" s="123"/>
      <c r="E215" s="123"/>
      <c r="F215" s="2"/>
    </row>
    <row r="216" spans="2:6" ht="15" hidden="1" customHeight="1" x14ac:dyDescent="0.25">
      <c r="B216" s="1"/>
      <c r="C216" s="124" t="s">
        <v>102</v>
      </c>
      <c r="D216" s="113"/>
      <c r="E216" s="113"/>
      <c r="F216" s="2"/>
    </row>
    <row r="217" spans="2:6" ht="15" hidden="1" customHeight="1" x14ac:dyDescent="0.25">
      <c r="B217" s="1"/>
      <c r="C217" s="94"/>
      <c r="D217" s="94"/>
      <c r="E217" s="94"/>
      <c r="F217" s="2"/>
    </row>
    <row r="218" spans="2:6" ht="15" hidden="1" customHeight="1" x14ac:dyDescent="0.25">
      <c r="B218" s="1"/>
      <c r="C218" s="94" t="s">
        <v>103</v>
      </c>
      <c r="D218" s="94"/>
      <c r="E218" s="94"/>
      <c r="F218" s="2"/>
    </row>
    <row r="219" spans="2:6" ht="15" hidden="1" customHeight="1" x14ac:dyDescent="0.25">
      <c r="B219" s="1"/>
      <c r="C219" s="97" t="s">
        <v>36</v>
      </c>
      <c r="D219" s="100" t="str">
        <f>IF(I.Facility.ComplianceYear="","Compliance year",I.Facility.ComplianceYear)</f>
        <v>Compliance year</v>
      </c>
      <c r="E219" s="96" t="s">
        <v>37</v>
      </c>
      <c r="F219" s="2"/>
    </row>
    <row r="220" spans="2:6" ht="15" hidden="1" customHeight="1" x14ac:dyDescent="0.35">
      <c r="B220" s="1"/>
      <c r="C220" s="98" t="s">
        <v>49</v>
      </c>
      <c r="D220" s="101"/>
      <c r="E220" s="104" t="s">
        <v>50</v>
      </c>
      <c r="F220" s="2"/>
    </row>
    <row r="221" spans="2:6" ht="15" hidden="1" customHeight="1" x14ac:dyDescent="0.35">
      <c r="B221" s="1"/>
      <c r="C221" s="98" t="s">
        <v>51</v>
      </c>
      <c r="D221" s="101"/>
      <c r="E221" s="104" t="s">
        <v>52</v>
      </c>
      <c r="F221" s="2"/>
    </row>
    <row r="222" spans="2:6" ht="15" hidden="1" customHeight="1" x14ac:dyDescent="0.35">
      <c r="B222" s="1"/>
      <c r="C222" s="98" t="s">
        <v>53</v>
      </c>
      <c r="D222" s="101"/>
      <c r="E222" s="104" t="s">
        <v>54</v>
      </c>
      <c r="F222" s="2"/>
    </row>
    <row r="223" spans="2:6" ht="15" hidden="1" customHeight="1" x14ac:dyDescent="0.25">
      <c r="B223" s="1"/>
      <c r="C223" s="94"/>
      <c r="D223" s="94"/>
      <c r="E223" s="94"/>
      <c r="F223" s="2"/>
    </row>
    <row r="224" spans="2:6" ht="20.100000000000001" hidden="1" customHeight="1" x14ac:dyDescent="0.25">
      <c r="B224" s="10"/>
      <c r="C224" s="118" t="s">
        <v>33</v>
      </c>
      <c r="D224" s="118"/>
      <c r="E224" s="118"/>
      <c r="F224" s="11"/>
    </row>
    <row r="225" spans="2:6" ht="15" hidden="1" customHeight="1" x14ac:dyDescent="0.25">
      <c r="B225" s="1"/>
      <c r="C225" s="94"/>
      <c r="D225" s="94"/>
      <c r="E225" s="94"/>
      <c r="F225" s="2"/>
    </row>
    <row r="226" spans="2:6" ht="15" hidden="1" customHeight="1" x14ac:dyDescent="0.25">
      <c r="B226" s="1"/>
      <c r="C226" s="94" t="s">
        <v>40</v>
      </c>
      <c r="D226" s="94"/>
      <c r="E226" s="94"/>
      <c r="F226" s="2"/>
    </row>
    <row r="227" spans="2:6" ht="15" hidden="1" customHeight="1" x14ac:dyDescent="0.25">
      <c r="B227" s="1"/>
      <c r="C227" s="97" t="s">
        <v>36</v>
      </c>
      <c r="D227" s="100" t="str">
        <f>IF(I.Facility.ComplianceYear="","Compliance year",I.Facility.ComplianceYear)</f>
        <v>Compliance year</v>
      </c>
      <c r="E227" s="96" t="s">
        <v>37</v>
      </c>
      <c r="F227" s="2"/>
    </row>
    <row r="228" spans="2:6" ht="15" hidden="1" customHeight="1" x14ac:dyDescent="0.25">
      <c r="B228" s="1"/>
      <c r="C228" s="98" t="s">
        <v>41</v>
      </c>
      <c r="D228" s="101"/>
      <c r="E228" s="104" t="s">
        <v>42</v>
      </c>
      <c r="F228" s="2"/>
    </row>
    <row r="229" spans="2:6" ht="15" hidden="1" customHeight="1" x14ac:dyDescent="0.25">
      <c r="B229" s="1"/>
      <c r="C229" s="98" t="s">
        <v>43</v>
      </c>
      <c r="D229" s="101"/>
      <c r="E229" s="95" t="s">
        <v>44</v>
      </c>
      <c r="F229" s="2"/>
    </row>
    <row r="230" spans="2:6" ht="15" hidden="1" customHeight="1" x14ac:dyDescent="0.25">
      <c r="B230" s="1"/>
      <c r="C230" s="98" t="s">
        <v>45</v>
      </c>
      <c r="D230" s="101"/>
      <c r="E230" s="95" t="s">
        <v>44</v>
      </c>
      <c r="F230" s="2"/>
    </row>
    <row r="231" spans="2:6" ht="15" hidden="1" customHeight="1" x14ac:dyDescent="0.25">
      <c r="B231" s="1"/>
      <c r="C231" s="98" t="s">
        <v>46</v>
      </c>
      <c r="D231" s="101"/>
      <c r="E231" s="95" t="s">
        <v>44</v>
      </c>
      <c r="F231" s="2"/>
    </row>
    <row r="232" spans="2:6" ht="15" hidden="1" customHeight="1" x14ac:dyDescent="0.25">
      <c r="B232" s="1"/>
      <c r="C232" s="98" t="s">
        <v>47</v>
      </c>
      <c r="D232" s="101"/>
      <c r="E232" s="95" t="s">
        <v>44</v>
      </c>
      <c r="F232" s="2"/>
    </row>
    <row r="233" spans="2:6" ht="15" hidden="1" customHeight="1" x14ac:dyDescent="0.25">
      <c r="B233" s="1"/>
      <c r="C233" s="98" t="s">
        <v>48</v>
      </c>
      <c r="D233" s="101"/>
      <c r="E233" s="95" t="s">
        <v>44</v>
      </c>
      <c r="F233" s="2"/>
    </row>
    <row r="234" spans="2:6" ht="15" hidden="1" customHeight="1" x14ac:dyDescent="0.35">
      <c r="B234" s="1"/>
      <c r="C234" s="98" t="s">
        <v>49</v>
      </c>
      <c r="D234" s="101"/>
      <c r="E234" s="104" t="s">
        <v>50</v>
      </c>
      <c r="F234" s="2"/>
    </row>
    <row r="235" spans="2:6" ht="15" hidden="1" customHeight="1" x14ac:dyDescent="0.35">
      <c r="B235" s="1"/>
      <c r="C235" s="98" t="s">
        <v>51</v>
      </c>
      <c r="D235" s="101"/>
      <c r="E235" s="104" t="s">
        <v>52</v>
      </c>
      <c r="F235" s="2"/>
    </row>
    <row r="236" spans="2:6" ht="15" hidden="1" customHeight="1" x14ac:dyDescent="0.35">
      <c r="B236" s="1"/>
      <c r="C236" s="98" t="s">
        <v>53</v>
      </c>
      <c r="D236" s="101"/>
      <c r="E236" s="104" t="s">
        <v>54</v>
      </c>
      <c r="F236" s="2"/>
    </row>
    <row r="237" spans="2:6" ht="15" hidden="1" customHeight="1" x14ac:dyDescent="0.25">
      <c r="B237" s="1"/>
      <c r="C237" s="94"/>
      <c r="D237" s="94"/>
      <c r="E237" s="94"/>
      <c r="F237" s="2"/>
    </row>
    <row r="238" spans="2:6" ht="15" hidden="1" customHeight="1" x14ac:dyDescent="0.25">
      <c r="B238" s="1"/>
      <c r="C238" s="94" t="s">
        <v>55</v>
      </c>
      <c r="D238" s="94"/>
      <c r="E238" s="94"/>
      <c r="F238" s="2"/>
    </row>
    <row r="239" spans="2:6" ht="15" hidden="1" customHeight="1" x14ac:dyDescent="0.25">
      <c r="B239" s="1"/>
      <c r="C239" s="97" t="s">
        <v>36</v>
      </c>
      <c r="D239" s="100" t="str">
        <f>IF(I.Facility.ComplianceYear="","Compliance year",I.Facility.ComplianceYear)</f>
        <v>Compliance year</v>
      </c>
      <c r="E239" s="96" t="s">
        <v>37</v>
      </c>
      <c r="F239" s="2"/>
    </row>
    <row r="240" spans="2:6" ht="15" hidden="1" customHeight="1" x14ac:dyDescent="0.35">
      <c r="B240" s="1"/>
      <c r="C240" s="98" t="s">
        <v>56</v>
      </c>
      <c r="D240" s="101"/>
      <c r="E240" s="104" t="s">
        <v>57</v>
      </c>
      <c r="F240" s="2"/>
    </row>
    <row r="241" spans="2:6" ht="15" hidden="1" customHeight="1" x14ac:dyDescent="0.35">
      <c r="B241" s="1"/>
      <c r="C241" s="98" t="s">
        <v>58</v>
      </c>
      <c r="D241" s="101"/>
      <c r="E241" s="104" t="s">
        <v>59</v>
      </c>
      <c r="F241" s="2"/>
    </row>
    <row r="242" spans="2:6" ht="15" hidden="1" customHeight="1" x14ac:dyDescent="0.35">
      <c r="B242" s="1"/>
      <c r="C242" s="98" t="s">
        <v>60</v>
      </c>
      <c r="D242" s="101"/>
      <c r="E242" s="104" t="s">
        <v>61</v>
      </c>
      <c r="F242" s="2"/>
    </row>
    <row r="243" spans="2:6" ht="15" hidden="1" customHeight="1" x14ac:dyDescent="0.35">
      <c r="B243" s="1"/>
      <c r="C243" s="98" t="s">
        <v>62</v>
      </c>
      <c r="D243" s="101"/>
      <c r="E243" s="104" t="s">
        <v>63</v>
      </c>
      <c r="F243" s="2"/>
    </row>
    <row r="244" spans="2:6" ht="15" hidden="1" customHeight="1" x14ac:dyDescent="0.35">
      <c r="B244" s="1"/>
      <c r="C244" s="98" t="s">
        <v>64</v>
      </c>
      <c r="D244" s="101"/>
      <c r="E244" s="104" t="s">
        <v>65</v>
      </c>
      <c r="F244" s="2"/>
    </row>
    <row r="245" spans="2:6" ht="15" hidden="1" customHeight="1" x14ac:dyDescent="0.35">
      <c r="B245" s="1"/>
      <c r="C245" s="98" t="s">
        <v>66</v>
      </c>
      <c r="D245" s="101"/>
      <c r="E245" s="104" t="s">
        <v>67</v>
      </c>
      <c r="F245" s="2"/>
    </row>
    <row r="246" spans="2:6" ht="15" hidden="1" customHeight="1" x14ac:dyDescent="0.35">
      <c r="B246" s="1"/>
      <c r="C246" s="98" t="s">
        <v>68</v>
      </c>
      <c r="D246" s="101"/>
      <c r="E246" s="104" t="s">
        <v>69</v>
      </c>
      <c r="F246" s="2"/>
    </row>
    <row r="247" spans="2:6" ht="15" hidden="1" customHeight="1" x14ac:dyDescent="0.35">
      <c r="B247" s="1"/>
      <c r="C247" s="98" t="s">
        <v>70</v>
      </c>
      <c r="D247" s="101"/>
      <c r="E247" s="104" t="s">
        <v>71</v>
      </c>
      <c r="F247" s="2"/>
    </row>
    <row r="248" spans="2:6" ht="15" hidden="1" customHeight="1" x14ac:dyDescent="0.35">
      <c r="B248" s="1"/>
      <c r="C248" s="98" t="s">
        <v>72</v>
      </c>
      <c r="D248" s="101"/>
      <c r="E248" s="104" t="s">
        <v>73</v>
      </c>
      <c r="F248" s="2"/>
    </row>
    <row r="249" spans="2:6" ht="15" hidden="1" customHeight="1" x14ac:dyDescent="0.35">
      <c r="B249" s="1"/>
      <c r="C249" s="98" t="s">
        <v>74</v>
      </c>
      <c r="D249" s="101"/>
      <c r="E249" s="104" t="s">
        <v>75</v>
      </c>
      <c r="F249" s="2"/>
    </row>
    <row r="250" spans="2:6" ht="15" hidden="1" customHeight="1" x14ac:dyDescent="0.35">
      <c r="B250" s="1"/>
      <c r="C250" s="98" t="s">
        <v>76</v>
      </c>
      <c r="D250" s="101"/>
      <c r="E250" s="104" t="s">
        <v>77</v>
      </c>
      <c r="F250" s="2"/>
    </row>
    <row r="251" spans="2:6" ht="15" hidden="1" customHeight="1" x14ac:dyDescent="0.35">
      <c r="B251" s="1"/>
      <c r="C251" s="98" t="s">
        <v>78</v>
      </c>
      <c r="D251" s="101"/>
      <c r="E251" s="104" t="s">
        <v>79</v>
      </c>
      <c r="F251" s="2"/>
    </row>
    <row r="252" spans="2:6" ht="15" hidden="1" customHeight="1" x14ac:dyDescent="0.35">
      <c r="B252" s="1"/>
      <c r="C252" s="98" t="s">
        <v>80</v>
      </c>
      <c r="D252" s="101"/>
      <c r="E252" s="104" t="s">
        <v>81</v>
      </c>
      <c r="F252" s="2"/>
    </row>
    <row r="253" spans="2:6" ht="15" hidden="1" customHeight="1" x14ac:dyDescent="0.35">
      <c r="B253" s="1"/>
      <c r="C253" s="98" t="s">
        <v>82</v>
      </c>
      <c r="D253" s="101"/>
      <c r="E253" s="104" t="s">
        <v>83</v>
      </c>
      <c r="F253" s="2"/>
    </row>
    <row r="254" spans="2:6" ht="15" hidden="1" customHeight="1" x14ac:dyDescent="0.35">
      <c r="B254" s="1"/>
      <c r="C254" s="98" t="s">
        <v>84</v>
      </c>
      <c r="D254" s="101"/>
      <c r="E254" s="104" t="s">
        <v>85</v>
      </c>
      <c r="F254" s="2"/>
    </row>
    <row r="255" spans="2:6" ht="15" hidden="1" customHeight="1" x14ac:dyDescent="0.35">
      <c r="B255" s="1"/>
      <c r="C255" s="98" t="s">
        <v>86</v>
      </c>
      <c r="D255" s="101"/>
      <c r="E255" s="104" t="s">
        <v>87</v>
      </c>
      <c r="F255" s="2"/>
    </row>
    <row r="256" spans="2:6" ht="15" hidden="1" customHeight="1" x14ac:dyDescent="0.35">
      <c r="B256" s="1"/>
      <c r="C256" s="98" t="s">
        <v>88</v>
      </c>
      <c r="D256" s="101"/>
      <c r="E256" s="104" t="s">
        <v>89</v>
      </c>
      <c r="F256" s="2"/>
    </row>
    <row r="257" spans="2:6" ht="15" hidden="1" customHeight="1" x14ac:dyDescent="0.35">
      <c r="B257" s="1"/>
      <c r="C257" s="98" t="s">
        <v>90</v>
      </c>
      <c r="D257" s="101"/>
      <c r="E257" s="104" t="s">
        <v>91</v>
      </c>
      <c r="F257" s="2"/>
    </row>
    <row r="258" spans="2:6" ht="15" hidden="1" customHeight="1" x14ac:dyDescent="0.35">
      <c r="B258" s="1"/>
      <c r="C258" s="98" t="s">
        <v>92</v>
      </c>
      <c r="D258" s="101"/>
      <c r="E258" s="104" t="s">
        <v>93</v>
      </c>
      <c r="F258" s="2"/>
    </row>
    <row r="259" spans="2:6" ht="15" hidden="1" customHeight="1" x14ac:dyDescent="0.35">
      <c r="B259" s="1"/>
      <c r="C259" s="98" t="s">
        <v>94</v>
      </c>
      <c r="D259" s="101"/>
      <c r="E259" s="104" t="s">
        <v>95</v>
      </c>
      <c r="F259" s="2"/>
    </row>
    <row r="260" spans="2:6" ht="15" hidden="1" customHeight="1" x14ac:dyDescent="0.35">
      <c r="B260" s="1"/>
      <c r="C260" s="98" t="s">
        <v>96</v>
      </c>
      <c r="D260" s="101"/>
      <c r="E260" s="104" t="s">
        <v>97</v>
      </c>
      <c r="F260" s="2"/>
    </row>
    <row r="261" spans="2:6" ht="15" hidden="1" customHeight="1" x14ac:dyDescent="0.25">
      <c r="B261" s="1"/>
      <c r="C261" s="94"/>
      <c r="D261" s="94"/>
      <c r="E261" s="94"/>
      <c r="F261" s="2"/>
    </row>
    <row r="262" spans="2:6" ht="15" hidden="1" customHeight="1" x14ac:dyDescent="0.25">
      <c r="B262" s="1"/>
      <c r="C262" s="94" t="s">
        <v>98</v>
      </c>
      <c r="D262" s="94"/>
      <c r="E262" s="94"/>
      <c r="F262" s="2"/>
    </row>
    <row r="263" spans="2:6" ht="15" hidden="1" customHeight="1" x14ac:dyDescent="0.25">
      <c r="B263" s="1"/>
      <c r="C263" s="97" t="s">
        <v>36</v>
      </c>
      <c r="D263" s="100" t="str">
        <f>IF(I.Facility.ComplianceYear="","Compliance year",I.Facility.ComplianceYear)</f>
        <v>Compliance year</v>
      </c>
      <c r="E263" s="96" t="s">
        <v>37</v>
      </c>
      <c r="F263" s="2"/>
    </row>
    <row r="264" spans="2:6" ht="15" hidden="1" customHeight="1" x14ac:dyDescent="0.25">
      <c r="B264" s="1"/>
      <c r="C264" s="98" t="s">
        <v>99</v>
      </c>
      <c r="D264" s="101"/>
      <c r="E264" s="104" t="s">
        <v>42</v>
      </c>
      <c r="F264" s="2"/>
    </row>
    <row r="265" spans="2:6" ht="15" hidden="1" customHeight="1" x14ac:dyDescent="0.25">
      <c r="B265" s="1"/>
      <c r="C265" s="98" t="s">
        <v>100</v>
      </c>
      <c r="D265" s="101"/>
      <c r="E265" s="104" t="s">
        <v>42</v>
      </c>
      <c r="F265" s="2"/>
    </row>
    <row r="266" spans="2:6" ht="15" hidden="1" customHeight="1" x14ac:dyDescent="0.35">
      <c r="B266" s="1"/>
      <c r="C266" s="98" t="s">
        <v>49</v>
      </c>
      <c r="D266" s="101"/>
      <c r="E266" s="104" t="s">
        <v>50</v>
      </c>
      <c r="F266" s="2"/>
    </row>
    <row r="267" spans="2:6" ht="15" hidden="1" customHeight="1" x14ac:dyDescent="0.35">
      <c r="B267" s="1"/>
      <c r="C267" s="98" t="s">
        <v>51</v>
      </c>
      <c r="D267" s="101"/>
      <c r="E267" s="104" t="s">
        <v>52</v>
      </c>
      <c r="F267" s="2"/>
    </row>
    <row r="268" spans="2:6" ht="15" hidden="1" customHeight="1" x14ac:dyDescent="0.35">
      <c r="B268" s="1"/>
      <c r="C268" s="98" t="s">
        <v>53</v>
      </c>
      <c r="D268" s="101"/>
      <c r="E268" s="104" t="s">
        <v>54</v>
      </c>
      <c r="F268" s="2"/>
    </row>
    <row r="269" spans="2:6" ht="15" hidden="1" customHeight="1" x14ac:dyDescent="0.25">
      <c r="B269" s="1"/>
      <c r="C269" s="122" t="s">
        <v>101</v>
      </c>
      <c r="D269" s="123"/>
      <c r="E269" s="123"/>
      <c r="F269" s="2"/>
    </row>
    <row r="270" spans="2:6" ht="15" hidden="1" customHeight="1" x14ac:dyDescent="0.25">
      <c r="B270" s="1"/>
      <c r="C270" s="124" t="s">
        <v>102</v>
      </c>
      <c r="D270" s="113"/>
      <c r="E270" s="113"/>
      <c r="F270" s="2"/>
    </row>
    <row r="271" spans="2:6" ht="15" hidden="1" customHeight="1" x14ac:dyDescent="0.25">
      <c r="B271" s="1"/>
      <c r="C271" s="94"/>
      <c r="D271" s="94"/>
      <c r="E271" s="94"/>
      <c r="F271" s="2"/>
    </row>
    <row r="272" spans="2:6" ht="15" hidden="1" customHeight="1" x14ac:dyDescent="0.25">
      <c r="B272" s="1"/>
      <c r="C272" s="94" t="s">
        <v>103</v>
      </c>
      <c r="D272" s="94"/>
      <c r="E272" s="94"/>
      <c r="F272" s="2"/>
    </row>
    <row r="273" spans="2:6" ht="15" hidden="1" customHeight="1" x14ac:dyDescent="0.25">
      <c r="B273" s="1"/>
      <c r="C273" s="97" t="s">
        <v>36</v>
      </c>
      <c r="D273" s="100" t="str">
        <f>IF(I.Facility.ComplianceYear="","Compliance year",I.Facility.ComplianceYear)</f>
        <v>Compliance year</v>
      </c>
      <c r="E273" s="96" t="s">
        <v>37</v>
      </c>
      <c r="F273" s="2"/>
    </row>
    <row r="274" spans="2:6" ht="15" hidden="1" customHeight="1" x14ac:dyDescent="0.35">
      <c r="B274" s="1"/>
      <c r="C274" s="98" t="s">
        <v>49</v>
      </c>
      <c r="D274" s="101"/>
      <c r="E274" s="104" t="s">
        <v>50</v>
      </c>
      <c r="F274" s="2"/>
    </row>
    <row r="275" spans="2:6" ht="15" hidden="1" customHeight="1" x14ac:dyDescent="0.35">
      <c r="B275" s="1"/>
      <c r="C275" s="98" t="s">
        <v>51</v>
      </c>
      <c r="D275" s="101"/>
      <c r="E275" s="104" t="s">
        <v>52</v>
      </c>
      <c r="F275" s="2"/>
    </row>
    <row r="276" spans="2:6" ht="15" hidden="1" customHeight="1" x14ac:dyDescent="0.35">
      <c r="B276" s="1"/>
      <c r="C276" s="98" t="s">
        <v>53</v>
      </c>
      <c r="D276" s="101"/>
      <c r="E276" s="104" t="s">
        <v>54</v>
      </c>
      <c r="F276" s="2"/>
    </row>
    <row r="277" spans="2:6" ht="15" hidden="1" customHeight="1" x14ac:dyDescent="0.25">
      <c r="B277" s="1"/>
      <c r="C277" s="94"/>
      <c r="D277" s="94"/>
      <c r="E277" s="94"/>
      <c r="F277" s="2"/>
    </row>
    <row r="278" spans="2:6" ht="15" customHeight="1" x14ac:dyDescent="0.25">
      <c r="B278" s="1"/>
      <c r="C278" s="107"/>
      <c r="D278" s="94"/>
      <c r="E278" s="94"/>
      <c r="F278" s="2"/>
    </row>
    <row r="279" spans="2:6" ht="15" customHeight="1" x14ac:dyDescent="0.25">
      <c r="B279" s="1"/>
      <c r="C279" s="94"/>
      <c r="D279" s="94"/>
      <c r="E279" s="94"/>
      <c r="F279" s="2"/>
    </row>
    <row r="280" spans="2:6" ht="15" customHeight="1" x14ac:dyDescent="0.25">
      <c r="B280" s="3"/>
      <c r="C280" s="13">
        <f>R.Instructions.VersionNumber</f>
        <v>5</v>
      </c>
      <c r="D280" s="4"/>
      <c r="E280" s="14">
        <f>R.Instructions.VersionDate</f>
        <v>45691</v>
      </c>
      <c r="F280" s="5"/>
    </row>
    <row r="282" spans="2:6" ht="15" customHeight="1" x14ac:dyDescent="0.25">
      <c r="C282" s="119" t="str">
        <f>IFERROR(VLOOKUP("Incomplete",Developer!H224:I413,2,FALSE),"Sheet complete.")</f>
        <v>Sheet complete.</v>
      </c>
      <c r="D282" s="119"/>
      <c r="E282" s="119"/>
    </row>
    <row r="283" spans="2:6" ht="15" customHeight="1" x14ac:dyDescent="0.25">
      <c r="C283" s="119"/>
      <c r="D283" s="119"/>
      <c r="E283" s="119"/>
    </row>
    <row r="284" spans="2:6" ht="15" customHeight="1" x14ac:dyDescent="0.25">
      <c r="C284" s="119"/>
      <c r="D284" s="119"/>
      <c r="E284" s="119"/>
    </row>
  </sheetData>
  <sheetProtection algorithmName="SHA-512" hashValue="KwM8u902/vkIhtzU9v3kFJH3PClvTajzpVfG5luJnie3tQpkZ7yffSOIoVMOBFM1hiTAzBTtfcTQTSFww8faAw==" saltValue="f65cG2srN6JZUznhmqHmyA==" spinCount="100000" sheet="1" objects="1" scenarios="1" selectLockedCells="1"/>
  <mergeCells count="18">
    <mergeCell ref="C161:E161"/>
    <mergeCell ref="C162:E162"/>
    <mergeCell ref="C215:E215"/>
    <mergeCell ref="C4:E4"/>
    <mergeCell ref="C8:E8"/>
    <mergeCell ref="C62:E62"/>
    <mergeCell ref="C116:E116"/>
    <mergeCell ref="C53:E53"/>
    <mergeCell ref="C54:E54"/>
    <mergeCell ref="C6:E7"/>
    <mergeCell ref="C107:E107"/>
    <mergeCell ref="C108:E108"/>
    <mergeCell ref="C282:E284"/>
    <mergeCell ref="C170:E170"/>
    <mergeCell ref="C224:E224"/>
    <mergeCell ref="C216:E216"/>
    <mergeCell ref="C269:E269"/>
    <mergeCell ref="C270:E270"/>
  </mergeCells>
  <conditionalFormatting sqref="C282">
    <cfRule type="cellIs" dxfId="4" priority="1" stopIfTrue="1" operator="equal">
      <formula>"Sheet complete."</formula>
    </cfRule>
  </conditionalFormatting>
  <printOptions horizontalCentered="1"/>
  <pageMargins left="0.25" right="0.25" top="0.25" bottom="0.25" header="0" footer="0"/>
  <pageSetup scale="85"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B41AE-5834-4A58-A4D2-15D126325351}">
  <sheetPr codeName="Sheet6">
    <tabColor rgb="FF046A38"/>
    <pageSetUpPr fitToPage="1"/>
  </sheetPr>
  <dimension ref="B1:K329"/>
  <sheetViews>
    <sheetView showGridLines="0" showRowColHeaders="0" zoomScaleNormal="100" workbookViewId="0">
      <selection activeCell="C14" sqref="C14:D14"/>
    </sheetView>
  </sheetViews>
  <sheetFormatPr defaultColWidth="8.7109375" defaultRowHeight="15" customHeight="1" x14ac:dyDescent="0.25"/>
  <cols>
    <col min="1" max="3" width="5.7109375" customWidth="1"/>
    <col min="4" max="10" width="18.7109375" customWidth="1"/>
    <col min="11" max="11" width="5.7109375" customWidth="1"/>
  </cols>
  <sheetData>
    <row r="1" spans="2:11" ht="24.95" customHeight="1" x14ac:dyDescent="0.25"/>
    <row r="2" spans="2:11" ht="24.95" customHeight="1" x14ac:dyDescent="0.25"/>
    <row r="3" spans="2:11" ht="24.95" customHeight="1" x14ac:dyDescent="0.25"/>
    <row r="4" spans="2:11" ht="24.95" customHeight="1" x14ac:dyDescent="0.25">
      <c r="B4" s="15"/>
      <c r="C4" s="120" t="s">
        <v>106</v>
      </c>
      <c r="D4" s="120"/>
      <c r="E4" s="120"/>
      <c r="F4" s="120"/>
      <c r="G4" s="120"/>
      <c r="H4" s="120"/>
      <c r="I4" s="120"/>
      <c r="J4" s="120"/>
      <c r="K4" s="16"/>
    </row>
    <row r="5" spans="2:11" ht="15" customHeight="1" x14ac:dyDescent="0.25">
      <c r="B5" s="1"/>
      <c r="C5" s="94"/>
      <c r="D5" s="94"/>
      <c r="E5" s="94"/>
      <c r="F5" s="94"/>
      <c r="G5" s="94"/>
      <c r="H5" s="94"/>
      <c r="I5" s="94"/>
      <c r="J5" s="94"/>
      <c r="K5" s="2"/>
    </row>
    <row r="6" spans="2:11" ht="15" customHeight="1" x14ac:dyDescent="0.25">
      <c r="B6" s="1"/>
      <c r="C6" s="114" t="s">
        <v>107</v>
      </c>
      <c r="D6" s="113"/>
      <c r="E6" s="113"/>
      <c r="F6" s="113"/>
      <c r="G6" s="113"/>
      <c r="H6" s="113"/>
      <c r="I6" s="113"/>
      <c r="J6" s="113"/>
      <c r="K6" s="2"/>
    </row>
    <row r="7" spans="2:11" ht="15" customHeight="1" x14ac:dyDescent="0.25">
      <c r="B7" s="1"/>
      <c r="C7" s="115"/>
      <c r="D7" s="115"/>
      <c r="E7" s="115"/>
      <c r="F7" s="115"/>
      <c r="G7" s="115"/>
      <c r="H7" s="115"/>
      <c r="I7" s="115"/>
      <c r="J7" s="115"/>
      <c r="K7" s="2"/>
    </row>
    <row r="8" spans="2:11" ht="20.100000000000001" hidden="1" customHeight="1" x14ac:dyDescent="0.25">
      <c r="B8" s="10"/>
      <c r="C8" s="118" t="s">
        <v>24</v>
      </c>
      <c r="D8" s="118"/>
      <c r="E8" s="118"/>
      <c r="F8" s="118"/>
      <c r="G8" s="118"/>
      <c r="H8" s="118"/>
      <c r="I8" s="118"/>
      <c r="J8" s="118"/>
      <c r="K8" s="11"/>
    </row>
    <row r="9" spans="2:11" ht="15" hidden="1" customHeight="1" x14ac:dyDescent="0.25">
      <c r="B9" s="1"/>
      <c r="C9" s="94"/>
      <c r="D9" s="94"/>
      <c r="E9" s="94"/>
      <c r="F9" s="94"/>
      <c r="G9" s="94"/>
      <c r="H9" s="94"/>
      <c r="I9" s="94"/>
      <c r="J9" s="94"/>
      <c r="K9" s="2"/>
    </row>
    <row r="10" spans="2:11" ht="15" hidden="1" customHeight="1" x14ac:dyDescent="0.25">
      <c r="B10" s="1"/>
      <c r="C10" s="94" t="s">
        <v>18</v>
      </c>
      <c r="D10" s="94"/>
      <c r="E10" s="94"/>
      <c r="F10" s="94"/>
      <c r="G10" s="94"/>
      <c r="H10" s="94"/>
      <c r="I10" s="94"/>
      <c r="J10" s="94"/>
      <c r="K10" s="2"/>
    </row>
    <row r="11" spans="2:11" ht="15" hidden="1" customHeight="1" x14ac:dyDescent="0.25">
      <c r="B11" s="1"/>
      <c r="C11" s="131" t="str">
        <f>IF(I.Facility.ComplianceYear="","",I.Facility.ComplianceYear)</f>
        <v/>
      </c>
      <c r="D11" s="132"/>
      <c r="E11" s="94"/>
      <c r="F11" s="94"/>
      <c r="G11" s="94"/>
      <c r="H11" s="94"/>
      <c r="I11" s="94"/>
      <c r="J11" s="94"/>
      <c r="K11" s="2"/>
    </row>
    <row r="12" spans="2:11" ht="15" hidden="1" customHeight="1" x14ac:dyDescent="0.25">
      <c r="B12" s="1"/>
      <c r="C12" s="94"/>
      <c r="D12" s="94"/>
      <c r="E12" s="94"/>
      <c r="F12" s="94"/>
      <c r="G12" s="94"/>
      <c r="H12" s="94"/>
      <c r="I12" s="94"/>
      <c r="J12" s="94"/>
      <c r="K12" s="2"/>
    </row>
    <row r="13" spans="2:11" ht="15" hidden="1" customHeight="1" x14ac:dyDescent="0.25">
      <c r="B13" s="1"/>
      <c r="C13" s="94" t="s">
        <v>108</v>
      </c>
      <c r="D13" s="94"/>
      <c r="E13" s="94"/>
      <c r="F13" s="94"/>
      <c r="G13" s="94"/>
      <c r="H13" s="94"/>
      <c r="I13" s="94"/>
      <c r="J13" s="94"/>
      <c r="K13" s="2"/>
    </row>
    <row r="14" spans="2:11" ht="15" hidden="1" customHeight="1" x14ac:dyDescent="0.25">
      <c r="B14" s="1"/>
      <c r="C14" s="134"/>
      <c r="D14" s="135"/>
      <c r="E14" s="94"/>
      <c r="F14" s="94"/>
      <c r="G14" s="94"/>
      <c r="H14" s="94"/>
      <c r="I14" s="94"/>
      <c r="J14" s="94"/>
      <c r="K14" s="2"/>
    </row>
    <row r="15" spans="2:11" ht="15" hidden="1" customHeight="1" x14ac:dyDescent="0.25">
      <c r="B15" s="1"/>
      <c r="C15" s="94"/>
      <c r="D15" s="94"/>
      <c r="E15" s="94"/>
      <c r="F15" s="94"/>
      <c r="G15" s="94"/>
      <c r="H15" s="94"/>
      <c r="I15" s="94"/>
      <c r="J15" s="94"/>
      <c r="K15" s="2"/>
    </row>
    <row r="16" spans="2:11" ht="15" hidden="1" customHeight="1" x14ac:dyDescent="0.25">
      <c r="B16" s="1"/>
      <c r="C16" s="128" t="s">
        <v>109</v>
      </c>
      <c r="D16" s="125" t="s">
        <v>110</v>
      </c>
      <c r="E16" s="125" t="s">
        <v>111</v>
      </c>
      <c r="F16" s="125" t="s">
        <v>112</v>
      </c>
      <c r="G16" s="125" t="s">
        <v>113</v>
      </c>
      <c r="H16" s="125" t="s">
        <v>114</v>
      </c>
      <c r="I16" s="125" t="s">
        <v>115</v>
      </c>
      <c r="J16" s="125" t="s">
        <v>116</v>
      </c>
      <c r="K16" s="2"/>
    </row>
    <row r="17" spans="2:11" ht="15" hidden="1" customHeight="1" x14ac:dyDescent="0.25">
      <c r="B17" s="1"/>
      <c r="C17" s="129"/>
      <c r="D17" s="126"/>
      <c r="E17" s="126"/>
      <c r="F17" s="126"/>
      <c r="G17" s="126"/>
      <c r="H17" s="126"/>
      <c r="I17" s="126"/>
      <c r="J17" s="126"/>
      <c r="K17" s="2"/>
    </row>
    <row r="18" spans="2:11" ht="15" hidden="1" customHeight="1" x14ac:dyDescent="0.25">
      <c r="B18" s="1"/>
      <c r="C18" s="129"/>
      <c r="D18" s="126"/>
      <c r="E18" s="126"/>
      <c r="F18" s="126"/>
      <c r="G18" s="126"/>
      <c r="H18" s="126"/>
      <c r="I18" s="126"/>
      <c r="J18" s="126"/>
      <c r="K18" s="2"/>
    </row>
    <row r="19" spans="2:11" ht="15" hidden="1" customHeight="1" x14ac:dyDescent="0.35">
      <c r="B19" s="1"/>
      <c r="C19" s="130"/>
      <c r="D19" s="109" t="s">
        <v>117</v>
      </c>
      <c r="E19" s="109" t="s">
        <v>117</v>
      </c>
      <c r="F19" s="109" t="s">
        <v>118</v>
      </c>
      <c r="G19" s="110" t="s">
        <v>119</v>
      </c>
      <c r="H19" s="111" t="s">
        <v>120</v>
      </c>
      <c r="I19" s="111" t="s">
        <v>121</v>
      </c>
      <c r="J19" s="112" t="s">
        <v>122</v>
      </c>
      <c r="K19" s="2"/>
    </row>
    <row r="20" spans="2:11" ht="15" hidden="1" customHeight="1" x14ac:dyDescent="0.25">
      <c r="B20" s="1"/>
      <c r="C20" s="108">
        <v>1</v>
      </c>
      <c r="D20" s="101"/>
      <c r="E20" s="101"/>
      <c r="F20" s="101"/>
      <c r="G20" s="101"/>
      <c r="H20" s="101"/>
      <c r="I20" s="101"/>
      <c r="J20" s="99"/>
      <c r="K20" s="2"/>
    </row>
    <row r="21" spans="2:11" ht="15" hidden="1" customHeight="1" x14ac:dyDescent="0.25">
      <c r="B21" s="1"/>
      <c r="C21" s="108">
        <v>2</v>
      </c>
      <c r="D21" s="101"/>
      <c r="E21" s="101"/>
      <c r="F21" s="101"/>
      <c r="G21" s="101"/>
      <c r="H21" s="101"/>
      <c r="I21" s="101"/>
      <c r="J21" s="99"/>
      <c r="K21" s="2"/>
    </row>
    <row r="22" spans="2:11" ht="15" hidden="1" customHeight="1" x14ac:dyDescent="0.25">
      <c r="B22" s="1"/>
      <c r="C22" s="108">
        <v>3</v>
      </c>
      <c r="D22" s="101"/>
      <c r="E22" s="101"/>
      <c r="F22" s="101"/>
      <c r="G22" s="101"/>
      <c r="H22" s="101"/>
      <c r="I22" s="101"/>
      <c r="J22" s="99"/>
      <c r="K22" s="2"/>
    </row>
    <row r="23" spans="2:11" ht="15" hidden="1" customHeight="1" x14ac:dyDescent="0.25">
      <c r="B23" s="1"/>
      <c r="C23" s="108">
        <v>4</v>
      </c>
      <c r="D23" s="101"/>
      <c r="E23" s="101"/>
      <c r="F23" s="101"/>
      <c r="G23" s="101"/>
      <c r="H23" s="101"/>
      <c r="I23" s="101"/>
      <c r="J23" s="99"/>
      <c r="K23" s="2"/>
    </row>
    <row r="24" spans="2:11" ht="15" hidden="1" customHeight="1" x14ac:dyDescent="0.25">
      <c r="B24" s="1"/>
      <c r="C24" s="108">
        <v>5</v>
      </c>
      <c r="D24" s="101"/>
      <c r="E24" s="101"/>
      <c r="F24" s="101"/>
      <c r="G24" s="101"/>
      <c r="H24" s="101"/>
      <c r="I24" s="101"/>
      <c r="J24" s="99"/>
      <c r="K24" s="2"/>
    </row>
    <row r="25" spans="2:11" ht="15" hidden="1" customHeight="1" x14ac:dyDescent="0.25">
      <c r="B25" s="1"/>
      <c r="C25" s="108">
        <v>6</v>
      </c>
      <c r="D25" s="101"/>
      <c r="E25" s="101"/>
      <c r="F25" s="101"/>
      <c r="G25" s="101"/>
      <c r="H25" s="101"/>
      <c r="I25" s="101"/>
      <c r="J25" s="99"/>
      <c r="K25" s="2"/>
    </row>
    <row r="26" spans="2:11" ht="15" hidden="1" customHeight="1" x14ac:dyDescent="0.25">
      <c r="B26" s="1"/>
      <c r="C26" s="108">
        <v>7</v>
      </c>
      <c r="D26" s="101"/>
      <c r="E26" s="101"/>
      <c r="F26" s="101"/>
      <c r="G26" s="101"/>
      <c r="H26" s="101"/>
      <c r="I26" s="101"/>
      <c r="J26" s="99"/>
      <c r="K26" s="2"/>
    </row>
    <row r="27" spans="2:11" ht="15" hidden="1" customHeight="1" x14ac:dyDescent="0.25">
      <c r="B27" s="1"/>
      <c r="C27" s="108">
        <v>8</v>
      </c>
      <c r="D27" s="101"/>
      <c r="E27" s="101"/>
      <c r="F27" s="101"/>
      <c r="G27" s="101"/>
      <c r="H27" s="101"/>
      <c r="I27" s="101"/>
      <c r="J27" s="99"/>
      <c r="K27" s="2"/>
    </row>
    <row r="28" spans="2:11" ht="15" hidden="1" customHeight="1" x14ac:dyDescent="0.25">
      <c r="B28" s="1"/>
      <c r="C28" s="108">
        <v>9</v>
      </c>
      <c r="D28" s="101"/>
      <c r="E28" s="101"/>
      <c r="F28" s="101"/>
      <c r="G28" s="101"/>
      <c r="H28" s="101"/>
      <c r="I28" s="101"/>
      <c r="J28" s="99"/>
      <c r="K28" s="2"/>
    </row>
    <row r="29" spans="2:11" ht="15" hidden="1" customHeight="1" x14ac:dyDescent="0.25">
      <c r="B29" s="1"/>
      <c r="C29" s="108">
        <v>10</v>
      </c>
      <c r="D29" s="101"/>
      <c r="E29" s="101"/>
      <c r="F29" s="101"/>
      <c r="G29" s="101"/>
      <c r="H29" s="101"/>
      <c r="I29" s="101"/>
      <c r="J29" s="99"/>
      <c r="K29" s="2"/>
    </row>
    <row r="30" spans="2:11" ht="15" hidden="1" customHeight="1" x14ac:dyDescent="0.25">
      <c r="B30" s="1"/>
      <c r="C30" s="108">
        <v>11</v>
      </c>
      <c r="D30" s="101"/>
      <c r="E30" s="101"/>
      <c r="F30" s="101"/>
      <c r="G30" s="101"/>
      <c r="H30" s="101"/>
      <c r="I30" s="101"/>
      <c r="J30" s="99"/>
      <c r="K30" s="2"/>
    </row>
    <row r="31" spans="2:11" ht="15" hidden="1" customHeight="1" x14ac:dyDescent="0.25">
      <c r="B31" s="1"/>
      <c r="C31" s="108">
        <v>12</v>
      </c>
      <c r="D31" s="101"/>
      <c r="E31" s="101"/>
      <c r="F31" s="101"/>
      <c r="G31" s="101"/>
      <c r="H31" s="101"/>
      <c r="I31" s="101"/>
      <c r="J31" s="99"/>
      <c r="K31" s="2"/>
    </row>
    <row r="32" spans="2:11" ht="15" hidden="1" customHeight="1" x14ac:dyDescent="0.25">
      <c r="B32" s="1"/>
      <c r="C32" s="108">
        <v>13</v>
      </c>
      <c r="D32" s="101"/>
      <c r="E32" s="101"/>
      <c r="F32" s="101"/>
      <c r="G32" s="101"/>
      <c r="H32" s="101"/>
      <c r="I32" s="101"/>
      <c r="J32" s="99"/>
      <c r="K32" s="2"/>
    </row>
    <row r="33" spans="2:11" ht="15" hidden="1" customHeight="1" x14ac:dyDescent="0.25">
      <c r="B33" s="1"/>
      <c r="C33" s="108">
        <v>14</v>
      </c>
      <c r="D33" s="101"/>
      <c r="E33" s="101"/>
      <c r="F33" s="101"/>
      <c r="G33" s="101"/>
      <c r="H33" s="101"/>
      <c r="I33" s="101"/>
      <c r="J33" s="99"/>
      <c r="K33" s="2"/>
    </row>
    <row r="34" spans="2:11" ht="15" hidden="1" customHeight="1" x14ac:dyDescent="0.25">
      <c r="B34" s="1"/>
      <c r="C34" s="108">
        <v>15</v>
      </c>
      <c r="D34" s="101"/>
      <c r="E34" s="101"/>
      <c r="F34" s="101"/>
      <c r="G34" s="101"/>
      <c r="H34" s="101"/>
      <c r="I34" s="101"/>
      <c r="J34" s="99"/>
      <c r="K34" s="2"/>
    </row>
    <row r="35" spans="2:11" ht="15" hidden="1" customHeight="1" x14ac:dyDescent="0.25">
      <c r="B35" s="1"/>
      <c r="C35" s="108">
        <v>16</v>
      </c>
      <c r="D35" s="101"/>
      <c r="E35" s="101"/>
      <c r="F35" s="101"/>
      <c r="G35" s="101"/>
      <c r="H35" s="101"/>
      <c r="I35" s="101"/>
      <c r="J35" s="99"/>
      <c r="K35" s="2"/>
    </row>
    <row r="36" spans="2:11" ht="15" hidden="1" customHeight="1" x14ac:dyDescent="0.25">
      <c r="B36" s="1"/>
      <c r="C36" s="108">
        <v>17</v>
      </c>
      <c r="D36" s="101"/>
      <c r="E36" s="101"/>
      <c r="F36" s="101"/>
      <c r="G36" s="101"/>
      <c r="H36" s="101"/>
      <c r="I36" s="101"/>
      <c r="J36" s="99"/>
      <c r="K36" s="2"/>
    </row>
    <row r="37" spans="2:11" ht="15" hidden="1" customHeight="1" x14ac:dyDescent="0.25">
      <c r="B37" s="1"/>
      <c r="C37" s="108">
        <v>18</v>
      </c>
      <c r="D37" s="101"/>
      <c r="E37" s="101"/>
      <c r="F37" s="101"/>
      <c r="G37" s="101"/>
      <c r="H37" s="101"/>
      <c r="I37" s="101"/>
      <c r="J37" s="99"/>
      <c r="K37" s="2"/>
    </row>
    <row r="38" spans="2:11" ht="15" hidden="1" customHeight="1" x14ac:dyDescent="0.25">
      <c r="B38" s="1"/>
      <c r="C38" s="108">
        <v>19</v>
      </c>
      <c r="D38" s="101"/>
      <c r="E38" s="101"/>
      <c r="F38" s="101"/>
      <c r="G38" s="101"/>
      <c r="H38" s="101"/>
      <c r="I38" s="101"/>
      <c r="J38" s="99"/>
      <c r="K38" s="2"/>
    </row>
    <row r="39" spans="2:11" ht="15" hidden="1" customHeight="1" x14ac:dyDescent="0.25">
      <c r="B39" s="1"/>
      <c r="C39" s="108">
        <v>20</v>
      </c>
      <c r="D39" s="101"/>
      <c r="E39" s="101"/>
      <c r="F39" s="101"/>
      <c r="G39" s="101"/>
      <c r="H39" s="101"/>
      <c r="I39" s="101"/>
      <c r="J39" s="99"/>
      <c r="K39" s="2"/>
    </row>
    <row r="40" spans="2:11" ht="15" hidden="1" customHeight="1" x14ac:dyDescent="0.25">
      <c r="B40" s="1"/>
      <c r="C40" s="108">
        <v>21</v>
      </c>
      <c r="D40" s="101"/>
      <c r="E40" s="101"/>
      <c r="F40" s="101"/>
      <c r="G40" s="101"/>
      <c r="H40" s="101"/>
      <c r="I40" s="101"/>
      <c r="J40" s="99"/>
      <c r="K40" s="2"/>
    </row>
    <row r="41" spans="2:11" ht="15" hidden="1" customHeight="1" x14ac:dyDescent="0.25">
      <c r="B41" s="1"/>
      <c r="C41" s="108">
        <v>22</v>
      </c>
      <c r="D41" s="101"/>
      <c r="E41" s="101"/>
      <c r="F41" s="101"/>
      <c r="G41" s="101"/>
      <c r="H41" s="101"/>
      <c r="I41" s="101"/>
      <c r="J41" s="99"/>
      <c r="K41" s="2"/>
    </row>
    <row r="42" spans="2:11" ht="15" hidden="1" customHeight="1" x14ac:dyDescent="0.25">
      <c r="B42" s="1"/>
      <c r="C42" s="108">
        <v>23</v>
      </c>
      <c r="D42" s="101"/>
      <c r="E42" s="101"/>
      <c r="F42" s="101"/>
      <c r="G42" s="101"/>
      <c r="H42" s="101"/>
      <c r="I42" s="101"/>
      <c r="J42" s="99"/>
      <c r="K42" s="2"/>
    </row>
    <row r="43" spans="2:11" ht="15" hidden="1" customHeight="1" x14ac:dyDescent="0.25">
      <c r="B43" s="1"/>
      <c r="C43" s="108">
        <v>24</v>
      </c>
      <c r="D43" s="101"/>
      <c r="E43" s="101"/>
      <c r="F43" s="101"/>
      <c r="G43" s="101"/>
      <c r="H43" s="101"/>
      <c r="I43" s="101"/>
      <c r="J43" s="99"/>
      <c r="K43" s="2"/>
    </row>
    <row r="44" spans="2:11" ht="15" hidden="1" customHeight="1" x14ac:dyDescent="0.25">
      <c r="B44" s="1"/>
      <c r="C44" s="108">
        <v>25</v>
      </c>
      <c r="D44" s="101"/>
      <c r="E44" s="101"/>
      <c r="F44" s="101"/>
      <c r="G44" s="101"/>
      <c r="H44" s="101"/>
      <c r="I44" s="101"/>
      <c r="J44" s="99"/>
      <c r="K44" s="2"/>
    </row>
    <row r="45" spans="2:11" ht="15" hidden="1" customHeight="1" x14ac:dyDescent="0.25">
      <c r="B45" s="1"/>
      <c r="C45" s="108">
        <v>26</v>
      </c>
      <c r="D45" s="101"/>
      <c r="E45" s="101"/>
      <c r="F45" s="101"/>
      <c r="G45" s="101"/>
      <c r="H45" s="101"/>
      <c r="I45" s="101"/>
      <c r="J45" s="99"/>
      <c r="K45" s="2"/>
    </row>
    <row r="46" spans="2:11" ht="15" hidden="1" customHeight="1" x14ac:dyDescent="0.25">
      <c r="B46" s="1"/>
      <c r="C46" s="108">
        <v>27</v>
      </c>
      <c r="D46" s="101"/>
      <c r="E46" s="101"/>
      <c r="F46" s="101"/>
      <c r="G46" s="101"/>
      <c r="H46" s="101"/>
      <c r="I46" s="101"/>
      <c r="J46" s="99"/>
      <c r="K46" s="2"/>
    </row>
    <row r="47" spans="2:11" ht="15" hidden="1" customHeight="1" x14ac:dyDescent="0.25">
      <c r="B47" s="1"/>
      <c r="C47" s="108">
        <v>28</v>
      </c>
      <c r="D47" s="101"/>
      <c r="E47" s="101"/>
      <c r="F47" s="101"/>
      <c r="G47" s="101"/>
      <c r="H47" s="101"/>
      <c r="I47" s="101"/>
      <c r="J47" s="99"/>
      <c r="K47" s="2"/>
    </row>
    <row r="48" spans="2:11" ht="15" hidden="1" customHeight="1" x14ac:dyDescent="0.25">
      <c r="B48" s="1"/>
      <c r="C48" s="108">
        <v>29</v>
      </c>
      <c r="D48" s="101"/>
      <c r="E48" s="101"/>
      <c r="F48" s="101"/>
      <c r="G48" s="101"/>
      <c r="H48" s="101"/>
      <c r="I48" s="101"/>
      <c r="J48" s="99"/>
      <c r="K48" s="2"/>
    </row>
    <row r="49" spans="2:11" ht="15" hidden="1" customHeight="1" x14ac:dyDescent="0.25">
      <c r="B49" s="1"/>
      <c r="C49" s="108">
        <v>30</v>
      </c>
      <c r="D49" s="101"/>
      <c r="E49" s="101"/>
      <c r="F49" s="101"/>
      <c r="G49" s="101"/>
      <c r="H49" s="101"/>
      <c r="I49" s="101"/>
      <c r="J49" s="99"/>
      <c r="K49" s="2"/>
    </row>
    <row r="50" spans="2:11" ht="15" hidden="1" customHeight="1" x14ac:dyDescent="0.25">
      <c r="B50" s="1"/>
      <c r="C50" s="108">
        <v>31</v>
      </c>
      <c r="D50" s="101"/>
      <c r="E50" s="101"/>
      <c r="F50" s="101"/>
      <c r="G50" s="101"/>
      <c r="H50" s="101"/>
      <c r="I50" s="101"/>
      <c r="J50" s="99"/>
      <c r="K50" s="2"/>
    </row>
    <row r="51" spans="2:11" ht="15" hidden="1" customHeight="1" x14ac:dyDescent="0.25">
      <c r="B51" s="1"/>
      <c r="C51" s="108">
        <v>32</v>
      </c>
      <c r="D51" s="101"/>
      <c r="E51" s="101"/>
      <c r="F51" s="101"/>
      <c r="G51" s="101"/>
      <c r="H51" s="101"/>
      <c r="I51" s="101"/>
      <c r="J51" s="99"/>
      <c r="K51" s="2"/>
    </row>
    <row r="52" spans="2:11" ht="15" hidden="1" customHeight="1" x14ac:dyDescent="0.25">
      <c r="B52" s="1"/>
      <c r="C52" s="108">
        <v>33</v>
      </c>
      <c r="D52" s="101"/>
      <c r="E52" s="101"/>
      <c r="F52" s="101"/>
      <c r="G52" s="101"/>
      <c r="H52" s="101"/>
      <c r="I52" s="101"/>
      <c r="J52" s="99"/>
      <c r="K52" s="2"/>
    </row>
    <row r="53" spans="2:11" ht="15" hidden="1" customHeight="1" x14ac:dyDescent="0.25">
      <c r="B53" s="1"/>
      <c r="C53" s="108">
        <v>34</v>
      </c>
      <c r="D53" s="101"/>
      <c r="E53" s="101"/>
      <c r="F53" s="101"/>
      <c r="G53" s="101"/>
      <c r="H53" s="101"/>
      <c r="I53" s="101"/>
      <c r="J53" s="99"/>
      <c r="K53" s="2"/>
    </row>
    <row r="54" spans="2:11" ht="15" hidden="1" customHeight="1" x14ac:dyDescent="0.25">
      <c r="B54" s="1"/>
      <c r="C54" s="108">
        <v>35</v>
      </c>
      <c r="D54" s="101"/>
      <c r="E54" s="101"/>
      <c r="F54" s="101"/>
      <c r="G54" s="101"/>
      <c r="H54" s="101"/>
      <c r="I54" s="101"/>
      <c r="J54" s="99"/>
      <c r="K54" s="2"/>
    </row>
    <row r="55" spans="2:11" ht="15" hidden="1" customHeight="1" x14ac:dyDescent="0.25">
      <c r="B55" s="1"/>
      <c r="C55" s="108">
        <v>36</v>
      </c>
      <c r="D55" s="101"/>
      <c r="E55" s="101"/>
      <c r="F55" s="101"/>
      <c r="G55" s="101"/>
      <c r="H55" s="101"/>
      <c r="I55" s="101"/>
      <c r="J55" s="99"/>
      <c r="K55" s="2"/>
    </row>
    <row r="56" spans="2:11" ht="15" hidden="1" customHeight="1" x14ac:dyDescent="0.25">
      <c r="B56" s="1"/>
      <c r="C56" s="108">
        <v>37</v>
      </c>
      <c r="D56" s="101"/>
      <c r="E56" s="101"/>
      <c r="F56" s="101"/>
      <c r="G56" s="101"/>
      <c r="H56" s="101"/>
      <c r="I56" s="101"/>
      <c r="J56" s="99"/>
      <c r="K56" s="2"/>
    </row>
    <row r="57" spans="2:11" ht="15" hidden="1" customHeight="1" x14ac:dyDescent="0.25">
      <c r="B57" s="1"/>
      <c r="C57" s="108">
        <v>38</v>
      </c>
      <c r="D57" s="101"/>
      <c r="E57" s="101"/>
      <c r="F57" s="101"/>
      <c r="G57" s="101"/>
      <c r="H57" s="101"/>
      <c r="I57" s="101"/>
      <c r="J57" s="99"/>
      <c r="K57" s="2"/>
    </row>
    <row r="58" spans="2:11" ht="15" hidden="1" customHeight="1" x14ac:dyDescent="0.25">
      <c r="B58" s="1"/>
      <c r="C58" s="108">
        <v>39</v>
      </c>
      <c r="D58" s="101"/>
      <c r="E58" s="101"/>
      <c r="F58" s="101"/>
      <c r="G58" s="101"/>
      <c r="H58" s="101"/>
      <c r="I58" s="101"/>
      <c r="J58" s="99"/>
      <c r="K58" s="2"/>
    </row>
    <row r="59" spans="2:11" ht="15" hidden="1" customHeight="1" x14ac:dyDescent="0.25">
      <c r="B59" s="1"/>
      <c r="C59" s="108">
        <v>40</v>
      </c>
      <c r="D59" s="101"/>
      <c r="E59" s="101"/>
      <c r="F59" s="101"/>
      <c r="G59" s="101"/>
      <c r="H59" s="101"/>
      <c r="I59" s="101"/>
      <c r="J59" s="99"/>
      <c r="K59" s="2"/>
    </row>
    <row r="60" spans="2:11" ht="15" hidden="1" customHeight="1" x14ac:dyDescent="0.25">
      <c r="B60" s="1"/>
      <c r="C60" s="108">
        <v>41</v>
      </c>
      <c r="D60" s="101"/>
      <c r="E60" s="101"/>
      <c r="F60" s="101"/>
      <c r="G60" s="101"/>
      <c r="H60" s="101"/>
      <c r="I60" s="101"/>
      <c r="J60" s="99"/>
      <c r="K60" s="2"/>
    </row>
    <row r="61" spans="2:11" ht="15" hidden="1" customHeight="1" x14ac:dyDescent="0.25">
      <c r="B61" s="1"/>
      <c r="C61" s="108">
        <v>42</v>
      </c>
      <c r="D61" s="101"/>
      <c r="E61" s="101"/>
      <c r="F61" s="101"/>
      <c r="G61" s="101"/>
      <c r="H61" s="101"/>
      <c r="I61" s="101"/>
      <c r="J61" s="99"/>
      <c r="K61" s="2"/>
    </row>
    <row r="62" spans="2:11" ht="15" hidden="1" customHeight="1" x14ac:dyDescent="0.25">
      <c r="B62" s="1"/>
      <c r="C62" s="108">
        <v>43</v>
      </c>
      <c r="D62" s="101"/>
      <c r="E62" s="101"/>
      <c r="F62" s="101"/>
      <c r="G62" s="101"/>
      <c r="H62" s="101"/>
      <c r="I62" s="101"/>
      <c r="J62" s="99"/>
      <c r="K62" s="2"/>
    </row>
    <row r="63" spans="2:11" ht="15" hidden="1" customHeight="1" x14ac:dyDescent="0.25">
      <c r="B63" s="1"/>
      <c r="C63" s="108">
        <v>44</v>
      </c>
      <c r="D63" s="101"/>
      <c r="E63" s="101"/>
      <c r="F63" s="101"/>
      <c r="G63" s="101"/>
      <c r="H63" s="101"/>
      <c r="I63" s="101"/>
      <c r="J63" s="99"/>
      <c r="K63" s="2"/>
    </row>
    <row r="64" spans="2:11" ht="15" hidden="1" customHeight="1" x14ac:dyDescent="0.25">
      <c r="B64" s="1"/>
      <c r="C64" s="108">
        <v>45</v>
      </c>
      <c r="D64" s="101"/>
      <c r="E64" s="101"/>
      <c r="F64" s="101"/>
      <c r="G64" s="101"/>
      <c r="H64" s="101"/>
      <c r="I64" s="101"/>
      <c r="J64" s="99"/>
      <c r="K64" s="2"/>
    </row>
    <row r="65" spans="2:11" ht="15" hidden="1" customHeight="1" x14ac:dyDescent="0.25">
      <c r="B65" s="1"/>
      <c r="C65" s="108">
        <v>46</v>
      </c>
      <c r="D65" s="101"/>
      <c r="E65" s="101"/>
      <c r="F65" s="101"/>
      <c r="G65" s="101"/>
      <c r="H65" s="101"/>
      <c r="I65" s="101"/>
      <c r="J65" s="99"/>
      <c r="K65" s="2"/>
    </row>
    <row r="66" spans="2:11" ht="15" hidden="1" customHeight="1" x14ac:dyDescent="0.25">
      <c r="B66" s="1"/>
      <c r="C66" s="108">
        <v>47</v>
      </c>
      <c r="D66" s="101"/>
      <c r="E66" s="101"/>
      <c r="F66" s="101"/>
      <c r="G66" s="101"/>
      <c r="H66" s="101"/>
      <c r="I66" s="101"/>
      <c r="J66" s="99"/>
      <c r="K66" s="2"/>
    </row>
    <row r="67" spans="2:11" ht="15" hidden="1" customHeight="1" x14ac:dyDescent="0.25">
      <c r="B67" s="1"/>
      <c r="C67" s="108">
        <v>48</v>
      </c>
      <c r="D67" s="101"/>
      <c r="E67" s="101"/>
      <c r="F67" s="101"/>
      <c r="G67" s="101"/>
      <c r="H67" s="101"/>
      <c r="I67" s="101"/>
      <c r="J67" s="99"/>
      <c r="K67" s="2"/>
    </row>
    <row r="68" spans="2:11" ht="15" hidden="1" customHeight="1" x14ac:dyDescent="0.25">
      <c r="B68" s="1"/>
      <c r="C68" s="108">
        <v>49</v>
      </c>
      <c r="D68" s="101"/>
      <c r="E68" s="101"/>
      <c r="F68" s="101"/>
      <c r="G68" s="101"/>
      <c r="H68" s="101"/>
      <c r="I68" s="101"/>
      <c r="J68" s="99"/>
      <c r="K68" s="2"/>
    </row>
    <row r="69" spans="2:11" ht="15" hidden="1" customHeight="1" x14ac:dyDescent="0.25">
      <c r="B69" s="1"/>
      <c r="C69" s="108">
        <v>50</v>
      </c>
      <c r="D69" s="101"/>
      <c r="E69" s="101"/>
      <c r="F69" s="101"/>
      <c r="G69" s="101"/>
      <c r="H69" s="101"/>
      <c r="I69" s="101"/>
      <c r="J69" s="99"/>
      <c r="K69" s="2"/>
    </row>
    <row r="70" spans="2:11" ht="15" hidden="1" customHeight="1" x14ac:dyDescent="0.25">
      <c r="B70" s="1"/>
      <c r="C70" s="94"/>
      <c r="D70" s="94"/>
      <c r="E70" s="94"/>
      <c r="F70" s="94"/>
      <c r="G70" s="94"/>
      <c r="H70" s="94"/>
      <c r="I70" s="94"/>
      <c r="J70" s="94"/>
      <c r="K70" s="2"/>
    </row>
    <row r="71" spans="2:11" ht="20.100000000000001" hidden="1" customHeight="1" x14ac:dyDescent="0.25">
      <c r="B71" s="10"/>
      <c r="C71" s="118" t="s">
        <v>30</v>
      </c>
      <c r="D71" s="118"/>
      <c r="E71" s="118"/>
      <c r="F71" s="118"/>
      <c r="G71" s="118"/>
      <c r="H71" s="118"/>
      <c r="I71" s="118"/>
      <c r="J71" s="118"/>
      <c r="K71" s="11"/>
    </row>
    <row r="72" spans="2:11" ht="15" hidden="1" customHeight="1" x14ac:dyDescent="0.25">
      <c r="B72" s="1"/>
      <c r="C72" s="94"/>
      <c r="D72" s="94"/>
      <c r="E72" s="94"/>
      <c r="F72" s="94"/>
      <c r="G72" s="94"/>
      <c r="H72" s="94"/>
      <c r="I72" s="94"/>
      <c r="J72" s="94"/>
      <c r="K72" s="2"/>
    </row>
    <row r="73" spans="2:11" ht="15" hidden="1" customHeight="1" x14ac:dyDescent="0.25">
      <c r="B73" s="1"/>
      <c r="C73" s="94" t="s">
        <v>18</v>
      </c>
      <c r="D73" s="94"/>
      <c r="E73" s="94"/>
      <c r="F73" s="94"/>
      <c r="G73" s="94"/>
      <c r="H73" s="94"/>
      <c r="I73" s="94"/>
      <c r="J73" s="94"/>
      <c r="K73" s="2"/>
    </row>
    <row r="74" spans="2:11" ht="15" hidden="1" customHeight="1" x14ac:dyDescent="0.25">
      <c r="B74" s="1"/>
      <c r="C74" s="131" t="str">
        <f>IF(I.Facility.ComplianceYear="","",I.Facility.ComplianceYear)</f>
        <v/>
      </c>
      <c r="D74" s="132"/>
      <c r="E74" s="94"/>
      <c r="F74" s="94"/>
      <c r="G74" s="94"/>
      <c r="H74" s="94"/>
      <c r="I74" s="94"/>
      <c r="J74" s="94"/>
      <c r="K74" s="2"/>
    </row>
    <row r="75" spans="2:11" ht="15" hidden="1" customHeight="1" x14ac:dyDescent="0.25">
      <c r="B75" s="1"/>
      <c r="C75" s="94"/>
      <c r="D75" s="94"/>
      <c r="E75" s="94"/>
      <c r="F75" s="94"/>
      <c r="G75" s="94"/>
      <c r="H75" s="94"/>
      <c r="I75" s="94"/>
      <c r="J75" s="94"/>
      <c r="K75" s="2"/>
    </row>
    <row r="76" spans="2:11" ht="15" hidden="1" customHeight="1" x14ac:dyDescent="0.25">
      <c r="B76" s="1"/>
      <c r="C76" s="94" t="s">
        <v>108</v>
      </c>
      <c r="D76" s="94"/>
      <c r="E76" s="94"/>
      <c r="F76" s="94"/>
      <c r="G76" s="94"/>
      <c r="H76" s="94"/>
      <c r="I76" s="94"/>
      <c r="J76" s="94"/>
      <c r="K76" s="2"/>
    </row>
    <row r="77" spans="2:11" ht="15" hidden="1" customHeight="1" x14ac:dyDescent="0.25">
      <c r="B77" s="1"/>
      <c r="C77" s="134"/>
      <c r="D77" s="135"/>
      <c r="E77" s="94"/>
      <c r="F77" s="94"/>
      <c r="G77" s="94"/>
      <c r="H77" s="94"/>
      <c r="I77" s="94"/>
      <c r="J77" s="94"/>
      <c r="K77" s="2"/>
    </row>
    <row r="78" spans="2:11" ht="15" hidden="1" customHeight="1" x14ac:dyDescent="0.25">
      <c r="B78" s="1"/>
      <c r="C78" s="94"/>
      <c r="D78" s="94"/>
      <c r="E78" s="94"/>
      <c r="F78" s="94"/>
      <c r="G78" s="94"/>
      <c r="H78" s="94"/>
      <c r="I78" s="94"/>
      <c r="J78" s="94"/>
      <c r="K78" s="2"/>
    </row>
    <row r="79" spans="2:11" ht="15" hidden="1" customHeight="1" x14ac:dyDescent="0.25">
      <c r="B79" s="1"/>
      <c r="C79" s="128" t="s">
        <v>109</v>
      </c>
      <c r="D79" s="125" t="s">
        <v>110</v>
      </c>
      <c r="E79" s="125" t="s">
        <v>111</v>
      </c>
      <c r="F79" s="125" t="s">
        <v>112</v>
      </c>
      <c r="G79" s="125" t="s">
        <v>113</v>
      </c>
      <c r="H79" s="125" t="s">
        <v>114</v>
      </c>
      <c r="I79" s="125" t="s">
        <v>115</v>
      </c>
      <c r="J79" s="125" t="s">
        <v>116</v>
      </c>
      <c r="K79" s="2"/>
    </row>
    <row r="80" spans="2:11" ht="15" hidden="1" customHeight="1" x14ac:dyDescent="0.25">
      <c r="B80" s="1"/>
      <c r="C80" s="129"/>
      <c r="D80" s="126"/>
      <c r="E80" s="126"/>
      <c r="F80" s="126"/>
      <c r="G80" s="126"/>
      <c r="H80" s="126"/>
      <c r="I80" s="126"/>
      <c r="J80" s="126"/>
      <c r="K80" s="2"/>
    </row>
    <row r="81" spans="2:11" ht="15" hidden="1" customHeight="1" x14ac:dyDescent="0.25">
      <c r="B81" s="1"/>
      <c r="C81" s="129"/>
      <c r="D81" s="126"/>
      <c r="E81" s="126"/>
      <c r="F81" s="126"/>
      <c r="G81" s="126"/>
      <c r="H81" s="126"/>
      <c r="I81" s="126"/>
      <c r="J81" s="126"/>
      <c r="K81" s="2"/>
    </row>
    <row r="82" spans="2:11" ht="15" hidden="1" customHeight="1" x14ac:dyDescent="0.35">
      <c r="B82" s="1"/>
      <c r="C82" s="130"/>
      <c r="D82" s="109" t="s">
        <v>117</v>
      </c>
      <c r="E82" s="109" t="s">
        <v>117</v>
      </c>
      <c r="F82" s="109" t="s">
        <v>118</v>
      </c>
      <c r="G82" s="110" t="s">
        <v>119</v>
      </c>
      <c r="H82" s="111" t="s">
        <v>120</v>
      </c>
      <c r="I82" s="111" t="s">
        <v>121</v>
      </c>
      <c r="J82" s="112" t="s">
        <v>122</v>
      </c>
      <c r="K82" s="2"/>
    </row>
    <row r="83" spans="2:11" ht="15" hidden="1" customHeight="1" x14ac:dyDescent="0.25">
      <c r="B83" s="1"/>
      <c r="C83" s="108">
        <v>1</v>
      </c>
      <c r="D83" s="101"/>
      <c r="E83" s="101"/>
      <c r="F83" s="101"/>
      <c r="G83" s="101"/>
      <c r="H83" s="101"/>
      <c r="I83" s="101"/>
      <c r="J83" s="99"/>
      <c r="K83" s="2"/>
    </row>
    <row r="84" spans="2:11" ht="15" hidden="1" customHeight="1" x14ac:dyDescent="0.25">
      <c r="B84" s="1"/>
      <c r="C84" s="108">
        <v>2</v>
      </c>
      <c r="D84" s="101"/>
      <c r="E84" s="101"/>
      <c r="F84" s="101"/>
      <c r="G84" s="101"/>
      <c r="H84" s="101"/>
      <c r="I84" s="101"/>
      <c r="J84" s="99"/>
      <c r="K84" s="2"/>
    </row>
    <row r="85" spans="2:11" ht="15" hidden="1" customHeight="1" x14ac:dyDescent="0.25">
      <c r="B85" s="1"/>
      <c r="C85" s="108">
        <v>3</v>
      </c>
      <c r="D85" s="101"/>
      <c r="E85" s="101"/>
      <c r="F85" s="101"/>
      <c r="G85" s="101"/>
      <c r="H85" s="101"/>
      <c r="I85" s="101"/>
      <c r="J85" s="99"/>
      <c r="K85" s="2"/>
    </row>
    <row r="86" spans="2:11" ht="15" hidden="1" customHeight="1" x14ac:dyDescent="0.25">
      <c r="B86" s="1"/>
      <c r="C86" s="108">
        <v>4</v>
      </c>
      <c r="D86" s="101"/>
      <c r="E86" s="101"/>
      <c r="F86" s="101"/>
      <c r="G86" s="101"/>
      <c r="H86" s="101"/>
      <c r="I86" s="101"/>
      <c r="J86" s="99"/>
      <c r="K86" s="2"/>
    </row>
    <row r="87" spans="2:11" ht="15" hidden="1" customHeight="1" x14ac:dyDescent="0.25">
      <c r="B87" s="1"/>
      <c r="C87" s="108">
        <v>5</v>
      </c>
      <c r="D87" s="101"/>
      <c r="E87" s="101"/>
      <c r="F87" s="101"/>
      <c r="G87" s="101"/>
      <c r="H87" s="101"/>
      <c r="I87" s="101"/>
      <c r="J87" s="99"/>
      <c r="K87" s="2"/>
    </row>
    <row r="88" spans="2:11" ht="15" hidden="1" customHeight="1" x14ac:dyDescent="0.25">
      <c r="B88" s="1"/>
      <c r="C88" s="108">
        <v>6</v>
      </c>
      <c r="D88" s="101"/>
      <c r="E88" s="101"/>
      <c r="F88" s="101"/>
      <c r="G88" s="101"/>
      <c r="H88" s="101"/>
      <c r="I88" s="101"/>
      <c r="J88" s="99"/>
      <c r="K88" s="2"/>
    </row>
    <row r="89" spans="2:11" ht="15" hidden="1" customHeight="1" x14ac:dyDescent="0.25">
      <c r="B89" s="1"/>
      <c r="C89" s="108">
        <v>7</v>
      </c>
      <c r="D89" s="101"/>
      <c r="E89" s="101"/>
      <c r="F89" s="101"/>
      <c r="G89" s="101"/>
      <c r="H89" s="101"/>
      <c r="I89" s="101"/>
      <c r="J89" s="99"/>
      <c r="K89" s="2"/>
    </row>
    <row r="90" spans="2:11" ht="15" hidden="1" customHeight="1" x14ac:dyDescent="0.25">
      <c r="B90" s="1"/>
      <c r="C90" s="108">
        <v>8</v>
      </c>
      <c r="D90" s="101"/>
      <c r="E90" s="101"/>
      <c r="F90" s="101"/>
      <c r="G90" s="101"/>
      <c r="H90" s="101"/>
      <c r="I90" s="101"/>
      <c r="J90" s="99"/>
      <c r="K90" s="2"/>
    </row>
    <row r="91" spans="2:11" ht="15" hidden="1" customHeight="1" x14ac:dyDescent="0.25">
      <c r="B91" s="1"/>
      <c r="C91" s="108">
        <v>9</v>
      </c>
      <c r="D91" s="101"/>
      <c r="E91" s="101"/>
      <c r="F91" s="101"/>
      <c r="G91" s="101"/>
      <c r="H91" s="101"/>
      <c r="I91" s="101"/>
      <c r="J91" s="99"/>
      <c r="K91" s="2"/>
    </row>
    <row r="92" spans="2:11" ht="15" hidden="1" customHeight="1" x14ac:dyDescent="0.25">
      <c r="B92" s="1"/>
      <c r="C92" s="108">
        <v>10</v>
      </c>
      <c r="D92" s="101"/>
      <c r="E92" s="101"/>
      <c r="F92" s="101"/>
      <c r="G92" s="101"/>
      <c r="H92" s="101"/>
      <c r="I92" s="101"/>
      <c r="J92" s="99"/>
      <c r="K92" s="2"/>
    </row>
    <row r="93" spans="2:11" ht="15" hidden="1" customHeight="1" x14ac:dyDescent="0.25">
      <c r="B93" s="1"/>
      <c r="C93" s="108">
        <v>11</v>
      </c>
      <c r="D93" s="101"/>
      <c r="E93" s="101"/>
      <c r="F93" s="101"/>
      <c r="G93" s="101"/>
      <c r="H93" s="101"/>
      <c r="I93" s="101"/>
      <c r="J93" s="99"/>
      <c r="K93" s="2"/>
    </row>
    <row r="94" spans="2:11" ht="15" hidden="1" customHeight="1" x14ac:dyDescent="0.25">
      <c r="B94" s="1"/>
      <c r="C94" s="108">
        <v>12</v>
      </c>
      <c r="D94" s="101"/>
      <c r="E94" s="101"/>
      <c r="F94" s="101"/>
      <c r="G94" s="101"/>
      <c r="H94" s="101"/>
      <c r="I94" s="101"/>
      <c r="J94" s="99"/>
      <c r="K94" s="2"/>
    </row>
    <row r="95" spans="2:11" ht="15" hidden="1" customHeight="1" x14ac:dyDescent="0.25">
      <c r="B95" s="1"/>
      <c r="C95" s="108">
        <v>13</v>
      </c>
      <c r="D95" s="101"/>
      <c r="E95" s="101"/>
      <c r="F95" s="101"/>
      <c r="G95" s="101"/>
      <c r="H95" s="101"/>
      <c r="I95" s="101"/>
      <c r="J95" s="99"/>
      <c r="K95" s="2"/>
    </row>
    <row r="96" spans="2:11" ht="15" hidden="1" customHeight="1" x14ac:dyDescent="0.25">
      <c r="B96" s="1"/>
      <c r="C96" s="108">
        <v>14</v>
      </c>
      <c r="D96" s="101"/>
      <c r="E96" s="101"/>
      <c r="F96" s="101"/>
      <c r="G96" s="101"/>
      <c r="H96" s="101"/>
      <c r="I96" s="101"/>
      <c r="J96" s="99"/>
      <c r="K96" s="2"/>
    </row>
    <row r="97" spans="2:11" ht="15" hidden="1" customHeight="1" x14ac:dyDescent="0.25">
      <c r="B97" s="1"/>
      <c r="C97" s="108">
        <v>15</v>
      </c>
      <c r="D97" s="101"/>
      <c r="E97" s="101"/>
      <c r="F97" s="101"/>
      <c r="G97" s="101"/>
      <c r="H97" s="101"/>
      <c r="I97" s="101"/>
      <c r="J97" s="99"/>
      <c r="K97" s="2"/>
    </row>
    <row r="98" spans="2:11" ht="15" hidden="1" customHeight="1" x14ac:dyDescent="0.25">
      <c r="B98" s="1"/>
      <c r="C98" s="108">
        <v>16</v>
      </c>
      <c r="D98" s="101"/>
      <c r="E98" s="101"/>
      <c r="F98" s="101"/>
      <c r="G98" s="101"/>
      <c r="H98" s="101"/>
      <c r="I98" s="101"/>
      <c r="J98" s="99"/>
      <c r="K98" s="2"/>
    </row>
    <row r="99" spans="2:11" ht="15" hidden="1" customHeight="1" x14ac:dyDescent="0.25">
      <c r="B99" s="1"/>
      <c r="C99" s="108">
        <v>17</v>
      </c>
      <c r="D99" s="101"/>
      <c r="E99" s="101"/>
      <c r="F99" s="101"/>
      <c r="G99" s="101"/>
      <c r="H99" s="101"/>
      <c r="I99" s="101"/>
      <c r="J99" s="99"/>
      <c r="K99" s="2"/>
    </row>
    <row r="100" spans="2:11" ht="15" hidden="1" customHeight="1" x14ac:dyDescent="0.25">
      <c r="B100" s="1"/>
      <c r="C100" s="108">
        <v>18</v>
      </c>
      <c r="D100" s="101"/>
      <c r="E100" s="101"/>
      <c r="F100" s="101"/>
      <c r="G100" s="101"/>
      <c r="H100" s="101"/>
      <c r="I100" s="101"/>
      <c r="J100" s="99"/>
      <c r="K100" s="2"/>
    </row>
    <row r="101" spans="2:11" ht="15" hidden="1" customHeight="1" x14ac:dyDescent="0.25">
      <c r="B101" s="1"/>
      <c r="C101" s="108">
        <v>19</v>
      </c>
      <c r="D101" s="101"/>
      <c r="E101" s="101"/>
      <c r="F101" s="101"/>
      <c r="G101" s="101"/>
      <c r="H101" s="101"/>
      <c r="I101" s="101"/>
      <c r="J101" s="99"/>
      <c r="K101" s="2"/>
    </row>
    <row r="102" spans="2:11" ht="15" hidden="1" customHeight="1" x14ac:dyDescent="0.25">
      <c r="B102" s="1"/>
      <c r="C102" s="108">
        <v>20</v>
      </c>
      <c r="D102" s="101"/>
      <c r="E102" s="101"/>
      <c r="F102" s="101"/>
      <c r="G102" s="101"/>
      <c r="H102" s="101"/>
      <c r="I102" s="101"/>
      <c r="J102" s="99"/>
      <c r="K102" s="2"/>
    </row>
    <row r="103" spans="2:11" ht="15" hidden="1" customHeight="1" x14ac:dyDescent="0.25">
      <c r="B103" s="1"/>
      <c r="C103" s="108">
        <v>21</v>
      </c>
      <c r="D103" s="101"/>
      <c r="E103" s="101"/>
      <c r="F103" s="101"/>
      <c r="G103" s="101"/>
      <c r="H103" s="101"/>
      <c r="I103" s="101"/>
      <c r="J103" s="99"/>
      <c r="K103" s="2"/>
    </row>
    <row r="104" spans="2:11" ht="15" hidden="1" customHeight="1" x14ac:dyDescent="0.25">
      <c r="B104" s="1"/>
      <c r="C104" s="108">
        <v>22</v>
      </c>
      <c r="D104" s="101"/>
      <c r="E104" s="101"/>
      <c r="F104" s="101"/>
      <c r="G104" s="101"/>
      <c r="H104" s="101"/>
      <c r="I104" s="101"/>
      <c r="J104" s="99"/>
      <c r="K104" s="2"/>
    </row>
    <row r="105" spans="2:11" ht="15" hidden="1" customHeight="1" x14ac:dyDescent="0.25">
      <c r="B105" s="1"/>
      <c r="C105" s="108">
        <v>23</v>
      </c>
      <c r="D105" s="101"/>
      <c r="E105" s="101"/>
      <c r="F105" s="101"/>
      <c r="G105" s="101"/>
      <c r="H105" s="101"/>
      <c r="I105" s="101"/>
      <c r="J105" s="99"/>
      <c r="K105" s="2"/>
    </row>
    <row r="106" spans="2:11" ht="15" hidden="1" customHeight="1" x14ac:dyDescent="0.25">
      <c r="B106" s="1"/>
      <c r="C106" s="108">
        <v>24</v>
      </c>
      <c r="D106" s="101"/>
      <c r="E106" s="101"/>
      <c r="F106" s="101"/>
      <c r="G106" s="101"/>
      <c r="H106" s="101"/>
      <c r="I106" s="101"/>
      <c r="J106" s="99"/>
      <c r="K106" s="2"/>
    </row>
    <row r="107" spans="2:11" ht="15" hidden="1" customHeight="1" x14ac:dyDescent="0.25">
      <c r="B107" s="1"/>
      <c r="C107" s="108">
        <v>25</v>
      </c>
      <c r="D107" s="101"/>
      <c r="E107" s="101"/>
      <c r="F107" s="101"/>
      <c r="G107" s="101"/>
      <c r="H107" s="101"/>
      <c r="I107" s="101"/>
      <c r="J107" s="99"/>
      <c r="K107" s="2"/>
    </row>
    <row r="108" spans="2:11" ht="15" hidden="1" customHeight="1" x14ac:dyDescent="0.25">
      <c r="B108" s="1"/>
      <c r="C108" s="108">
        <v>26</v>
      </c>
      <c r="D108" s="101"/>
      <c r="E108" s="101"/>
      <c r="F108" s="101"/>
      <c r="G108" s="101"/>
      <c r="H108" s="101"/>
      <c r="I108" s="101"/>
      <c r="J108" s="99"/>
      <c r="K108" s="2"/>
    </row>
    <row r="109" spans="2:11" ht="15" hidden="1" customHeight="1" x14ac:dyDescent="0.25">
      <c r="B109" s="1"/>
      <c r="C109" s="108">
        <v>27</v>
      </c>
      <c r="D109" s="101"/>
      <c r="E109" s="101"/>
      <c r="F109" s="101"/>
      <c r="G109" s="101"/>
      <c r="H109" s="101"/>
      <c r="I109" s="101"/>
      <c r="J109" s="99"/>
      <c r="K109" s="2"/>
    </row>
    <row r="110" spans="2:11" ht="15" hidden="1" customHeight="1" x14ac:dyDescent="0.25">
      <c r="B110" s="1"/>
      <c r="C110" s="108">
        <v>28</v>
      </c>
      <c r="D110" s="101"/>
      <c r="E110" s="101"/>
      <c r="F110" s="101"/>
      <c r="G110" s="101"/>
      <c r="H110" s="101"/>
      <c r="I110" s="101"/>
      <c r="J110" s="99"/>
      <c r="K110" s="2"/>
    </row>
    <row r="111" spans="2:11" ht="15" hidden="1" customHeight="1" x14ac:dyDescent="0.25">
      <c r="B111" s="1"/>
      <c r="C111" s="108">
        <v>29</v>
      </c>
      <c r="D111" s="101"/>
      <c r="E111" s="101"/>
      <c r="F111" s="101"/>
      <c r="G111" s="101"/>
      <c r="H111" s="101"/>
      <c r="I111" s="101"/>
      <c r="J111" s="99"/>
      <c r="K111" s="2"/>
    </row>
    <row r="112" spans="2:11" ht="15" hidden="1" customHeight="1" x14ac:dyDescent="0.25">
      <c r="B112" s="1"/>
      <c r="C112" s="108">
        <v>30</v>
      </c>
      <c r="D112" s="101"/>
      <c r="E112" s="101"/>
      <c r="F112" s="101"/>
      <c r="G112" s="101"/>
      <c r="H112" s="101"/>
      <c r="I112" s="101"/>
      <c r="J112" s="99"/>
      <c r="K112" s="2"/>
    </row>
    <row r="113" spans="2:11" ht="15" hidden="1" customHeight="1" x14ac:dyDescent="0.25">
      <c r="B113" s="1"/>
      <c r="C113" s="108">
        <v>31</v>
      </c>
      <c r="D113" s="101"/>
      <c r="E113" s="101"/>
      <c r="F113" s="101"/>
      <c r="G113" s="101"/>
      <c r="H113" s="101"/>
      <c r="I113" s="101"/>
      <c r="J113" s="99"/>
      <c r="K113" s="2"/>
    </row>
    <row r="114" spans="2:11" ht="15" hidden="1" customHeight="1" x14ac:dyDescent="0.25">
      <c r="B114" s="1"/>
      <c r="C114" s="108">
        <v>32</v>
      </c>
      <c r="D114" s="101"/>
      <c r="E114" s="101"/>
      <c r="F114" s="101"/>
      <c r="G114" s="101"/>
      <c r="H114" s="101"/>
      <c r="I114" s="101"/>
      <c r="J114" s="99"/>
      <c r="K114" s="2"/>
    </row>
    <row r="115" spans="2:11" ht="15" hidden="1" customHeight="1" x14ac:dyDescent="0.25">
      <c r="B115" s="1"/>
      <c r="C115" s="108">
        <v>33</v>
      </c>
      <c r="D115" s="101"/>
      <c r="E115" s="101"/>
      <c r="F115" s="101"/>
      <c r="G115" s="101"/>
      <c r="H115" s="101"/>
      <c r="I115" s="101"/>
      <c r="J115" s="99"/>
      <c r="K115" s="2"/>
    </row>
    <row r="116" spans="2:11" ht="15" hidden="1" customHeight="1" x14ac:dyDescent="0.25">
      <c r="B116" s="1"/>
      <c r="C116" s="108">
        <v>34</v>
      </c>
      <c r="D116" s="101"/>
      <c r="E116" s="101"/>
      <c r="F116" s="101"/>
      <c r="G116" s="101"/>
      <c r="H116" s="101"/>
      <c r="I116" s="101"/>
      <c r="J116" s="99"/>
      <c r="K116" s="2"/>
    </row>
    <row r="117" spans="2:11" ht="15" hidden="1" customHeight="1" x14ac:dyDescent="0.25">
      <c r="B117" s="1"/>
      <c r="C117" s="108">
        <v>35</v>
      </c>
      <c r="D117" s="101"/>
      <c r="E117" s="101"/>
      <c r="F117" s="101"/>
      <c r="G117" s="101"/>
      <c r="H117" s="101"/>
      <c r="I117" s="101"/>
      <c r="J117" s="99"/>
      <c r="K117" s="2"/>
    </row>
    <row r="118" spans="2:11" ht="15" hidden="1" customHeight="1" x14ac:dyDescent="0.25">
      <c r="B118" s="1"/>
      <c r="C118" s="108">
        <v>36</v>
      </c>
      <c r="D118" s="101"/>
      <c r="E118" s="101"/>
      <c r="F118" s="101"/>
      <c r="G118" s="101"/>
      <c r="H118" s="101"/>
      <c r="I118" s="101"/>
      <c r="J118" s="99"/>
      <c r="K118" s="2"/>
    </row>
    <row r="119" spans="2:11" ht="15" hidden="1" customHeight="1" x14ac:dyDescent="0.25">
      <c r="B119" s="1"/>
      <c r="C119" s="108">
        <v>37</v>
      </c>
      <c r="D119" s="101"/>
      <c r="E119" s="101"/>
      <c r="F119" s="101"/>
      <c r="G119" s="101"/>
      <c r="H119" s="101"/>
      <c r="I119" s="101"/>
      <c r="J119" s="99"/>
      <c r="K119" s="2"/>
    </row>
    <row r="120" spans="2:11" ht="15" hidden="1" customHeight="1" x14ac:dyDescent="0.25">
      <c r="B120" s="1"/>
      <c r="C120" s="108">
        <v>38</v>
      </c>
      <c r="D120" s="101"/>
      <c r="E120" s="101"/>
      <c r="F120" s="101"/>
      <c r="G120" s="101"/>
      <c r="H120" s="101"/>
      <c r="I120" s="101"/>
      <c r="J120" s="99"/>
      <c r="K120" s="2"/>
    </row>
    <row r="121" spans="2:11" ht="15" hidden="1" customHeight="1" x14ac:dyDescent="0.25">
      <c r="B121" s="1"/>
      <c r="C121" s="108">
        <v>39</v>
      </c>
      <c r="D121" s="101"/>
      <c r="E121" s="101"/>
      <c r="F121" s="101"/>
      <c r="G121" s="101"/>
      <c r="H121" s="101"/>
      <c r="I121" s="101"/>
      <c r="J121" s="99"/>
      <c r="K121" s="2"/>
    </row>
    <row r="122" spans="2:11" ht="15" hidden="1" customHeight="1" x14ac:dyDescent="0.25">
      <c r="B122" s="1"/>
      <c r="C122" s="108">
        <v>40</v>
      </c>
      <c r="D122" s="101"/>
      <c r="E122" s="101"/>
      <c r="F122" s="101"/>
      <c r="G122" s="101"/>
      <c r="H122" s="101"/>
      <c r="I122" s="101"/>
      <c r="J122" s="99"/>
      <c r="K122" s="2"/>
    </row>
    <row r="123" spans="2:11" ht="15" hidden="1" customHeight="1" x14ac:dyDescent="0.25">
      <c r="B123" s="1"/>
      <c r="C123" s="108">
        <v>41</v>
      </c>
      <c r="D123" s="101"/>
      <c r="E123" s="101"/>
      <c r="F123" s="101"/>
      <c r="G123" s="101"/>
      <c r="H123" s="101"/>
      <c r="I123" s="101"/>
      <c r="J123" s="99"/>
      <c r="K123" s="2"/>
    </row>
    <row r="124" spans="2:11" ht="15" hidden="1" customHeight="1" x14ac:dyDescent="0.25">
      <c r="B124" s="1"/>
      <c r="C124" s="108">
        <v>42</v>
      </c>
      <c r="D124" s="101"/>
      <c r="E124" s="101"/>
      <c r="F124" s="101"/>
      <c r="G124" s="101"/>
      <c r="H124" s="101"/>
      <c r="I124" s="101"/>
      <c r="J124" s="99"/>
      <c r="K124" s="2"/>
    </row>
    <row r="125" spans="2:11" ht="15" hidden="1" customHeight="1" x14ac:dyDescent="0.25">
      <c r="B125" s="1"/>
      <c r="C125" s="108">
        <v>43</v>
      </c>
      <c r="D125" s="101"/>
      <c r="E125" s="101"/>
      <c r="F125" s="101"/>
      <c r="G125" s="101"/>
      <c r="H125" s="101"/>
      <c r="I125" s="101"/>
      <c r="J125" s="99"/>
      <c r="K125" s="2"/>
    </row>
    <row r="126" spans="2:11" ht="15" hidden="1" customHeight="1" x14ac:dyDescent="0.25">
      <c r="B126" s="1"/>
      <c r="C126" s="108">
        <v>44</v>
      </c>
      <c r="D126" s="101"/>
      <c r="E126" s="101"/>
      <c r="F126" s="101"/>
      <c r="G126" s="101"/>
      <c r="H126" s="101"/>
      <c r="I126" s="101"/>
      <c r="J126" s="99"/>
      <c r="K126" s="2"/>
    </row>
    <row r="127" spans="2:11" ht="15" hidden="1" customHeight="1" x14ac:dyDescent="0.25">
      <c r="B127" s="1"/>
      <c r="C127" s="108">
        <v>45</v>
      </c>
      <c r="D127" s="101"/>
      <c r="E127" s="101"/>
      <c r="F127" s="101"/>
      <c r="G127" s="101"/>
      <c r="H127" s="101"/>
      <c r="I127" s="101"/>
      <c r="J127" s="99"/>
      <c r="K127" s="2"/>
    </row>
    <row r="128" spans="2:11" ht="15" hidden="1" customHeight="1" x14ac:dyDescent="0.25">
      <c r="B128" s="1"/>
      <c r="C128" s="108">
        <v>46</v>
      </c>
      <c r="D128" s="101"/>
      <c r="E128" s="101"/>
      <c r="F128" s="101"/>
      <c r="G128" s="101"/>
      <c r="H128" s="101"/>
      <c r="I128" s="101"/>
      <c r="J128" s="99"/>
      <c r="K128" s="2"/>
    </row>
    <row r="129" spans="2:11" ht="15" hidden="1" customHeight="1" x14ac:dyDescent="0.25">
      <c r="B129" s="1"/>
      <c r="C129" s="108">
        <v>47</v>
      </c>
      <c r="D129" s="101"/>
      <c r="E129" s="101"/>
      <c r="F129" s="101"/>
      <c r="G129" s="101"/>
      <c r="H129" s="101"/>
      <c r="I129" s="101"/>
      <c r="J129" s="99"/>
      <c r="K129" s="2"/>
    </row>
    <row r="130" spans="2:11" ht="15" hidden="1" customHeight="1" x14ac:dyDescent="0.25">
      <c r="B130" s="1"/>
      <c r="C130" s="108">
        <v>48</v>
      </c>
      <c r="D130" s="101"/>
      <c r="E130" s="101"/>
      <c r="F130" s="101"/>
      <c r="G130" s="101"/>
      <c r="H130" s="101"/>
      <c r="I130" s="101"/>
      <c r="J130" s="99"/>
      <c r="K130" s="2"/>
    </row>
    <row r="131" spans="2:11" ht="15" hidden="1" customHeight="1" x14ac:dyDescent="0.25">
      <c r="B131" s="1"/>
      <c r="C131" s="108">
        <v>49</v>
      </c>
      <c r="D131" s="101"/>
      <c r="E131" s="101"/>
      <c r="F131" s="101"/>
      <c r="G131" s="101"/>
      <c r="H131" s="101"/>
      <c r="I131" s="101"/>
      <c r="J131" s="99"/>
      <c r="K131" s="2"/>
    </row>
    <row r="132" spans="2:11" ht="15" hidden="1" customHeight="1" x14ac:dyDescent="0.25">
      <c r="B132" s="1"/>
      <c r="C132" s="108">
        <v>50</v>
      </c>
      <c r="D132" s="101"/>
      <c r="E132" s="101"/>
      <c r="F132" s="101"/>
      <c r="G132" s="101"/>
      <c r="H132" s="101"/>
      <c r="I132" s="101"/>
      <c r="J132" s="99"/>
      <c r="K132" s="2"/>
    </row>
    <row r="133" spans="2:11" ht="15" hidden="1" customHeight="1" x14ac:dyDescent="0.25">
      <c r="B133" s="1"/>
      <c r="C133" s="94"/>
      <c r="D133" s="94"/>
      <c r="E133" s="94"/>
      <c r="F133" s="94"/>
      <c r="G133" s="94"/>
      <c r="H133" s="94"/>
      <c r="I133" s="94"/>
      <c r="J133" s="94"/>
      <c r="K133" s="2"/>
    </row>
    <row r="134" spans="2:11" ht="20.100000000000001" hidden="1" customHeight="1" x14ac:dyDescent="0.25">
      <c r="B134" s="10"/>
      <c r="C134" s="118" t="s">
        <v>31</v>
      </c>
      <c r="D134" s="118"/>
      <c r="E134" s="118"/>
      <c r="F134" s="118"/>
      <c r="G134" s="118"/>
      <c r="H134" s="118"/>
      <c r="I134" s="118"/>
      <c r="J134" s="118"/>
      <c r="K134" s="11"/>
    </row>
    <row r="135" spans="2:11" ht="15" hidden="1" customHeight="1" x14ac:dyDescent="0.25">
      <c r="B135" s="1"/>
      <c r="C135" s="94"/>
      <c r="D135" s="94"/>
      <c r="E135" s="94"/>
      <c r="F135" s="94"/>
      <c r="G135" s="94"/>
      <c r="H135" s="94"/>
      <c r="I135" s="94"/>
      <c r="J135" s="94"/>
      <c r="K135" s="2"/>
    </row>
    <row r="136" spans="2:11" ht="15" hidden="1" customHeight="1" x14ac:dyDescent="0.25">
      <c r="B136" s="1"/>
      <c r="C136" s="94" t="s">
        <v>18</v>
      </c>
      <c r="D136" s="94"/>
      <c r="E136" s="94"/>
      <c r="F136" s="94"/>
      <c r="G136" s="94"/>
      <c r="H136" s="94"/>
      <c r="I136" s="94"/>
      <c r="J136" s="94"/>
      <c r="K136" s="2"/>
    </row>
    <row r="137" spans="2:11" ht="15" hidden="1" customHeight="1" x14ac:dyDescent="0.25">
      <c r="B137" s="1"/>
      <c r="C137" s="131" t="str">
        <f>IF(I.Facility.ComplianceYear="","",I.Facility.ComplianceYear)</f>
        <v/>
      </c>
      <c r="D137" s="132"/>
      <c r="E137" s="94"/>
      <c r="F137" s="94"/>
      <c r="G137" s="94"/>
      <c r="H137" s="94"/>
      <c r="I137" s="94"/>
      <c r="J137" s="94"/>
      <c r="K137" s="2"/>
    </row>
    <row r="138" spans="2:11" ht="15" hidden="1" customHeight="1" x14ac:dyDescent="0.25">
      <c r="B138" s="1"/>
      <c r="C138" s="94"/>
      <c r="D138" s="94"/>
      <c r="E138" s="94"/>
      <c r="F138" s="94"/>
      <c r="G138" s="94"/>
      <c r="H138" s="94"/>
      <c r="I138" s="94"/>
      <c r="J138" s="94"/>
      <c r="K138" s="2"/>
    </row>
    <row r="139" spans="2:11" ht="15" hidden="1" customHeight="1" x14ac:dyDescent="0.25">
      <c r="B139" s="1"/>
      <c r="C139" s="94" t="s">
        <v>108</v>
      </c>
      <c r="D139" s="94"/>
      <c r="E139" s="94"/>
      <c r="F139" s="94"/>
      <c r="G139" s="94"/>
      <c r="H139" s="94"/>
      <c r="I139" s="94"/>
      <c r="J139" s="94"/>
      <c r="K139" s="2"/>
    </row>
    <row r="140" spans="2:11" ht="15" hidden="1" customHeight="1" x14ac:dyDescent="0.25">
      <c r="B140" s="1"/>
      <c r="C140" s="134"/>
      <c r="D140" s="135"/>
      <c r="E140" s="94"/>
      <c r="F140" s="94"/>
      <c r="G140" s="94"/>
      <c r="H140" s="94"/>
      <c r="I140" s="94"/>
      <c r="J140" s="94"/>
      <c r="K140" s="2"/>
    </row>
    <row r="141" spans="2:11" ht="15" hidden="1" customHeight="1" x14ac:dyDescent="0.25">
      <c r="B141" s="1"/>
      <c r="C141" s="94"/>
      <c r="D141" s="94"/>
      <c r="E141" s="94"/>
      <c r="F141" s="94"/>
      <c r="G141" s="94"/>
      <c r="H141" s="94"/>
      <c r="I141" s="94"/>
      <c r="J141" s="94"/>
      <c r="K141" s="2"/>
    </row>
    <row r="142" spans="2:11" ht="15" hidden="1" customHeight="1" x14ac:dyDescent="0.25">
      <c r="B142" s="1"/>
      <c r="C142" s="128" t="s">
        <v>109</v>
      </c>
      <c r="D142" s="125" t="s">
        <v>110</v>
      </c>
      <c r="E142" s="125" t="s">
        <v>111</v>
      </c>
      <c r="F142" s="125" t="s">
        <v>112</v>
      </c>
      <c r="G142" s="125" t="s">
        <v>113</v>
      </c>
      <c r="H142" s="125" t="s">
        <v>114</v>
      </c>
      <c r="I142" s="125" t="s">
        <v>115</v>
      </c>
      <c r="J142" s="125" t="s">
        <v>116</v>
      </c>
      <c r="K142" s="2"/>
    </row>
    <row r="143" spans="2:11" ht="15" hidden="1" customHeight="1" x14ac:dyDescent="0.25">
      <c r="B143" s="1"/>
      <c r="C143" s="129"/>
      <c r="D143" s="126"/>
      <c r="E143" s="126"/>
      <c r="F143" s="126"/>
      <c r="G143" s="126"/>
      <c r="H143" s="126"/>
      <c r="I143" s="126"/>
      <c r="J143" s="126"/>
      <c r="K143" s="2"/>
    </row>
    <row r="144" spans="2:11" ht="15" hidden="1" customHeight="1" x14ac:dyDescent="0.25">
      <c r="B144" s="1"/>
      <c r="C144" s="129"/>
      <c r="D144" s="126"/>
      <c r="E144" s="126"/>
      <c r="F144" s="126"/>
      <c r="G144" s="126"/>
      <c r="H144" s="126"/>
      <c r="I144" s="126"/>
      <c r="J144" s="126"/>
      <c r="K144" s="2"/>
    </row>
    <row r="145" spans="2:11" ht="15" hidden="1" customHeight="1" x14ac:dyDescent="0.35">
      <c r="B145" s="1"/>
      <c r="C145" s="130"/>
      <c r="D145" s="109" t="s">
        <v>117</v>
      </c>
      <c r="E145" s="109" t="s">
        <v>117</v>
      </c>
      <c r="F145" s="109" t="s">
        <v>118</v>
      </c>
      <c r="G145" s="110" t="s">
        <v>119</v>
      </c>
      <c r="H145" s="111" t="s">
        <v>120</v>
      </c>
      <c r="I145" s="111" t="s">
        <v>121</v>
      </c>
      <c r="J145" s="112" t="s">
        <v>122</v>
      </c>
      <c r="K145" s="2"/>
    </row>
    <row r="146" spans="2:11" ht="15" hidden="1" customHeight="1" x14ac:dyDescent="0.25">
      <c r="B146" s="1"/>
      <c r="C146" s="108">
        <v>1</v>
      </c>
      <c r="D146" s="101"/>
      <c r="E146" s="101"/>
      <c r="F146" s="101"/>
      <c r="G146" s="101"/>
      <c r="H146" s="101"/>
      <c r="I146" s="101"/>
      <c r="J146" s="99"/>
      <c r="K146" s="2"/>
    </row>
    <row r="147" spans="2:11" ht="15" hidden="1" customHeight="1" x14ac:dyDescent="0.25">
      <c r="B147" s="1"/>
      <c r="C147" s="108">
        <v>2</v>
      </c>
      <c r="D147" s="101"/>
      <c r="E147" s="101"/>
      <c r="F147" s="101"/>
      <c r="G147" s="101"/>
      <c r="H147" s="101"/>
      <c r="I147" s="101"/>
      <c r="J147" s="99"/>
      <c r="K147" s="2"/>
    </row>
    <row r="148" spans="2:11" ht="15" hidden="1" customHeight="1" x14ac:dyDescent="0.25">
      <c r="B148" s="1"/>
      <c r="C148" s="108">
        <v>3</v>
      </c>
      <c r="D148" s="101"/>
      <c r="E148" s="101"/>
      <c r="F148" s="101"/>
      <c r="G148" s="101"/>
      <c r="H148" s="101"/>
      <c r="I148" s="101"/>
      <c r="J148" s="99"/>
      <c r="K148" s="2"/>
    </row>
    <row r="149" spans="2:11" ht="15" hidden="1" customHeight="1" x14ac:dyDescent="0.25">
      <c r="B149" s="1"/>
      <c r="C149" s="108">
        <v>4</v>
      </c>
      <c r="D149" s="101"/>
      <c r="E149" s="101"/>
      <c r="F149" s="101"/>
      <c r="G149" s="101"/>
      <c r="H149" s="101"/>
      <c r="I149" s="101"/>
      <c r="J149" s="99"/>
      <c r="K149" s="2"/>
    </row>
    <row r="150" spans="2:11" ht="15" hidden="1" customHeight="1" x14ac:dyDescent="0.25">
      <c r="B150" s="1"/>
      <c r="C150" s="108">
        <v>5</v>
      </c>
      <c r="D150" s="101"/>
      <c r="E150" s="101"/>
      <c r="F150" s="101"/>
      <c r="G150" s="101"/>
      <c r="H150" s="101"/>
      <c r="I150" s="101"/>
      <c r="J150" s="99"/>
      <c r="K150" s="2"/>
    </row>
    <row r="151" spans="2:11" ht="15" hidden="1" customHeight="1" x14ac:dyDescent="0.25">
      <c r="B151" s="1"/>
      <c r="C151" s="108">
        <v>6</v>
      </c>
      <c r="D151" s="101"/>
      <c r="E151" s="101"/>
      <c r="F151" s="101"/>
      <c r="G151" s="101"/>
      <c r="H151" s="101"/>
      <c r="I151" s="101"/>
      <c r="J151" s="99"/>
      <c r="K151" s="2"/>
    </row>
    <row r="152" spans="2:11" ht="15" hidden="1" customHeight="1" x14ac:dyDescent="0.25">
      <c r="B152" s="1"/>
      <c r="C152" s="108">
        <v>7</v>
      </c>
      <c r="D152" s="101"/>
      <c r="E152" s="101"/>
      <c r="F152" s="101"/>
      <c r="G152" s="101"/>
      <c r="H152" s="101"/>
      <c r="I152" s="101"/>
      <c r="J152" s="99"/>
      <c r="K152" s="2"/>
    </row>
    <row r="153" spans="2:11" ht="15" hidden="1" customHeight="1" x14ac:dyDescent="0.25">
      <c r="B153" s="1"/>
      <c r="C153" s="108">
        <v>8</v>
      </c>
      <c r="D153" s="101"/>
      <c r="E153" s="101"/>
      <c r="F153" s="101"/>
      <c r="G153" s="101"/>
      <c r="H153" s="101"/>
      <c r="I153" s="101"/>
      <c r="J153" s="99"/>
      <c r="K153" s="2"/>
    </row>
    <row r="154" spans="2:11" ht="15" hidden="1" customHeight="1" x14ac:dyDescent="0.25">
      <c r="B154" s="1"/>
      <c r="C154" s="108">
        <v>9</v>
      </c>
      <c r="D154" s="101"/>
      <c r="E154" s="101"/>
      <c r="F154" s="101"/>
      <c r="G154" s="101"/>
      <c r="H154" s="101"/>
      <c r="I154" s="101"/>
      <c r="J154" s="99"/>
      <c r="K154" s="2"/>
    </row>
    <row r="155" spans="2:11" ht="15" hidden="1" customHeight="1" x14ac:dyDescent="0.25">
      <c r="B155" s="1"/>
      <c r="C155" s="108">
        <v>10</v>
      </c>
      <c r="D155" s="101"/>
      <c r="E155" s="101"/>
      <c r="F155" s="101"/>
      <c r="G155" s="101"/>
      <c r="H155" s="101"/>
      <c r="I155" s="101"/>
      <c r="J155" s="99"/>
      <c r="K155" s="2"/>
    </row>
    <row r="156" spans="2:11" ht="15" hidden="1" customHeight="1" x14ac:dyDescent="0.25">
      <c r="B156" s="1"/>
      <c r="C156" s="108">
        <v>11</v>
      </c>
      <c r="D156" s="101"/>
      <c r="E156" s="101"/>
      <c r="F156" s="101"/>
      <c r="G156" s="101"/>
      <c r="H156" s="101"/>
      <c r="I156" s="101"/>
      <c r="J156" s="99"/>
      <c r="K156" s="2"/>
    </row>
    <row r="157" spans="2:11" ht="15" hidden="1" customHeight="1" x14ac:dyDescent="0.25">
      <c r="B157" s="1"/>
      <c r="C157" s="108">
        <v>12</v>
      </c>
      <c r="D157" s="101"/>
      <c r="E157" s="101"/>
      <c r="F157" s="101"/>
      <c r="G157" s="101"/>
      <c r="H157" s="101"/>
      <c r="I157" s="101"/>
      <c r="J157" s="99"/>
      <c r="K157" s="2"/>
    </row>
    <row r="158" spans="2:11" ht="15" hidden="1" customHeight="1" x14ac:dyDescent="0.25">
      <c r="B158" s="1"/>
      <c r="C158" s="108">
        <v>13</v>
      </c>
      <c r="D158" s="101"/>
      <c r="E158" s="101"/>
      <c r="F158" s="101"/>
      <c r="G158" s="101"/>
      <c r="H158" s="101"/>
      <c r="I158" s="101"/>
      <c r="J158" s="99"/>
      <c r="K158" s="2"/>
    </row>
    <row r="159" spans="2:11" ht="15" hidden="1" customHeight="1" x14ac:dyDescent="0.25">
      <c r="B159" s="1"/>
      <c r="C159" s="108">
        <v>14</v>
      </c>
      <c r="D159" s="101"/>
      <c r="E159" s="101"/>
      <c r="F159" s="101"/>
      <c r="G159" s="101"/>
      <c r="H159" s="101"/>
      <c r="I159" s="101"/>
      <c r="J159" s="99"/>
      <c r="K159" s="2"/>
    </row>
    <row r="160" spans="2:11" ht="15" hidden="1" customHeight="1" x14ac:dyDescent="0.25">
      <c r="B160" s="1"/>
      <c r="C160" s="108">
        <v>15</v>
      </c>
      <c r="D160" s="101"/>
      <c r="E160" s="101"/>
      <c r="F160" s="101"/>
      <c r="G160" s="101"/>
      <c r="H160" s="101"/>
      <c r="I160" s="101"/>
      <c r="J160" s="99"/>
      <c r="K160" s="2"/>
    </row>
    <row r="161" spans="2:11" ht="15" hidden="1" customHeight="1" x14ac:dyDescent="0.25">
      <c r="B161" s="1"/>
      <c r="C161" s="108">
        <v>16</v>
      </c>
      <c r="D161" s="101"/>
      <c r="E161" s="101"/>
      <c r="F161" s="101"/>
      <c r="G161" s="101"/>
      <c r="H161" s="101"/>
      <c r="I161" s="101"/>
      <c r="J161" s="99"/>
      <c r="K161" s="2"/>
    </row>
    <row r="162" spans="2:11" ht="15" hidden="1" customHeight="1" x14ac:dyDescent="0.25">
      <c r="B162" s="1"/>
      <c r="C162" s="108">
        <v>17</v>
      </c>
      <c r="D162" s="101"/>
      <c r="E162" s="101"/>
      <c r="F162" s="101"/>
      <c r="G162" s="101"/>
      <c r="H162" s="101"/>
      <c r="I162" s="101"/>
      <c r="J162" s="99"/>
      <c r="K162" s="2"/>
    </row>
    <row r="163" spans="2:11" ht="15" hidden="1" customHeight="1" x14ac:dyDescent="0.25">
      <c r="B163" s="1"/>
      <c r="C163" s="108">
        <v>18</v>
      </c>
      <c r="D163" s="101"/>
      <c r="E163" s="101"/>
      <c r="F163" s="101"/>
      <c r="G163" s="101"/>
      <c r="H163" s="101"/>
      <c r="I163" s="101"/>
      <c r="J163" s="99"/>
      <c r="K163" s="2"/>
    </row>
    <row r="164" spans="2:11" ht="15" hidden="1" customHeight="1" x14ac:dyDescent="0.25">
      <c r="B164" s="1"/>
      <c r="C164" s="108">
        <v>19</v>
      </c>
      <c r="D164" s="101"/>
      <c r="E164" s="101"/>
      <c r="F164" s="101"/>
      <c r="G164" s="101"/>
      <c r="H164" s="101"/>
      <c r="I164" s="101"/>
      <c r="J164" s="99"/>
      <c r="K164" s="2"/>
    </row>
    <row r="165" spans="2:11" ht="15" hidden="1" customHeight="1" x14ac:dyDescent="0.25">
      <c r="B165" s="1"/>
      <c r="C165" s="108">
        <v>20</v>
      </c>
      <c r="D165" s="101"/>
      <c r="E165" s="101"/>
      <c r="F165" s="101"/>
      <c r="G165" s="101"/>
      <c r="H165" s="101"/>
      <c r="I165" s="101"/>
      <c r="J165" s="99"/>
      <c r="K165" s="2"/>
    </row>
    <row r="166" spans="2:11" ht="15" hidden="1" customHeight="1" x14ac:dyDescent="0.25">
      <c r="B166" s="1"/>
      <c r="C166" s="108">
        <v>21</v>
      </c>
      <c r="D166" s="101"/>
      <c r="E166" s="101"/>
      <c r="F166" s="101"/>
      <c r="G166" s="101"/>
      <c r="H166" s="101"/>
      <c r="I166" s="101"/>
      <c r="J166" s="99"/>
      <c r="K166" s="2"/>
    </row>
    <row r="167" spans="2:11" ht="15" hidden="1" customHeight="1" x14ac:dyDescent="0.25">
      <c r="B167" s="1"/>
      <c r="C167" s="108">
        <v>22</v>
      </c>
      <c r="D167" s="101"/>
      <c r="E167" s="101"/>
      <c r="F167" s="101"/>
      <c r="G167" s="101"/>
      <c r="H167" s="101"/>
      <c r="I167" s="101"/>
      <c r="J167" s="99"/>
      <c r="K167" s="2"/>
    </row>
    <row r="168" spans="2:11" ht="15" hidden="1" customHeight="1" x14ac:dyDescent="0.25">
      <c r="B168" s="1"/>
      <c r="C168" s="108">
        <v>23</v>
      </c>
      <c r="D168" s="101"/>
      <c r="E168" s="101"/>
      <c r="F168" s="101"/>
      <c r="G168" s="101"/>
      <c r="H168" s="101"/>
      <c r="I168" s="101"/>
      <c r="J168" s="99"/>
      <c r="K168" s="2"/>
    </row>
    <row r="169" spans="2:11" ht="15" hidden="1" customHeight="1" x14ac:dyDescent="0.25">
      <c r="B169" s="1"/>
      <c r="C169" s="108">
        <v>24</v>
      </c>
      <c r="D169" s="101"/>
      <c r="E169" s="101"/>
      <c r="F169" s="101"/>
      <c r="G169" s="101"/>
      <c r="H169" s="101"/>
      <c r="I169" s="101"/>
      <c r="J169" s="99"/>
      <c r="K169" s="2"/>
    </row>
    <row r="170" spans="2:11" ht="15" hidden="1" customHeight="1" x14ac:dyDescent="0.25">
      <c r="B170" s="1"/>
      <c r="C170" s="108">
        <v>25</v>
      </c>
      <c r="D170" s="101"/>
      <c r="E170" s="101"/>
      <c r="F170" s="101"/>
      <c r="G170" s="101"/>
      <c r="H170" s="101"/>
      <c r="I170" s="101"/>
      <c r="J170" s="99"/>
      <c r="K170" s="2"/>
    </row>
    <row r="171" spans="2:11" ht="15" hidden="1" customHeight="1" x14ac:dyDescent="0.25">
      <c r="B171" s="1"/>
      <c r="C171" s="108">
        <v>26</v>
      </c>
      <c r="D171" s="101"/>
      <c r="E171" s="101"/>
      <c r="F171" s="101"/>
      <c r="G171" s="101"/>
      <c r="H171" s="101"/>
      <c r="I171" s="101"/>
      <c r="J171" s="99"/>
      <c r="K171" s="2"/>
    </row>
    <row r="172" spans="2:11" ht="15" hidden="1" customHeight="1" x14ac:dyDescent="0.25">
      <c r="B172" s="1"/>
      <c r="C172" s="108">
        <v>27</v>
      </c>
      <c r="D172" s="101"/>
      <c r="E172" s="101"/>
      <c r="F172" s="101"/>
      <c r="G172" s="101"/>
      <c r="H172" s="101"/>
      <c r="I172" s="101"/>
      <c r="J172" s="99"/>
      <c r="K172" s="2"/>
    </row>
    <row r="173" spans="2:11" ht="15" hidden="1" customHeight="1" x14ac:dyDescent="0.25">
      <c r="B173" s="1"/>
      <c r="C173" s="108">
        <v>28</v>
      </c>
      <c r="D173" s="101"/>
      <c r="E173" s="101"/>
      <c r="F173" s="101"/>
      <c r="G173" s="101"/>
      <c r="H173" s="101"/>
      <c r="I173" s="101"/>
      <c r="J173" s="99"/>
      <c r="K173" s="2"/>
    </row>
    <row r="174" spans="2:11" ht="15" hidden="1" customHeight="1" x14ac:dyDescent="0.25">
      <c r="B174" s="1"/>
      <c r="C174" s="108">
        <v>29</v>
      </c>
      <c r="D174" s="101"/>
      <c r="E174" s="101"/>
      <c r="F174" s="101"/>
      <c r="G174" s="101"/>
      <c r="H174" s="101"/>
      <c r="I174" s="101"/>
      <c r="J174" s="99"/>
      <c r="K174" s="2"/>
    </row>
    <row r="175" spans="2:11" ht="15" hidden="1" customHeight="1" x14ac:dyDescent="0.25">
      <c r="B175" s="1"/>
      <c r="C175" s="108">
        <v>30</v>
      </c>
      <c r="D175" s="101"/>
      <c r="E175" s="101"/>
      <c r="F175" s="101"/>
      <c r="G175" s="101"/>
      <c r="H175" s="101"/>
      <c r="I175" s="101"/>
      <c r="J175" s="99"/>
      <c r="K175" s="2"/>
    </row>
    <row r="176" spans="2:11" ht="15" hidden="1" customHeight="1" x14ac:dyDescent="0.25">
      <c r="B176" s="1"/>
      <c r="C176" s="108">
        <v>31</v>
      </c>
      <c r="D176" s="101"/>
      <c r="E176" s="101"/>
      <c r="F176" s="101"/>
      <c r="G176" s="101"/>
      <c r="H176" s="101"/>
      <c r="I176" s="101"/>
      <c r="J176" s="99"/>
      <c r="K176" s="2"/>
    </row>
    <row r="177" spans="2:11" ht="15" hidden="1" customHeight="1" x14ac:dyDescent="0.25">
      <c r="B177" s="1"/>
      <c r="C177" s="108">
        <v>32</v>
      </c>
      <c r="D177" s="101"/>
      <c r="E177" s="101"/>
      <c r="F177" s="101"/>
      <c r="G177" s="101"/>
      <c r="H177" s="101"/>
      <c r="I177" s="101"/>
      <c r="J177" s="99"/>
      <c r="K177" s="2"/>
    </row>
    <row r="178" spans="2:11" ht="15" hidden="1" customHeight="1" x14ac:dyDescent="0.25">
      <c r="B178" s="1"/>
      <c r="C178" s="108">
        <v>33</v>
      </c>
      <c r="D178" s="101"/>
      <c r="E178" s="101"/>
      <c r="F178" s="101"/>
      <c r="G178" s="101"/>
      <c r="H178" s="101"/>
      <c r="I178" s="101"/>
      <c r="J178" s="99"/>
      <c r="K178" s="2"/>
    </row>
    <row r="179" spans="2:11" ht="15" hidden="1" customHeight="1" x14ac:dyDescent="0.25">
      <c r="B179" s="1"/>
      <c r="C179" s="108">
        <v>34</v>
      </c>
      <c r="D179" s="101"/>
      <c r="E179" s="101"/>
      <c r="F179" s="101"/>
      <c r="G179" s="101"/>
      <c r="H179" s="101"/>
      <c r="I179" s="101"/>
      <c r="J179" s="99"/>
      <c r="K179" s="2"/>
    </row>
    <row r="180" spans="2:11" ht="15" hidden="1" customHeight="1" x14ac:dyDescent="0.25">
      <c r="B180" s="1"/>
      <c r="C180" s="108">
        <v>35</v>
      </c>
      <c r="D180" s="101"/>
      <c r="E180" s="101"/>
      <c r="F180" s="101"/>
      <c r="G180" s="101"/>
      <c r="H180" s="101"/>
      <c r="I180" s="101"/>
      <c r="J180" s="99"/>
      <c r="K180" s="2"/>
    </row>
    <row r="181" spans="2:11" ht="15" hidden="1" customHeight="1" x14ac:dyDescent="0.25">
      <c r="B181" s="1"/>
      <c r="C181" s="108">
        <v>36</v>
      </c>
      <c r="D181" s="101"/>
      <c r="E181" s="101"/>
      <c r="F181" s="101"/>
      <c r="G181" s="101"/>
      <c r="H181" s="101"/>
      <c r="I181" s="101"/>
      <c r="J181" s="99"/>
      <c r="K181" s="2"/>
    </row>
    <row r="182" spans="2:11" ht="15" hidden="1" customHeight="1" x14ac:dyDescent="0.25">
      <c r="B182" s="1"/>
      <c r="C182" s="108">
        <v>37</v>
      </c>
      <c r="D182" s="101"/>
      <c r="E182" s="101"/>
      <c r="F182" s="101"/>
      <c r="G182" s="101"/>
      <c r="H182" s="101"/>
      <c r="I182" s="101"/>
      <c r="J182" s="99"/>
      <c r="K182" s="2"/>
    </row>
    <row r="183" spans="2:11" ht="15" hidden="1" customHeight="1" x14ac:dyDescent="0.25">
      <c r="B183" s="1"/>
      <c r="C183" s="108">
        <v>38</v>
      </c>
      <c r="D183" s="101"/>
      <c r="E183" s="101"/>
      <c r="F183" s="101"/>
      <c r="G183" s="101"/>
      <c r="H183" s="101"/>
      <c r="I183" s="101"/>
      <c r="J183" s="99"/>
      <c r="K183" s="2"/>
    </row>
    <row r="184" spans="2:11" ht="15" hidden="1" customHeight="1" x14ac:dyDescent="0.25">
      <c r="B184" s="1"/>
      <c r="C184" s="108">
        <v>39</v>
      </c>
      <c r="D184" s="101"/>
      <c r="E184" s="101"/>
      <c r="F184" s="101"/>
      <c r="G184" s="101"/>
      <c r="H184" s="101"/>
      <c r="I184" s="101"/>
      <c r="J184" s="99"/>
      <c r="K184" s="2"/>
    </row>
    <row r="185" spans="2:11" ht="15" hidden="1" customHeight="1" x14ac:dyDescent="0.25">
      <c r="B185" s="1"/>
      <c r="C185" s="108">
        <v>40</v>
      </c>
      <c r="D185" s="101"/>
      <c r="E185" s="101"/>
      <c r="F185" s="101"/>
      <c r="G185" s="101"/>
      <c r="H185" s="101"/>
      <c r="I185" s="101"/>
      <c r="J185" s="99"/>
      <c r="K185" s="2"/>
    </row>
    <row r="186" spans="2:11" ht="15" hidden="1" customHeight="1" x14ac:dyDescent="0.25">
      <c r="B186" s="1"/>
      <c r="C186" s="108">
        <v>41</v>
      </c>
      <c r="D186" s="101"/>
      <c r="E186" s="101"/>
      <c r="F186" s="101"/>
      <c r="G186" s="101"/>
      <c r="H186" s="101"/>
      <c r="I186" s="101"/>
      <c r="J186" s="99"/>
      <c r="K186" s="2"/>
    </row>
    <row r="187" spans="2:11" ht="15" hidden="1" customHeight="1" x14ac:dyDescent="0.25">
      <c r="B187" s="1"/>
      <c r="C187" s="108">
        <v>42</v>
      </c>
      <c r="D187" s="101"/>
      <c r="E187" s="101"/>
      <c r="F187" s="101"/>
      <c r="G187" s="101"/>
      <c r="H187" s="101"/>
      <c r="I187" s="101"/>
      <c r="J187" s="99"/>
      <c r="K187" s="2"/>
    </row>
    <row r="188" spans="2:11" ht="15" hidden="1" customHeight="1" x14ac:dyDescent="0.25">
      <c r="B188" s="1"/>
      <c r="C188" s="108">
        <v>43</v>
      </c>
      <c r="D188" s="101"/>
      <c r="E188" s="101"/>
      <c r="F188" s="101"/>
      <c r="G188" s="101"/>
      <c r="H188" s="101"/>
      <c r="I188" s="101"/>
      <c r="J188" s="99"/>
      <c r="K188" s="2"/>
    </row>
    <row r="189" spans="2:11" ht="15" hidden="1" customHeight="1" x14ac:dyDescent="0.25">
      <c r="B189" s="1"/>
      <c r="C189" s="108">
        <v>44</v>
      </c>
      <c r="D189" s="101"/>
      <c r="E189" s="101"/>
      <c r="F189" s="101"/>
      <c r="G189" s="101"/>
      <c r="H189" s="101"/>
      <c r="I189" s="101"/>
      <c r="J189" s="99"/>
      <c r="K189" s="2"/>
    </row>
    <row r="190" spans="2:11" ht="15" hidden="1" customHeight="1" x14ac:dyDescent="0.25">
      <c r="B190" s="1"/>
      <c r="C190" s="108">
        <v>45</v>
      </c>
      <c r="D190" s="101"/>
      <c r="E190" s="101"/>
      <c r="F190" s="101"/>
      <c r="G190" s="101"/>
      <c r="H190" s="101"/>
      <c r="I190" s="101"/>
      <c r="J190" s="99"/>
      <c r="K190" s="2"/>
    </row>
    <row r="191" spans="2:11" ht="15" hidden="1" customHeight="1" x14ac:dyDescent="0.25">
      <c r="B191" s="1"/>
      <c r="C191" s="108">
        <v>46</v>
      </c>
      <c r="D191" s="101"/>
      <c r="E191" s="101"/>
      <c r="F191" s="101"/>
      <c r="G191" s="101"/>
      <c r="H191" s="101"/>
      <c r="I191" s="101"/>
      <c r="J191" s="99"/>
      <c r="K191" s="2"/>
    </row>
    <row r="192" spans="2:11" ht="15" hidden="1" customHeight="1" x14ac:dyDescent="0.25">
      <c r="B192" s="1"/>
      <c r="C192" s="108">
        <v>47</v>
      </c>
      <c r="D192" s="101"/>
      <c r="E192" s="101"/>
      <c r="F192" s="101"/>
      <c r="G192" s="101"/>
      <c r="H192" s="101"/>
      <c r="I192" s="101"/>
      <c r="J192" s="99"/>
      <c r="K192" s="2"/>
    </row>
    <row r="193" spans="2:11" ht="15" hidden="1" customHeight="1" x14ac:dyDescent="0.25">
      <c r="B193" s="1"/>
      <c r="C193" s="108">
        <v>48</v>
      </c>
      <c r="D193" s="101"/>
      <c r="E193" s="101"/>
      <c r="F193" s="101"/>
      <c r="G193" s="101"/>
      <c r="H193" s="101"/>
      <c r="I193" s="101"/>
      <c r="J193" s="99"/>
      <c r="K193" s="2"/>
    </row>
    <row r="194" spans="2:11" ht="15" hidden="1" customHeight="1" x14ac:dyDescent="0.25">
      <c r="B194" s="1"/>
      <c r="C194" s="108">
        <v>49</v>
      </c>
      <c r="D194" s="101"/>
      <c r="E194" s="101"/>
      <c r="F194" s="101"/>
      <c r="G194" s="101"/>
      <c r="H194" s="101"/>
      <c r="I194" s="101"/>
      <c r="J194" s="99"/>
      <c r="K194" s="2"/>
    </row>
    <row r="195" spans="2:11" ht="15" hidden="1" customHeight="1" x14ac:dyDescent="0.25">
      <c r="B195" s="1"/>
      <c r="C195" s="108">
        <v>50</v>
      </c>
      <c r="D195" s="101"/>
      <c r="E195" s="101"/>
      <c r="F195" s="101"/>
      <c r="G195" s="101"/>
      <c r="H195" s="101"/>
      <c r="I195" s="101"/>
      <c r="J195" s="99"/>
      <c r="K195" s="2"/>
    </row>
    <row r="196" spans="2:11" ht="15" hidden="1" customHeight="1" x14ac:dyDescent="0.25">
      <c r="B196" s="1"/>
      <c r="C196" s="94"/>
      <c r="D196" s="94"/>
      <c r="E196" s="94"/>
      <c r="F196" s="94"/>
      <c r="G196" s="94"/>
      <c r="H196" s="94"/>
      <c r="I196" s="94"/>
      <c r="J196" s="94"/>
      <c r="K196" s="2"/>
    </row>
    <row r="197" spans="2:11" ht="20.100000000000001" hidden="1" customHeight="1" x14ac:dyDescent="0.25">
      <c r="B197" s="10"/>
      <c r="C197" s="118" t="s">
        <v>32</v>
      </c>
      <c r="D197" s="118"/>
      <c r="E197" s="118"/>
      <c r="F197" s="118"/>
      <c r="G197" s="118"/>
      <c r="H197" s="118"/>
      <c r="I197" s="118"/>
      <c r="J197" s="118"/>
      <c r="K197" s="11"/>
    </row>
    <row r="198" spans="2:11" ht="15" hidden="1" customHeight="1" x14ac:dyDescent="0.25">
      <c r="B198" s="1"/>
      <c r="C198" s="94"/>
      <c r="D198" s="94"/>
      <c r="E198" s="94"/>
      <c r="F198" s="94"/>
      <c r="G198" s="94"/>
      <c r="H198" s="94"/>
      <c r="I198" s="94"/>
      <c r="J198" s="94"/>
      <c r="K198" s="2"/>
    </row>
    <row r="199" spans="2:11" ht="15" hidden="1" customHeight="1" x14ac:dyDescent="0.25">
      <c r="B199" s="1"/>
      <c r="C199" s="94" t="s">
        <v>18</v>
      </c>
      <c r="D199" s="94"/>
      <c r="E199" s="94"/>
      <c r="F199" s="94"/>
      <c r="G199" s="94"/>
      <c r="H199" s="94"/>
      <c r="I199" s="94"/>
      <c r="J199" s="94"/>
      <c r="K199" s="2"/>
    </row>
    <row r="200" spans="2:11" ht="15" hidden="1" customHeight="1" x14ac:dyDescent="0.25">
      <c r="B200" s="1"/>
      <c r="C200" s="131" t="str">
        <f>IF(I.Facility.ComplianceYear="","",I.Facility.ComplianceYear)</f>
        <v/>
      </c>
      <c r="D200" s="132"/>
      <c r="E200" s="94"/>
      <c r="F200" s="94"/>
      <c r="G200" s="94"/>
      <c r="H200" s="94"/>
      <c r="I200" s="94"/>
      <c r="J200" s="94"/>
      <c r="K200" s="2"/>
    </row>
    <row r="201" spans="2:11" ht="15" hidden="1" customHeight="1" x14ac:dyDescent="0.25">
      <c r="B201" s="1"/>
      <c r="C201" s="94"/>
      <c r="D201" s="94"/>
      <c r="E201" s="94"/>
      <c r="F201" s="94"/>
      <c r="G201" s="94"/>
      <c r="H201" s="94"/>
      <c r="I201" s="94"/>
      <c r="J201" s="94"/>
      <c r="K201" s="2"/>
    </row>
    <row r="202" spans="2:11" ht="15" hidden="1" customHeight="1" x14ac:dyDescent="0.25">
      <c r="B202" s="1"/>
      <c r="C202" s="94" t="s">
        <v>108</v>
      </c>
      <c r="D202" s="94"/>
      <c r="E202" s="94"/>
      <c r="F202" s="94"/>
      <c r="G202" s="94"/>
      <c r="H202" s="94"/>
      <c r="I202" s="94"/>
      <c r="J202" s="94"/>
      <c r="K202" s="2"/>
    </row>
    <row r="203" spans="2:11" ht="15" hidden="1" customHeight="1" x14ac:dyDescent="0.25">
      <c r="B203" s="1"/>
      <c r="C203" s="134"/>
      <c r="D203" s="135"/>
      <c r="E203" s="94"/>
      <c r="F203" s="94"/>
      <c r="G203" s="94"/>
      <c r="H203" s="94"/>
      <c r="I203" s="94"/>
      <c r="J203" s="94"/>
      <c r="K203" s="2"/>
    </row>
    <row r="204" spans="2:11" ht="15" hidden="1" customHeight="1" x14ac:dyDescent="0.25">
      <c r="B204" s="1"/>
      <c r="C204" s="94"/>
      <c r="D204" s="94"/>
      <c r="E204" s="94"/>
      <c r="F204" s="94"/>
      <c r="G204" s="94"/>
      <c r="H204" s="94"/>
      <c r="I204" s="94"/>
      <c r="J204" s="94"/>
      <c r="K204" s="2"/>
    </row>
    <row r="205" spans="2:11" ht="15" hidden="1" customHeight="1" x14ac:dyDescent="0.25">
      <c r="B205" s="1"/>
      <c r="C205" s="128" t="s">
        <v>109</v>
      </c>
      <c r="D205" s="125" t="s">
        <v>110</v>
      </c>
      <c r="E205" s="125" t="s">
        <v>111</v>
      </c>
      <c r="F205" s="125" t="s">
        <v>112</v>
      </c>
      <c r="G205" s="125" t="s">
        <v>113</v>
      </c>
      <c r="H205" s="125" t="s">
        <v>114</v>
      </c>
      <c r="I205" s="125" t="s">
        <v>115</v>
      </c>
      <c r="J205" s="125" t="s">
        <v>116</v>
      </c>
      <c r="K205" s="2"/>
    </row>
    <row r="206" spans="2:11" ht="15" hidden="1" customHeight="1" x14ac:dyDescent="0.25">
      <c r="B206" s="1"/>
      <c r="C206" s="129"/>
      <c r="D206" s="126"/>
      <c r="E206" s="126"/>
      <c r="F206" s="126"/>
      <c r="G206" s="126"/>
      <c r="H206" s="126"/>
      <c r="I206" s="126"/>
      <c r="J206" s="126"/>
      <c r="K206" s="2"/>
    </row>
    <row r="207" spans="2:11" ht="15" hidden="1" customHeight="1" x14ac:dyDescent="0.25">
      <c r="B207" s="1"/>
      <c r="C207" s="129"/>
      <c r="D207" s="126"/>
      <c r="E207" s="126"/>
      <c r="F207" s="126"/>
      <c r="G207" s="126"/>
      <c r="H207" s="126"/>
      <c r="I207" s="126"/>
      <c r="J207" s="126"/>
      <c r="K207" s="2"/>
    </row>
    <row r="208" spans="2:11" ht="15" hidden="1" customHeight="1" x14ac:dyDescent="0.35">
      <c r="B208" s="1"/>
      <c r="C208" s="130"/>
      <c r="D208" s="109" t="s">
        <v>117</v>
      </c>
      <c r="E208" s="109" t="s">
        <v>117</v>
      </c>
      <c r="F208" s="109" t="s">
        <v>118</v>
      </c>
      <c r="G208" s="110" t="s">
        <v>119</v>
      </c>
      <c r="H208" s="111" t="s">
        <v>120</v>
      </c>
      <c r="I208" s="111" t="s">
        <v>121</v>
      </c>
      <c r="J208" s="112" t="s">
        <v>122</v>
      </c>
      <c r="K208" s="2"/>
    </row>
    <row r="209" spans="2:11" ht="15" hidden="1" customHeight="1" x14ac:dyDescent="0.25">
      <c r="B209" s="1"/>
      <c r="C209" s="108">
        <v>1</v>
      </c>
      <c r="D209" s="101"/>
      <c r="E209" s="101"/>
      <c r="F209" s="101"/>
      <c r="G209" s="101"/>
      <c r="H209" s="101"/>
      <c r="I209" s="101"/>
      <c r="J209" s="99"/>
      <c r="K209" s="2"/>
    </row>
    <row r="210" spans="2:11" ht="15" hidden="1" customHeight="1" x14ac:dyDescent="0.25">
      <c r="B210" s="1"/>
      <c r="C210" s="108">
        <v>2</v>
      </c>
      <c r="D210" s="101"/>
      <c r="E210" s="101"/>
      <c r="F210" s="101"/>
      <c r="G210" s="101"/>
      <c r="H210" s="101"/>
      <c r="I210" s="101"/>
      <c r="J210" s="99"/>
      <c r="K210" s="2"/>
    </row>
    <row r="211" spans="2:11" ht="15" hidden="1" customHeight="1" x14ac:dyDescent="0.25">
      <c r="B211" s="1"/>
      <c r="C211" s="108">
        <v>3</v>
      </c>
      <c r="D211" s="101"/>
      <c r="E211" s="101"/>
      <c r="F211" s="101"/>
      <c r="G211" s="101"/>
      <c r="H211" s="101"/>
      <c r="I211" s="101"/>
      <c r="J211" s="99"/>
      <c r="K211" s="2"/>
    </row>
    <row r="212" spans="2:11" ht="15" hidden="1" customHeight="1" x14ac:dyDescent="0.25">
      <c r="B212" s="1"/>
      <c r="C212" s="108">
        <v>4</v>
      </c>
      <c r="D212" s="101"/>
      <c r="E212" s="101"/>
      <c r="F212" s="101"/>
      <c r="G212" s="101"/>
      <c r="H212" s="101"/>
      <c r="I212" s="101"/>
      <c r="J212" s="99"/>
      <c r="K212" s="2"/>
    </row>
    <row r="213" spans="2:11" ht="15" hidden="1" customHeight="1" x14ac:dyDescent="0.25">
      <c r="B213" s="1"/>
      <c r="C213" s="108">
        <v>5</v>
      </c>
      <c r="D213" s="101"/>
      <c r="E213" s="101"/>
      <c r="F213" s="101"/>
      <c r="G213" s="101"/>
      <c r="H213" s="101"/>
      <c r="I213" s="101"/>
      <c r="J213" s="99"/>
      <c r="K213" s="2"/>
    </row>
    <row r="214" spans="2:11" ht="15" hidden="1" customHeight="1" x14ac:dyDescent="0.25">
      <c r="B214" s="1"/>
      <c r="C214" s="108">
        <v>6</v>
      </c>
      <c r="D214" s="101"/>
      <c r="E214" s="101"/>
      <c r="F214" s="101"/>
      <c r="G214" s="101"/>
      <c r="H214" s="101"/>
      <c r="I214" s="101"/>
      <c r="J214" s="99"/>
      <c r="K214" s="2"/>
    </row>
    <row r="215" spans="2:11" ht="15" hidden="1" customHeight="1" x14ac:dyDescent="0.25">
      <c r="B215" s="1"/>
      <c r="C215" s="108">
        <v>7</v>
      </c>
      <c r="D215" s="101"/>
      <c r="E215" s="101"/>
      <c r="F215" s="101"/>
      <c r="G215" s="101"/>
      <c r="H215" s="101"/>
      <c r="I215" s="101"/>
      <c r="J215" s="99"/>
      <c r="K215" s="2"/>
    </row>
    <row r="216" spans="2:11" ht="15" hidden="1" customHeight="1" x14ac:dyDescent="0.25">
      <c r="B216" s="1"/>
      <c r="C216" s="108">
        <v>8</v>
      </c>
      <c r="D216" s="101"/>
      <c r="E216" s="101"/>
      <c r="F216" s="101"/>
      <c r="G216" s="101"/>
      <c r="H216" s="101"/>
      <c r="I216" s="101"/>
      <c r="J216" s="99"/>
      <c r="K216" s="2"/>
    </row>
    <row r="217" spans="2:11" ht="15" hidden="1" customHeight="1" x14ac:dyDescent="0.25">
      <c r="B217" s="1"/>
      <c r="C217" s="108">
        <v>9</v>
      </c>
      <c r="D217" s="101"/>
      <c r="E217" s="101"/>
      <c r="F217" s="101"/>
      <c r="G217" s="101"/>
      <c r="H217" s="101"/>
      <c r="I217" s="101"/>
      <c r="J217" s="99"/>
      <c r="K217" s="2"/>
    </row>
    <row r="218" spans="2:11" ht="15" hidden="1" customHeight="1" x14ac:dyDescent="0.25">
      <c r="B218" s="1"/>
      <c r="C218" s="108">
        <v>10</v>
      </c>
      <c r="D218" s="101"/>
      <c r="E218" s="101"/>
      <c r="F218" s="101"/>
      <c r="G218" s="101"/>
      <c r="H218" s="101"/>
      <c r="I218" s="101"/>
      <c r="J218" s="99"/>
      <c r="K218" s="2"/>
    </row>
    <row r="219" spans="2:11" ht="15" hidden="1" customHeight="1" x14ac:dyDescent="0.25">
      <c r="B219" s="1"/>
      <c r="C219" s="108">
        <v>11</v>
      </c>
      <c r="D219" s="101"/>
      <c r="E219" s="101"/>
      <c r="F219" s="101"/>
      <c r="G219" s="101"/>
      <c r="H219" s="101"/>
      <c r="I219" s="101"/>
      <c r="J219" s="99"/>
      <c r="K219" s="2"/>
    </row>
    <row r="220" spans="2:11" ht="15" hidden="1" customHeight="1" x14ac:dyDescent="0.25">
      <c r="B220" s="1"/>
      <c r="C220" s="108">
        <v>12</v>
      </c>
      <c r="D220" s="101"/>
      <c r="E220" s="101"/>
      <c r="F220" s="101"/>
      <c r="G220" s="101"/>
      <c r="H220" s="101"/>
      <c r="I220" s="101"/>
      <c r="J220" s="99"/>
      <c r="K220" s="2"/>
    </row>
    <row r="221" spans="2:11" ht="15" hidden="1" customHeight="1" x14ac:dyDescent="0.25">
      <c r="B221" s="1"/>
      <c r="C221" s="108">
        <v>13</v>
      </c>
      <c r="D221" s="101"/>
      <c r="E221" s="101"/>
      <c r="F221" s="101"/>
      <c r="G221" s="101"/>
      <c r="H221" s="101"/>
      <c r="I221" s="101"/>
      <c r="J221" s="99"/>
      <c r="K221" s="2"/>
    </row>
    <row r="222" spans="2:11" ht="15" hidden="1" customHeight="1" x14ac:dyDescent="0.25">
      <c r="B222" s="1"/>
      <c r="C222" s="108">
        <v>14</v>
      </c>
      <c r="D222" s="101"/>
      <c r="E222" s="101"/>
      <c r="F222" s="101"/>
      <c r="G222" s="101"/>
      <c r="H222" s="101"/>
      <c r="I222" s="101"/>
      <c r="J222" s="99"/>
      <c r="K222" s="2"/>
    </row>
    <row r="223" spans="2:11" ht="15" hidden="1" customHeight="1" x14ac:dyDescent="0.25">
      <c r="B223" s="1"/>
      <c r="C223" s="108">
        <v>15</v>
      </c>
      <c r="D223" s="101"/>
      <c r="E223" s="101"/>
      <c r="F223" s="101"/>
      <c r="G223" s="101"/>
      <c r="H223" s="101"/>
      <c r="I223" s="101"/>
      <c r="J223" s="99"/>
      <c r="K223" s="2"/>
    </row>
    <row r="224" spans="2:11" ht="15" hidden="1" customHeight="1" x14ac:dyDescent="0.25">
      <c r="B224" s="1"/>
      <c r="C224" s="108">
        <v>16</v>
      </c>
      <c r="D224" s="101"/>
      <c r="E224" s="101"/>
      <c r="F224" s="101"/>
      <c r="G224" s="101"/>
      <c r="H224" s="101"/>
      <c r="I224" s="101"/>
      <c r="J224" s="99"/>
      <c r="K224" s="2"/>
    </row>
    <row r="225" spans="2:11" ht="15" hidden="1" customHeight="1" x14ac:dyDescent="0.25">
      <c r="B225" s="1"/>
      <c r="C225" s="108">
        <v>17</v>
      </c>
      <c r="D225" s="101"/>
      <c r="E225" s="101"/>
      <c r="F225" s="101"/>
      <c r="G225" s="101"/>
      <c r="H225" s="101"/>
      <c r="I225" s="101"/>
      <c r="J225" s="99"/>
      <c r="K225" s="2"/>
    </row>
    <row r="226" spans="2:11" ht="15" hidden="1" customHeight="1" x14ac:dyDescent="0.25">
      <c r="B226" s="1"/>
      <c r="C226" s="108">
        <v>18</v>
      </c>
      <c r="D226" s="101"/>
      <c r="E226" s="101"/>
      <c r="F226" s="101"/>
      <c r="G226" s="101"/>
      <c r="H226" s="101"/>
      <c r="I226" s="101"/>
      <c r="J226" s="99"/>
      <c r="K226" s="2"/>
    </row>
    <row r="227" spans="2:11" ht="15" hidden="1" customHeight="1" x14ac:dyDescent="0.25">
      <c r="B227" s="1"/>
      <c r="C227" s="108">
        <v>19</v>
      </c>
      <c r="D227" s="101"/>
      <c r="E227" s="101"/>
      <c r="F227" s="101"/>
      <c r="G227" s="101"/>
      <c r="H227" s="101"/>
      <c r="I227" s="101"/>
      <c r="J227" s="99"/>
      <c r="K227" s="2"/>
    </row>
    <row r="228" spans="2:11" ht="15" hidden="1" customHeight="1" x14ac:dyDescent="0.25">
      <c r="B228" s="1"/>
      <c r="C228" s="108">
        <v>20</v>
      </c>
      <c r="D228" s="101"/>
      <c r="E228" s="101"/>
      <c r="F228" s="101"/>
      <c r="G228" s="101"/>
      <c r="H228" s="101"/>
      <c r="I228" s="101"/>
      <c r="J228" s="99"/>
      <c r="K228" s="2"/>
    </row>
    <row r="229" spans="2:11" ht="15" hidden="1" customHeight="1" x14ac:dyDescent="0.25">
      <c r="B229" s="1"/>
      <c r="C229" s="108">
        <v>21</v>
      </c>
      <c r="D229" s="101"/>
      <c r="E229" s="101"/>
      <c r="F229" s="101"/>
      <c r="G229" s="101"/>
      <c r="H229" s="101"/>
      <c r="I229" s="101"/>
      <c r="J229" s="99"/>
      <c r="K229" s="2"/>
    </row>
    <row r="230" spans="2:11" ht="15" hidden="1" customHeight="1" x14ac:dyDescent="0.25">
      <c r="B230" s="1"/>
      <c r="C230" s="108">
        <v>22</v>
      </c>
      <c r="D230" s="101"/>
      <c r="E230" s="101"/>
      <c r="F230" s="101"/>
      <c r="G230" s="101"/>
      <c r="H230" s="101"/>
      <c r="I230" s="101"/>
      <c r="J230" s="99"/>
      <c r="K230" s="2"/>
    </row>
    <row r="231" spans="2:11" ht="15" hidden="1" customHeight="1" x14ac:dyDescent="0.25">
      <c r="B231" s="1"/>
      <c r="C231" s="108">
        <v>23</v>
      </c>
      <c r="D231" s="101"/>
      <c r="E231" s="101"/>
      <c r="F231" s="101"/>
      <c r="G231" s="101"/>
      <c r="H231" s="101"/>
      <c r="I231" s="101"/>
      <c r="J231" s="99"/>
      <c r="K231" s="2"/>
    </row>
    <row r="232" spans="2:11" ht="15" hidden="1" customHeight="1" x14ac:dyDescent="0.25">
      <c r="B232" s="1"/>
      <c r="C232" s="108">
        <v>24</v>
      </c>
      <c r="D232" s="101"/>
      <c r="E232" s="101"/>
      <c r="F232" s="101"/>
      <c r="G232" s="101"/>
      <c r="H232" s="101"/>
      <c r="I232" s="101"/>
      <c r="J232" s="99"/>
      <c r="K232" s="2"/>
    </row>
    <row r="233" spans="2:11" ht="15" hidden="1" customHeight="1" x14ac:dyDescent="0.25">
      <c r="B233" s="1"/>
      <c r="C233" s="108">
        <v>25</v>
      </c>
      <c r="D233" s="101"/>
      <c r="E233" s="101"/>
      <c r="F233" s="101"/>
      <c r="G233" s="101"/>
      <c r="H233" s="101"/>
      <c r="I233" s="101"/>
      <c r="J233" s="99"/>
      <c r="K233" s="2"/>
    </row>
    <row r="234" spans="2:11" ht="15" hidden="1" customHeight="1" x14ac:dyDescent="0.25">
      <c r="B234" s="1"/>
      <c r="C234" s="108">
        <v>26</v>
      </c>
      <c r="D234" s="101"/>
      <c r="E234" s="101"/>
      <c r="F234" s="101"/>
      <c r="G234" s="101"/>
      <c r="H234" s="101"/>
      <c r="I234" s="101"/>
      <c r="J234" s="99"/>
      <c r="K234" s="2"/>
    </row>
    <row r="235" spans="2:11" ht="15" hidden="1" customHeight="1" x14ac:dyDescent="0.25">
      <c r="B235" s="1"/>
      <c r="C235" s="108">
        <v>27</v>
      </c>
      <c r="D235" s="101"/>
      <c r="E235" s="101"/>
      <c r="F235" s="101"/>
      <c r="G235" s="101"/>
      <c r="H235" s="101"/>
      <c r="I235" s="101"/>
      <c r="J235" s="99"/>
      <c r="K235" s="2"/>
    </row>
    <row r="236" spans="2:11" ht="15" hidden="1" customHeight="1" x14ac:dyDescent="0.25">
      <c r="B236" s="1"/>
      <c r="C236" s="108">
        <v>28</v>
      </c>
      <c r="D236" s="101"/>
      <c r="E236" s="101"/>
      <c r="F236" s="101"/>
      <c r="G236" s="101"/>
      <c r="H236" s="101"/>
      <c r="I236" s="101"/>
      <c r="J236" s="99"/>
      <c r="K236" s="2"/>
    </row>
    <row r="237" spans="2:11" ht="15" hidden="1" customHeight="1" x14ac:dyDescent="0.25">
      <c r="B237" s="1"/>
      <c r="C237" s="108">
        <v>29</v>
      </c>
      <c r="D237" s="101"/>
      <c r="E237" s="101"/>
      <c r="F237" s="101"/>
      <c r="G237" s="101"/>
      <c r="H237" s="101"/>
      <c r="I237" s="101"/>
      <c r="J237" s="99"/>
      <c r="K237" s="2"/>
    </row>
    <row r="238" spans="2:11" ht="15" hidden="1" customHeight="1" x14ac:dyDescent="0.25">
      <c r="B238" s="1"/>
      <c r="C238" s="108">
        <v>30</v>
      </c>
      <c r="D238" s="101"/>
      <c r="E238" s="101"/>
      <c r="F238" s="101"/>
      <c r="G238" s="101"/>
      <c r="H238" s="101"/>
      <c r="I238" s="101"/>
      <c r="J238" s="99"/>
      <c r="K238" s="2"/>
    </row>
    <row r="239" spans="2:11" ht="15" hidden="1" customHeight="1" x14ac:dyDescent="0.25">
      <c r="B239" s="1"/>
      <c r="C239" s="108">
        <v>31</v>
      </c>
      <c r="D239" s="101"/>
      <c r="E239" s="101"/>
      <c r="F239" s="101"/>
      <c r="G239" s="101"/>
      <c r="H239" s="101"/>
      <c r="I239" s="101"/>
      <c r="J239" s="99"/>
      <c r="K239" s="2"/>
    </row>
    <row r="240" spans="2:11" ht="15" hidden="1" customHeight="1" x14ac:dyDescent="0.25">
      <c r="B240" s="1"/>
      <c r="C240" s="108">
        <v>32</v>
      </c>
      <c r="D240" s="101"/>
      <c r="E240" s="101"/>
      <c r="F240" s="101"/>
      <c r="G240" s="101"/>
      <c r="H240" s="101"/>
      <c r="I240" s="101"/>
      <c r="J240" s="99"/>
      <c r="K240" s="2"/>
    </row>
    <row r="241" spans="2:11" ht="15" hidden="1" customHeight="1" x14ac:dyDescent="0.25">
      <c r="B241" s="1"/>
      <c r="C241" s="108">
        <v>33</v>
      </c>
      <c r="D241" s="101"/>
      <c r="E241" s="101"/>
      <c r="F241" s="101"/>
      <c r="G241" s="101"/>
      <c r="H241" s="101"/>
      <c r="I241" s="101"/>
      <c r="J241" s="99"/>
      <c r="K241" s="2"/>
    </row>
    <row r="242" spans="2:11" ht="15" hidden="1" customHeight="1" x14ac:dyDescent="0.25">
      <c r="B242" s="1"/>
      <c r="C242" s="108">
        <v>34</v>
      </c>
      <c r="D242" s="101"/>
      <c r="E242" s="101"/>
      <c r="F242" s="101"/>
      <c r="G242" s="101"/>
      <c r="H242" s="101"/>
      <c r="I242" s="101"/>
      <c r="J242" s="99"/>
      <c r="K242" s="2"/>
    </row>
    <row r="243" spans="2:11" ht="15" hidden="1" customHeight="1" x14ac:dyDescent="0.25">
      <c r="B243" s="1"/>
      <c r="C243" s="108">
        <v>35</v>
      </c>
      <c r="D243" s="101"/>
      <c r="E243" s="101"/>
      <c r="F243" s="101"/>
      <c r="G243" s="101"/>
      <c r="H243" s="101"/>
      <c r="I243" s="101"/>
      <c r="J243" s="99"/>
      <c r="K243" s="2"/>
    </row>
    <row r="244" spans="2:11" ht="15" hidden="1" customHeight="1" x14ac:dyDescent="0.25">
      <c r="B244" s="1"/>
      <c r="C244" s="108">
        <v>36</v>
      </c>
      <c r="D244" s="101"/>
      <c r="E244" s="101"/>
      <c r="F244" s="101"/>
      <c r="G244" s="101"/>
      <c r="H244" s="101"/>
      <c r="I244" s="101"/>
      <c r="J244" s="99"/>
      <c r="K244" s="2"/>
    </row>
    <row r="245" spans="2:11" ht="15" hidden="1" customHeight="1" x14ac:dyDescent="0.25">
      <c r="B245" s="1"/>
      <c r="C245" s="108">
        <v>37</v>
      </c>
      <c r="D245" s="101"/>
      <c r="E245" s="101"/>
      <c r="F245" s="101"/>
      <c r="G245" s="101"/>
      <c r="H245" s="101"/>
      <c r="I245" s="101"/>
      <c r="J245" s="99"/>
      <c r="K245" s="2"/>
    </row>
    <row r="246" spans="2:11" ht="15" hidden="1" customHeight="1" x14ac:dyDescent="0.25">
      <c r="B246" s="1"/>
      <c r="C246" s="108">
        <v>38</v>
      </c>
      <c r="D246" s="101"/>
      <c r="E246" s="101"/>
      <c r="F246" s="101"/>
      <c r="G246" s="101"/>
      <c r="H246" s="101"/>
      <c r="I246" s="101"/>
      <c r="J246" s="99"/>
      <c r="K246" s="2"/>
    </row>
    <row r="247" spans="2:11" ht="15" hidden="1" customHeight="1" x14ac:dyDescent="0.25">
      <c r="B247" s="1"/>
      <c r="C247" s="108">
        <v>39</v>
      </c>
      <c r="D247" s="101"/>
      <c r="E247" s="101"/>
      <c r="F247" s="101"/>
      <c r="G247" s="101"/>
      <c r="H247" s="101"/>
      <c r="I247" s="101"/>
      <c r="J247" s="99"/>
      <c r="K247" s="2"/>
    </row>
    <row r="248" spans="2:11" ht="15" hidden="1" customHeight="1" x14ac:dyDescent="0.25">
      <c r="B248" s="1"/>
      <c r="C248" s="108">
        <v>40</v>
      </c>
      <c r="D248" s="101"/>
      <c r="E248" s="101"/>
      <c r="F248" s="101"/>
      <c r="G248" s="101"/>
      <c r="H248" s="101"/>
      <c r="I248" s="101"/>
      <c r="J248" s="99"/>
      <c r="K248" s="2"/>
    </row>
    <row r="249" spans="2:11" ht="15" hidden="1" customHeight="1" x14ac:dyDescent="0.25">
      <c r="B249" s="1"/>
      <c r="C249" s="108">
        <v>41</v>
      </c>
      <c r="D249" s="101"/>
      <c r="E249" s="101"/>
      <c r="F249" s="101"/>
      <c r="G249" s="101"/>
      <c r="H249" s="101"/>
      <c r="I249" s="101"/>
      <c r="J249" s="99"/>
      <c r="K249" s="2"/>
    </row>
    <row r="250" spans="2:11" ht="15" hidden="1" customHeight="1" x14ac:dyDescent="0.25">
      <c r="B250" s="1"/>
      <c r="C250" s="108">
        <v>42</v>
      </c>
      <c r="D250" s="101"/>
      <c r="E250" s="101"/>
      <c r="F250" s="101"/>
      <c r="G250" s="101"/>
      <c r="H250" s="101"/>
      <c r="I250" s="101"/>
      <c r="J250" s="99"/>
      <c r="K250" s="2"/>
    </row>
    <row r="251" spans="2:11" ht="15" hidden="1" customHeight="1" x14ac:dyDescent="0.25">
      <c r="B251" s="1"/>
      <c r="C251" s="108">
        <v>43</v>
      </c>
      <c r="D251" s="101"/>
      <c r="E251" s="101"/>
      <c r="F251" s="101"/>
      <c r="G251" s="101"/>
      <c r="H251" s="101"/>
      <c r="I251" s="101"/>
      <c r="J251" s="99"/>
      <c r="K251" s="2"/>
    </row>
    <row r="252" spans="2:11" ht="15" hidden="1" customHeight="1" x14ac:dyDescent="0.25">
      <c r="B252" s="1"/>
      <c r="C252" s="108">
        <v>44</v>
      </c>
      <c r="D252" s="101"/>
      <c r="E252" s="101"/>
      <c r="F252" s="101"/>
      <c r="G252" s="101"/>
      <c r="H252" s="101"/>
      <c r="I252" s="101"/>
      <c r="J252" s="99"/>
      <c r="K252" s="2"/>
    </row>
    <row r="253" spans="2:11" ht="15" hidden="1" customHeight="1" x14ac:dyDescent="0.25">
      <c r="B253" s="1"/>
      <c r="C253" s="108">
        <v>45</v>
      </c>
      <c r="D253" s="101"/>
      <c r="E253" s="101"/>
      <c r="F253" s="101"/>
      <c r="G253" s="101"/>
      <c r="H253" s="101"/>
      <c r="I253" s="101"/>
      <c r="J253" s="99"/>
      <c r="K253" s="2"/>
    </row>
    <row r="254" spans="2:11" ht="15" hidden="1" customHeight="1" x14ac:dyDescent="0.25">
      <c r="B254" s="1"/>
      <c r="C254" s="108">
        <v>46</v>
      </c>
      <c r="D254" s="101"/>
      <c r="E254" s="101"/>
      <c r="F254" s="101"/>
      <c r="G254" s="101"/>
      <c r="H254" s="101"/>
      <c r="I254" s="101"/>
      <c r="J254" s="99"/>
      <c r="K254" s="2"/>
    </row>
    <row r="255" spans="2:11" ht="15" hidden="1" customHeight="1" x14ac:dyDescent="0.25">
      <c r="B255" s="1"/>
      <c r="C255" s="108">
        <v>47</v>
      </c>
      <c r="D255" s="101"/>
      <c r="E255" s="101"/>
      <c r="F255" s="101"/>
      <c r="G255" s="101"/>
      <c r="H255" s="101"/>
      <c r="I255" s="101"/>
      <c r="J255" s="99"/>
      <c r="K255" s="2"/>
    </row>
    <row r="256" spans="2:11" ht="15" hidden="1" customHeight="1" x14ac:dyDescent="0.25">
      <c r="B256" s="1"/>
      <c r="C256" s="108">
        <v>48</v>
      </c>
      <c r="D256" s="101"/>
      <c r="E256" s="101"/>
      <c r="F256" s="101"/>
      <c r="G256" s="101"/>
      <c r="H256" s="101"/>
      <c r="I256" s="101"/>
      <c r="J256" s="99"/>
      <c r="K256" s="2"/>
    </row>
    <row r="257" spans="2:11" ht="15" hidden="1" customHeight="1" x14ac:dyDescent="0.25">
      <c r="B257" s="1"/>
      <c r="C257" s="108">
        <v>49</v>
      </c>
      <c r="D257" s="101"/>
      <c r="E257" s="101"/>
      <c r="F257" s="101"/>
      <c r="G257" s="101"/>
      <c r="H257" s="101"/>
      <c r="I257" s="101"/>
      <c r="J257" s="99"/>
      <c r="K257" s="2"/>
    </row>
    <row r="258" spans="2:11" ht="15" hidden="1" customHeight="1" x14ac:dyDescent="0.25">
      <c r="B258" s="1"/>
      <c r="C258" s="108">
        <v>50</v>
      </c>
      <c r="D258" s="101"/>
      <c r="E258" s="101"/>
      <c r="F258" s="101"/>
      <c r="G258" s="101"/>
      <c r="H258" s="101"/>
      <c r="I258" s="101"/>
      <c r="J258" s="99"/>
      <c r="K258" s="2"/>
    </row>
    <row r="259" spans="2:11" ht="15" hidden="1" customHeight="1" x14ac:dyDescent="0.25">
      <c r="B259" s="1"/>
      <c r="C259" s="94"/>
      <c r="D259" s="94"/>
      <c r="E259" s="94"/>
      <c r="F259" s="94"/>
      <c r="G259" s="94"/>
      <c r="H259" s="94"/>
      <c r="I259" s="94"/>
      <c r="J259" s="94"/>
      <c r="K259" s="2"/>
    </row>
    <row r="260" spans="2:11" ht="20.100000000000001" hidden="1" customHeight="1" x14ac:dyDescent="0.25">
      <c r="B260" s="10"/>
      <c r="C260" s="118" t="s">
        <v>33</v>
      </c>
      <c r="D260" s="118"/>
      <c r="E260" s="118"/>
      <c r="F260" s="118"/>
      <c r="G260" s="118"/>
      <c r="H260" s="118"/>
      <c r="I260" s="118"/>
      <c r="J260" s="118"/>
      <c r="K260" s="11"/>
    </row>
    <row r="261" spans="2:11" ht="15" hidden="1" customHeight="1" x14ac:dyDescent="0.25">
      <c r="B261" s="1"/>
      <c r="C261" s="94"/>
      <c r="D261" s="94"/>
      <c r="E261" s="94"/>
      <c r="F261" s="94"/>
      <c r="G261" s="94"/>
      <c r="H261" s="94"/>
      <c r="I261" s="94"/>
      <c r="J261" s="94"/>
      <c r="K261" s="2"/>
    </row>
    <row r="262" spans="2:11" ht="15" hidden="1" customHeight="1" x14ac:dyDescent="0.25">
      <c r="B262" s="1"/>
      <c r="C262" s="94" t="s">
        <v>18</v>
      </c>
      <c r="D262" s="94"/>
      <c r="E262" s="94"/>
      <c r="F262" s="94"/>
      <c r="G262" s="94"/>
      <c r="H262" s="94"/>
      <c r="I262" s="94"/>
      <c r="J262" s="94"/>
      <c r="K262" s="2"/>
    </row>
    <row r="263" spans="2:11" ht="15" hidden="1" customHeight="1" x14ac:dyDescent="0.25">
      <c r="B263" s="1"/>
      <c r="C263" s="131" t="str">
        <f>IF(I.Facility.ComplianceYear="","",I.Facility.ComplianceYear)</f>
        <v/>
      </c>
      <c r="D263" s="132"/>
      <c r="E263" s="94"/>
      <c r="F263" s="94"/>
      <c r="G263" s="94"/>
      <c r="H263" s="94"/>
      <c r="I263" s="94"/>
      <c r="J263" s="94"/>
      <c r="K263" s="2"/>
    </row>
    <row r="264" spans="2:11" ht="15" hidden="1" customHeight="1" x14ac:dyDescent="0.25">
      <c r="B264" s="1"/>
      <c r="C264" s="94"/>
      <c r="D264" s="94"/>
      <c r="E264" s="94"/>
      <c r="F264" s="94"/>
      <c r="G264" s="94"/>
      <c r="H264" s="94"/>
      <c r="I264" s="94"/>
      <c r="J264" s="94"/>
      <c r="K264" s="2"/>
    </row>
    <row r="265" spans="2:11" ht="15" hidden="1" customHeight="1" x14ac:dyDescent="0.25">
      <c r="B265" s="1"/>
      <c r="C265" s="94" t="s">
        <v>108</v>
      </c>
      <c r="D265" s="94"/>
      <c r="E265" s="94"/>
      <c r="F265" s="94"/>
      <c r="G265" s="94"/>
      <c r="H265" s="94"/>
      <c r="I265" s="94"/>
      <c r="J265" s="94"/>
      <c r="K265" s="2"/>
    </row>
    <row r="266" spans="2:11" ht="15" hidden="1" customHeight="1" x14ac:dyDescent="0.25">
      <c r="B266" s="1"/>
      <c r="C266" s="134"/>
      <c r="D266" s="135"/>
      <c r="E266" s="94"/>
      <c r="F266" s="94"/>
      <c r="G266" s="94"/>
      <c r="H266" s="94"/>
      <c r="I266" s="94"/>
      <c r="J266" s="94"/>
      <c r="K266" s="2"/>
    </row>
    <row r="267" spans="2:11" ht="15" hidden="1" customHeight="1" x14ac:dyDescent="0.25">
      <c r="B267" s="1"/>
      <c r="C267" s="94"/>
      <c r="D267" s="94"/>
      <c r="E267" s="94"/>
      <c r="F267" s="94"/>
      <c r="G267" s="94"/>
      <c r="H267" s="94"/>
      <c r="I267" s="94"/>
      <c r="J267" s="94"/>
      <c r="K267" s="2"/>
    </row>
    <row r="268" spans="2:11" ht="15" hidden="1" customHeight="1" x14ac:dyDescent="0.25">
      <c r="B268" s="1"/>
      <c r="C268" s="128" t="s">
        <v>109</v>
      </c>
      <c r="D268" s="125" t="s">
        <v>110</v>
      </c>
      <c r="E268" s="125" t="s">
        <v>111</v>
      </c>
      <c r="F268" s="125" t="s">
        <v>112</v>
      </c>
      <c r="G268" s="125" t="s">
        <v>113</v>
      </c>
      <c r="H268" s="125" t="s">
        <v>114</v>
      </c>
      <c r="I268" s="125" t="s">
        <v>115</v>
      </c>
      <c r="J268" s="125" t="s">
        <v>116</v>
      </c>
      <c r="K268" s="2"/>
    </row>
    <row r="269" spans="2:11" ht="15" hidden="1" customHeight="1" x14ac:dyDescent="0.25">
      <c r="B269" s="1"/>
      <c r="C269" s="129"/>
      <c r="D269" s="126"/>
      <c r="E269" s="126"/>
      <c r="F269" s="126"/>
      <c r="G269" s="126"/>
      <c r="H269" s="126"/>
      <c r="I269" s="126"/>
      <c r="J269" s="126"/>
      <c r="K269" s="2"/>
    </row>
    <row r="270" spans="2:11" ht="15" hidden="1" customHeight="1" x14ac:dyDescent="0.25">
      <c r="B270" s="1"/>
      <c r="C270" s="129"/>
      <c r="D270" s="126"/>
      <c r="E270" s="126"/>
      <c r="F270" s="126"/>
      <c r="G270" s="126"/>
      <c r="H270" s="126"/>
      <c r="I270" s="126"/>
      <c r="J270" s="126"/>
      <c r="K270" s="2"/>
    </row>
    <row r="271" spans="2:11" ht="15" hidden="1" customHeight="1" x14ac:dyDescent="0.35">
      <c r="B271" s="1"/>
      <c r="C271" s="130"/>
      <c r="D271" s="109" t="s">
        <v>117</v>
      </c>
      <c r="E271" s="109" t="s">
        <v>117</v>
      </c>
      <c r="F271" s="109" t="s">
        <v>118</v>
      </c>
      <c r="G271" s="110" t="s">
        <v>119</v>
      </c>
      <c r="H271" s="111" t="s">
        <v>120</v>
      </c>
      <c r="I271" s="111" t="s">
        <v>121</v>
      </c>
      <c r="J271" s="112" t="s">
        <v>122</v>
      </c>
      <c r="K271" s="2"/>
    </row>
    <row r="272" spans="2:11" ht="15" hidden="1" customHeight="1" x14ac:dyDescent="0.25">
      <c r="B272" s="1"/>
      <c r="C272" s="108">
        <v>1</v>
      </c>
      <c r="D272" s="101"/>
      <c r="E272" s="101"/>
      <c r="F272" s="101"/>
      <c r="G272" s="101"/>
      <c r="H272" s="101"/>
      <c r="I272" s="101"/>
      <c r="J272" s="99"/>
      <c r="K272" s="2"/>
    </row>
    <row r="273" spans="2:11" ht="15" hidden="1" customHeight="1" x14ac:dyDescent="0.25">
      <c r="B273" s="1"/>
      <c r="C273" s="108">
        <v>2</v>
      </c>
      <c r="D273" s="101"/>
      <c r="E273" s="101"/>
      <c r="F273" s="101"/>
      <c r="G273" s="101"/>
      <c r="H273" s="101"/>
      <c r="I273" s="101"/>
      <c r="J273" s="99"/>
      <c r="K273" s="2"/>
    </row>
    <row r="274" spans="2:11" ht="15" hidden="1" customHeight="1" x14ac:dyDescent="0.25">
      <c r="B274" s="1"/>
      <c r="C274" s="108">
        <v>3</v>
      </c>
      <c r="D274" s="101"/>
      <c r="E274" s="101"/>
      <c r="F274" s="101"/>
      <c r="G274" s="101"/>
      <c r="H274" s="101"/>
      <c r="I274" s="101"/>
      <c r="J274" s="99"/>
      <c r="K274" s="2"/>
    </row>
    <row r="275" spans="2:11" ht="15" hidden="1" customHeight="1" x14ac:dyDescent="0.25">
      <c r="B275" s="1"/>
      <c r="C275" s="108">
        <v>4</v>
      </c>
      <c r="D275" s="101"/>
      <c r="E275" s="101"/>
      <c r="F275" s="101"/>
      <c r="G275" s="101"/>
      <c r="H275" s="101"/>
      <c r="I275" s="101"/>
      <c r="J275" s="99"/>
      <c r="K275" s="2"/>
    </row>
    <row r="276" spans="2:11" ht="15" hidden="1" customHeight="1" x14ac:dyDescent="0.25">
      <c r="B276" s="1"/>
      <c r="C276" s="108">
        <v>5</v>
      </c>
      <c r="D276" s="101"/>
      <c r="E276" s="101"/>
      <c r="F276" s="101"/>
      <c r="G276" s="101"/>
      <c r="H276" s="101"/>
      <c r="I276" s="101"/>
      <c r="J276" s="99"/>
      <c r="K276" s="2"/>
    </row>
    <row r="277" spans="2:11" ht="15" hidden="1" customHeight="1" x14ac:dyDescent="0.25">
      <c r="B277" s="1"/>
      <c r="C277" s="108">
        <v>6</v>
      </c>
      <c r="D277" s="101"/>
      <c r="E277" s="101"/>
      <c r="F277" s="101"/>
      <c r="G277" s="101"/>
      <c r="H277" s="101"/>
      <c r="I277" s="101"/>
      <c r="J277" s="99"/>
      <c r="K277" s="2"/>
    </row>
    <row r="278" spans="2:11" ht="15" hidden="1" customHeight="1" x14ac:dyDescent="0.25">
      <c r="B278" s="1"/>
      <c r="C278" s="108">
        <v>7</v>
      </c>
      <c r="D278" s="101"/>
      <c r="E278" s="101"/>
      <c r="F278" s="101"/>
      <c r="G278" s="101"/>
      <c r="H278" s="101"/>
      <c r="I278" s="101"/>
      <c r="J278" s="99"/>
      <c r="K278" s="2"/>
    </row>
    <row r="279" spans="2:11" ht="15" hidden="1" customHeight="1" x14ac:dyDescent="0.25">
      <c r="B279" s="1"/>
      <c r="C279" s="108">
        <v>8</v>
      </c>
      <c r="D279" s="101"/>
      <c r="E279" s="101"/>
      <c r="F279" s="101"/>
      <c r="G279" s="101"/>
      <c r="H279" s="101"/>
      <c r="I279" s="101"/>
      <c r="J279" s="99"/>
      <c r="K279" s="2"/>
    </row>
    <row r="280" spans="2:11" ht="15" hidden="1" customHeight="1" x14ac:dyDescent="0.25">
      <c r="B280" s="1"/>
      <c r="C280" s="108">
        <v>9</v>
      </c>
      <c r="D280" s="101"/>
      <c r="E280" s="101"/>
      <c r="F280" s="101"/>
      <c r="G280" s="101"/>
      <c r="H280" s="101"/>
      <c r="I280" s="101"/>
      <c r="J280" s="99"/>
      <c r="K280" s="2"/>
    </row>
    <row r="281" spans="2:11" ht="15" hidden="1" customHeight="1" x14ac:dyDescent="0.25">
      <c r="B281" s="1"/>
      <c r="C281" s="108">
        <v>10</v>
      </c>
      <c r="D281" s="101"/>
      <c r="E281" s="101"/>
      <c r="F281" s="101"/>
      <c r="G281" s="101"/>
      <c r="H281" s="101"/>
      <c r="I281" s="101"/>
      <c r="J281" s="99"/>
      <c r="K281" s="2"/>
    </row>
    <row r="282" spans="2:11" ht="15" hidden="1" customHeight="1" x14ac:dyDescent="0.25">
      <c r="B282" s="1"/>
      <c r="C282" s="108">
        <v>11</v>
      </c>
      <c r="D282" s="101"/>
      <c r="E282" s="101"/>
      <c r="F282" s="101"/>
      <c r="G282" s="101"/>
      <c r="H282" s="101"/>
      <c r="I282" s="101"/>
      <c r="J282" s="99"/>
      <c r="K282" s="2"/>
    </row>
    <row r="283" spans="2:11" ht="15" hidden="1" customHeight="1" x14ac:dyDescent="0.25">
      <c r="B283" s="1"/>
      <c r="C283" s="108">
        <v>12</v>
      </c>
      <c r="D283" s="101"/>
      <c r="E283" s="101"/>
      <c r="F283" s="101"/>
      <c r="G283" s="101"/>
      <c r="H283" s="101"/>
      <c r="I283" s="101"/>
      <c r="J283" s="99"/>
      <c r="K283" s="2"/>
    </row>
    <row r="284" spans="2:11" ht="15" hidden="1" customHeight="1" x14ac:dyDescent="0.25">
      <c r="B284" s="1"/>
      <c r="C284" s="108">
        <v>13</v>
      </c>
      <c r="D284" s="101"/>
      <c r="E284" s="101"/>
      <c r="F284" s="101"/>
      <c r="G284" s="101"/>
      <c r="H284" s="101"/>
      <c r="I284" s="101"/>
      <c r="J284" s="99"/>
      <c r="K284" s="2"/>
    </row>
    <row r="285" spans="2:11" ht="15" hidden="1" customHeight="1" x14ac:dyDescent="0.25">
      <c r="B285" s="1"/>
      <c r="C285" s="108">
        <v>14</v>
      </c>
      <c r="D285" s="101"/>
      <c r="E285" s="101"/>
      <c r="F285" s="101"/>
      <c r="G285" s="101"/>
      <c r="H285" s="101"/>
      <c r="I285" s="101"/>
      <c r="J285" s="99"/>
      <c r="K285" s="2"/>
    </row>
    <row r="286" spans="2:11" ht="15" hidden="1" customHeight="1" x14ac:dyDescent="0.25">
      <c r="B286" s="1"/>
      <c r="C286" s="108">
        <v>15</v>
      </c>
      <c r="D286" s="101"/>
      <c r="E286" s="101"/>
      <c r="F286" s="101"/>
      <c r="G286" s="101"/>
      <c r="H286" s="101"/>
      <c r="I286" s="101"/>
      <c r="J286" s="99"/>
      <c r="K286" s="2"/>
    </row>
    <row r="287" spans="2:11" ht="15" hidden="1" customHeight="1" x14ac:dyDescent="0.25">
      <c r="B287" s="1"/>
      <c r="C287" s="108">
        <v>16</v>
      </c>
      <c r="D287" s="101"/>
      <c r="E287" s="101"/>
      <c r="F287" s="101"/>
      <c r="G287" s="101"/>
      <c r="H287" s="101"/>
      <c r="I287" s="101"/>
      <c r="J287" s="99"/>
      <c r="K287" s="2"/>
    </row>
    <row r="288" spans="2:11" ht="15" hidden="1" customHeight="1" x14ac:dyDescent="0.25">
      <c r="B288" s="1"/>
      <c r="C288" s="108">
        <v>17</v>
      </c>
      <c r="D288" s="101"/>
      <c r="E288" s="101"/>
      <c r="F288" s="101"/>
      <c r="G288" s="101"/>
      <c r="H288" s="101"/>
      <c r="I288" s="101"/>
      <c r="J288" s="99"/>
      <c r="K288" s="2"/>
    </row>
    <row r="289" spans="2:11" ht="15" hidden="1" customHeight="1" x14ac:dyDescent="0.25">
      <c r="B289" s="1"/>
      <c r="C289" s="108">
        <v>18</v>
      </c>
      <c r="D289" s="101"/>
      <c r="E289" s="101"/>
      <c r="F289" s="101"/>
      <c r="G289" s="101"/>
      <c r="H289" s="101"/>
      <c r="I289" s="101"/>
      <c r="J289" s="99"/>
      <c r="K289" s="2"/>
    </row>
    <row r="290" spans="2:11" ht="15" hidden="1" customHeight="1" x14ac:dyDescent="0.25">
      <c r="B290" s="1"/>
      <c r="C290" s="108">
        <v>19</v>
      </c>
      <c r="D290" s="101"/>
      <c r="E290" s="101"/>
      <c r="F290" s="101"/>
      <c r="G290" s="101"/>
      <c r="H290" s="101"/>
      <c r="I290" s="101"/>
      <c r="J290" s="99"/>
      <c r="K290" s="2"/>
    </row>
    <row r="291" spans="2:11" ht="15" hidden="1" customHeight="1" x14ac:dyDescent="0.25">
      <c r="B291" s="1"/>
      <c r="C291" s="108">
        <v>20</v>
      </c>
      <c r="D291" s="101"/>
      <c r="E291" s="101"/>
      <c r="F291" s="101"/>
      <c r="G291" s="101"/>
      <c r="H291" s="101"/>
      <c r="I291" s="101"/>
      <c r="J291" s="99"/>
      <c r="K291" s="2"/>
    </row>
    <row r="292" spans="2:11" ht="15" hidden="1" customHeight="1" x14ac:dyDescent="0.25">
      <c r="B292" s="1"/>
      <c r="C292" s="108">
        <v>21</v>
      </c>
      <c r="D292" s="101"/>
      <c r="E292" s="101"/>
      <c r="F292" s="101"/>
      <c r="G292" s="101"/>
      <c r="H292" s="101"/>
      <c r="I292" s="101"/>
      <c r="J292" s="99"/>
      <c r="K292" s="2"/>
    </row>
    <row r="293" spans="2:11" ht="15" hidden="1" customHeight="1" x14ac:dyDescent="0.25">
      <c r="B293" s="1"/>
      <c r="C293" s="108">
        <v>22</v>
      </c>
      <c r="D293" s="101"/>
      <c r="E293" s="101"/>
      <c r="F293" s="101"/>
      <c r="G293" s="101"/>
      <c r="H293" s="101"/>
      <c r="I293" s="101"/>
      <c r="J293" s="99"/>
      <c r="K293" s="2"/>
    </row>
    <row r="294" spans="2:11" ht="15" hidden="1" customHeight="1" x14ac:dyDescent="0.25">
      <c r="B294" s="1"/>
      <c r="C294" s="108">
        <v>23</v>
      </c>
      <c r="D294" s="101"/>
      <c r="E294" s="101"/>
      <c r="F294" s="101"/>
      <c r="G294" s="101"/>
      <c r="H294" s="101"/>
      <c r="I294" s="101"/>
      <c r="J294" s="99"/>
      <c r="K294" s="2"/>
    </row>
    <row r="295" spans="2:11" ht="15" hidden="1" customHeight="1" x14ac:dyDescent="0.25">
      <c r="B295" s="1"/>
      <c r="C295" s="108">
        <v>24</v>
      </c>
      <c r="D295" s="101"/>
      <c r="E295" s="101"/>
      <c r="F295" s="101"/>
      <c r="G295" s="101"/>
      <c r="H295" s="101"/>
      <c r="I295" s="101"/>
      <c r="J295" s="99"/>
      <c r="K295" s="2"/>
    </row>
    <row r="296" spans="2:11" ht="15" hidden="1" customHeight="1" x14ac:dyDescent="0.25">
      <c r="B296" s="1"/>
      <c r="C296" s="108">
        <v>25</v>
      </c>
      <c r="D296" s="101"/>
      <c r="E296" s="101"/>
      <c r="F296" s="101"/>
      <c r="G296" s="101"/>
      <c r="H296" s="101"/>
      <c r="I296" s="101"/>
      <c r="J296" s="99"/>
      <c r="K296" s="2"/>
    </row>
    <row r="297" spans="2:11" ht="15" hidden="1" customHeight="1" x14ac:dyDescent="0.25">
      <c r="B297" s="1"/>
      <c r="C297" s="108">
        <v>26</v>
      </c>
      <c r="D297" s="101"/>
      <c r="E297" s="101"/>
      <c r="F297" s="101"/>
      <c r="G297" s="101"/>
      <c r="H297" s="101"/>
      <c r="I297" s="101"/>
      <c r="J297" s="99"/>
      <c r="K297" s="2"/>
    </row>
    <row r="298" spans="2:11" ht="15" hidden="1" customHeight="1" x14ac:dyDescent="0.25">
      <c r="B298" s="1"/>
      <c r="C298" s="108">
        <v>27</v>
      </c>
      <c r="D298" s="101"/>
      <c r="E298" s="101"/>
      <c r="F298" s="101"/>
      <c r="G298" s="101"/>
      <c r="H298" s="101"/>
      <c r="I298" s="101"/>
      <c r="J298" s="99"/>
      <c r="K298" s="2"/>
    </row>
    <row r="299" spans="2:11" ht="15" hidden="1" customHeight="1" x14ac:dyDescent="0.25">
      <c r="B299" s="1"/>
      <c r="C299" s="108">
        <v>28</v>
      </c>
      <c r="D299" s="101"/>
      <c r="E299" s="101"/>
      <c r="F299" s="101"/>
      <c r="G299" s="101"/>
      <c r="H299" s="101"/>
      <c r="I299" s="101"/>
      <c r="J299" s="99"/>
      <c r="K299" s="2"/>
    </row>
    <row r="300" spans="2:11" ht="15" hidden="1" customHeight="1" x14ac:dyDescent="0.25">
      <c r="B300" s="1"/>
      <c r="C300" s="108">
        <v>29</v>
      </c>
      <c r="D300" s="101"/>
      <c r="E300" s="101"/>
      <c r="F300" s="101"/>
      <c r="G300" s="101"/>
      <c r="H300" s="101"/>
      <c r="I300" s="101"/>
      <c r="J300" s="99"/>
      <c r="K300" s="2"/>
    </row>
    <row r="301" spans="2:11" ht="15" hidden="1" customHeight="1" x14ac:dyDescent="0.25">
      <c r="B301" s="1"/>
      <c r="C301" s="108">
        <v>30</v>
      </c>
      <c r="D301" s="101"/>
      <c r="E301" s="101"/>
      <c r="F301" s="101"/>
      <c r="G301" s="101"/>
      <c r="H301" s="101"/>
      <c r="I301" s="101"/>
      <c r="J301" s="99"/>
      <c r="K301" s="2"/>
    </row>
    <row r="302" spans="2:11" ht="15" hidden="1" customHeight="1" x14ac:dyDescent="0.25">
      <c r="B302" s="1"/>
      <c r="C302" s="108">
        <v>31</v>
      </c>
      <c r="D302" s="101"/>
      <c r="E302" s="101"/>
      <c r="F302" s="101"/>
      <c r="G302" s="101"/>
      <c r="H302" s="101"/>
      <c r="I302" s="101"/>
      <c r="J302" s="99"/>
      <c r="K302" s="2"/>
    </row>
    <row r="303" spans="2:11" ht="15" hidden="1" customHeight="1" x14ac:dyDescent="0.25">
      <c r="B303" s="1"/>
      <c r="C303" s="108">
        <v>32</v>
      </c>
      <c r="D303" s="101"/>
      <c r="E303" s="101"/>
      <c r="F303" s="101"/>
      <c r="G303" s="101"/>
      <c r="H303" s="101"/>
      <c r="I303" s="101"/>
      <c r="J303" s="99"/>
      <c r="K303" s="2"/>
    </row>
    <row r="304" spans="2:11" ht="15" hidden="1" customHeight="1" x14ac:dyDescent="0.25">
      <c r="B304" s="1"/>
      <c r="C304" s="108">
        <v>33</v>
      </c>
      <c r="D304" s="101"/>
      <c r="E304" s="101"/>
      <c r="F304" s="101"/>
      <c r="G304" s="101"/>
      <c r="H304" s="101"/>
      <c r="I304" s="101"/>
      <c r="J304" s="99"/>
      <c r="K304" s="2"/>
    </row>
    <row r="305" spans="2:11" ht="15" hidden="1" customHeight="1" x14ac:dyDescent="0.25">
      <c r="B305" s="1"/>
      <c r="C305" s="108">
        <v>34</v>
      </c>
      <c r="D305" s="101"/>
      <c r="E305" s="101"/>
      <c r="F305" s="101"/>
      <c r="G305" s="101"/>
      <c r="H305" s="101"/>
      <c r="I305" s="101"/>
      <c r="J305" s="99"/>
      <c r="K305" s="2"/>
    </row>
    <row r="306" spans="2:11" ht="15" hidden="1" customHeight="1" x14ac:dyDescent="0.25">
      <c r="B306" s="1"/>
      <c r="C306" s="108">
        <v>35</v>
      </c>
      <c r="D306" s="101"/>
      <c r="E306" s="101"/>
      <c r="F306" s="101"/>
      <c r="G306" s="101"/>
      <c r="H306" s="101"/>
      <c r="I306" s="101"/>
      <c r="J306" s="99"/>
      <c r="K306" s="2"/>
    </row>
    <row r="307" spans="2:11" ht="15" hidden="1" customHeight="1" x14ac:dyDescent="0.25">
      <c r="B307" s="1"/>
      <c r="C307" s="108">
        <v>36</v>
      </c>
      <c r="D307" s="101"/>
      <c r="E307" s="101"/>
      <c r="F307" s="101"/>
      <c r="G307" s="101"/>
      <c r="H307" s="101"/>
      <c r="I307" s="101"/>
      <c r="J307" s="99"/>
      <c r="K307" s="2"/>
    </row>
    <row r="308" spans="2:11" ht="15" hidden="1" customHeight="1" x14ac:dyDescent="0.25">
      <c r="B308" s="1"/>
      <c r="C308" s="108">
        <v>37</v>
      </c>
      <c r="D308" s="101"/>
      <c r="E308" s="101"/>
      <c r="F308" s="101"/>
      <c r="G308" s="101"/>
      <c r="H308" s="101"/>
      <c r="I308" s="101"/>
      <c r="J308" s="99"/>
      <c r="K308" s="2"/>
    </row>
    <row r="309" spans="2:11" ht="15" hidden="1" customHeight="1" x14ac:dyDescent="0.25">
      <c r="B309" s="1"/>
      <c r="C309" s="108">
        <v>38</v>
      </c>
      <c r="D309" s="101"/>
      <c r="E309" s="101"/>
      <c r="F309" s="101"/>
      <c r="G309" s="101"/>
      <c r="H309" s="101"/>
      <c r="I309" s="101"/>
      <c r="J309" s="99"/>
      <c r="K309" s="2"/>
    </row>
    <row r="310" spans="2:11" ht="15" hidden="1" customHeight="1" x14ac:dyDescent="0.25">
      <c r="B310" s="1"/>
      <c r="C310" s="108">
        <v>39</v>
      </c>
      <c r="D310" s="101"/>
      <c r="E310" s="101"/>
      <c r="F310" s="101"/>
      <c r="G310" s="101"/>
      <c r="H310" s="101"/>
      <c r="I310" s="101"/>
      <c r="J310" s="99"/>
      <c r="K310" s="2"/>
    </row>
    <row r="311" spans="2:11" ht="15" hidden="1" customHeight="1" x14ac:dyDescent="0.25">
      <c r="B311" s="1"/>
      <c r="C311" s="108">
        <v>40</v>
      </c>
      <c r="D311" s="101"/>
      <c r="E311" s="101"/>
      <c r="F311" s="101"/>
      <c r="G311" s="101"/>
      <c r="H311" s="101"/>
      <c r="I311" s="101"/>
      <c r="J311" s="99"/>
      <c r="K311" s="2"/>
    </row>
    <row r="312" spans="2:11" ht="15" hidden="1" customHeight="1" x14ac:dyDescent="0.25">
      <c r="B312" s="1"/>
      <c r="C312" s="108">
        <v>41</v>
      </c>
      <c r="D312" s="101"/>
      <c r="E312" s="101"/>
      <c r="F312" s="101"/>
      <c r="G312" s="101"/>
      <c r="H312" s="101"/>
      <c r="I312" s="101"/>
      <c r="J312" s="99"/>
      <c r="K312" s="2"/>
    </row>
    <row r="313" spans="2:11" ht="15" hidden="1" customHeight="1" x14ac:dyDescent="0.25">
      <c r="B313" s="1"/>
      <c r="C313" s="108">
        <v>42</v>
      </c>
      <c r="D313" s="101"/>
      <c r="E313" s="101"/>
      <c r="F313" s="101"/>
      <c r="G313" s="101"/>
      <c r="H313" s="101"/>
      <c r="I313" s="101"/>
      <c r="J313" s="99"/>
      <c r="K313" s="2"/>
    </row>
    <row r="314" spans="2:11" ht="15" hidden="1" customHeight="1" x14ac:dyDescent="0.25">
      <c r="B314" s="1"/>
      <c r="C314" s="108">
        <v>43</v>
      </c>
      <c r="D314" s="101"/>
      <c r="E314" s="101"/>
      <c r="F314" s="101"/>
      <c r="G314" s="101"/>
      <c r="H314" s="101"/>
      <c r="I314" s="101"/>
      <c r="J314" s="99"/>
      <c r="K314" s="2"/>
    </row>
    <row r="315" spans="2:11" ht="15" hidden="1" customHeight="1" x14ac:dyDescent="0.25">
      <c r="B315" s="1"/>
      <c r="C315" s="108">
        <v>44</v>
      </c>
      <c r="D315" s="101"/>
      <c r="E315" s="101"/>
      <c r="F315" s="101"/>
      <c r="G315" s="101"/>
      <c r="H315" s="101"/>
      <c r="I315" s="101"/>
      <c r="J315" s="99"/>
      <c r="K315" s="2"/>
    </row>
    <row r="316" spans="2:11" ht="15" hidden="1" customHeight="1" x14ac:dyDescent="0.25">
      <c r="B316" s="1"/>
      <c r="C316" s="108">
        <v>45</v>
      </c>
      <c r="D316" s="101"/>
      <c r="E316" s="101"/>
      <c r="F316" s="101"/>
      <c r="G316" s="101"/>
      <c r="H316" s="101"/>
      <c r="I316" s="101"/>
      <c r="J316" s="99"/>
      <c r="K316" s="2"/>
    </row>
    <row r="317" spans="2:11" ht="15" hidden="1" customHeight="1" x14ac:dyDescent="0.25">
      <c r="B317" s="1"/>
      <c r="C317" s="108">
        <v>46</v>
      </c>
      <c r="D317" s="101"/>
      <c r="E317" s="101"/>
      <c r="F317" s="101"/>
      <c r="G317" s="101"/>
      <c r="H317" s="101"/>
      <c r="I317" s="101"/>
      <c r="J317" s="99"/>
      <c r="K317" s="2"/>
    </row>
    <row r="318" spans="2:11" ht="15" hidden="1" customHeight="1" x14ac:dyDescent="0.25">
      <c r="B318" s="1"/>
      <c r="C318" s="108">
        <v>47</v>
      </c>
      <c r="D318" s="101"/>
      <c r="E318" s="101"/>
      <c r="F318" s="101"/>
      <c r="G318" s="101"/>
      <c r="H318" s="101"/>
      <c r="I318" s="101"/>
      <c r="J318" s="99"/>
      <c r="K318" s="2"/>
    </row>
    <row r="319" spans="2:11" ht="15" hidden="1" customHeight="1" x14ac:dyDescent="0.25">
      <c r="B319" s="1"/>
      <c r="C319" s="108">
        <v>48</v>
      </c>
      <c r="D319" s="101"/>
      <c r="E319" s="101"/>
      <c r="F319" s="101"/>
      <c r="G319" s="101"/>
      <c r="H319" s="101"/>
      <c r="I319" s="101"/>
      <c r="J319" s="99"/>
      <c r="K319" s="2"/>
    </row>
    <row r="320" spans="2:11" ht="15" hidden="1" customHeight="1" x14ac:dyDescent="0.25">
      <c r="B320" s="1"/>
      <c r="C320" s="108">
        <v>49</v>
      </c>
      <c r="D320" s="101"/>
      <c r="E320" s="101"/>
      <c r="F320" s="101"/>
      <c r="G320" s="101"/>
      <c r="H320" s="101"/>
      <c r="I320" s="101"/>
      <c r="J320" s="99"/>
      <c r="K320" s="2"/>
    </row>
    <row r="321" spans="2:11" ht="15" hidden="1" customHeight="1" x14ac:dyDescent="0.25">
      <c r="B321" s="1"/>
      <c r="C321" s="108">
        <v>50</v>
      </c>
      <c r="D321" s="101"/>
      <c r="E321" s="101"/>
      <c r="F321" s="101"/>
      <c r="G321" s="101"/>
      <c r="H321" s="101"/>
      <c r="I321" s="101"/>
      <c r="J321" s="99"/>
      <c r="K321" s="2"/>
    </row>
    <row r="322" spans="2:11" ht="15" hidden="1" customHeight="1" x14ac:dyDescent="0.25">
      <c r="B322" s="1"/>
      <c r="C322" s="94"/>
      <c r="D322" s="94"/>
      <c r="E322" s="94"/>
      <c r="F322" s="94"/>
      <c r="G322" s="94"/>
      <c r="H322" s="94"/>
      <c r="I322" s="94"/>
      <c r="J322" s="94"/>
      <c r="K322" s="2"/>
    </row>
    <row r="323" spans="2:11" ht="15" customHeight="1" x14ac:dyDescent="0.25">
      <c r="B323" s="1"/>
      <c r="C323" s="133"/>
      <c r="D323" s="133"/>
      <c r="E323" s="94"/>
      <c r="F323" s="94"/>
      <c r="G323" s="94"/>
      <c r="H323" s="94"/>
      <c r="I323" s="94"/>
      <c r="J323" s="94"/>
      <c r="K323" s="2"/>
    </row>
    <row r="324" spans="2:11" ht="15" customHeight="1" x14ac:dyDescent="0.25">
      <c r="B324" s="1"/>
      <c r="C324" s="94"/>
      <c r="D324" s="94"/>
      <c r="E324" s="94"/>
      <c r="F324" s="94"/>
      <c r="G324" s="94"/>
      <c r="H324" s="94"/>
      <c r="I324" s="94"/>
      <c r="J324" s="94"/>
      <c r="K324" s="2"/>
    </row>
    <row r="325" spans="2:11" ht="15" customHeight="1" x14ac:dyDescent="0.25">
      <c r="B325" s="3"/>
      <c r="C325" s="127">
        <f>R.Instructions.VersionNumber</f>
        <v>5</v>
      </c>
      <c r="D325" s="127"/>
      <c r="E325" s="4"/>
      <c r="F325" s="4"/>
      <c r="G325" s="4"/>
      <c r="H325" s="4"/>
      <c r="I325" s="4"/>
      <c r="J325" s="14">
        <f>R.Instructions.VersionDate</f>
        <v>45691</v>
      </c>
      <c r="K325" s="5"/>
    </row>
    <row r="327" spans="2:11" ht="15" customHeight="1" x14ac:dyDescent="0.25">
      <c r="C327" s="119" t="str">
        <f>IFERROR(VLOOKUP("Incomplete",Developer!H414:I2168,2,FALSE),"Sheet complete.")</f>
        <v>Sheet complete.</v>
      </c>
      <c r="D327" s="119"/>
      <c r="E327" s="119"/>
      <c r="F327" s="119"/>
      <c r="G327" s="119"/>
      <c r="H327" s="119"/>
      <c r="I327" s="119"/>
      <c r="J327" s="119"/>
    </row>
    <row r="328" spans="2:11" ht="15" customHeight="1" x14ac:dyDescent="0.25">
      <c r="C328" s="119"/>
      <c r="D328" s="119"/>
      <c r="E328" s="119"/>
      <c r="F328" s="119"/>
      <c r="G328" s="119"/>
      <c r="H328" s="119"/>
      <c r="I328" s="119"/>
      <c r="J328" s="119"/>
    </row>
    <row r="329" spans="2:11" ht="15" customHeight="1" x14ac:dyDescent="0.25">
      <c r="C329" s="119"/>
      <c r="D329" s="119"/>
      <c r="E329" s="119"/>
      <c r="F329" s="119"/>
      <c r="G329" s="119"/>
      <c r="H329" s="119"/>
      <c r="I329" s="119"/>
      <c r="J329" s="119"/>
    </row>
  </sheetData>
  <sheetProtection algorithmName="SHA-512" hashValue="LmCdj02YflggXRk82qdDZgCv6nTR7Rphk3blJzuNprTxUeqouqsNMFsx29pDUh2HumrneStOb6qq99T4/t1DTw==" saltValue="mtRHpvxCTLufqsDpZaryBg==" spinCount="100000" sheet="1" objects="1" scenarios="1" selectLockedCells="1"/>
  <mergeCells count="60">
    <mergeCell ref="C14:D14"/>
    <mergeCell ref="C266:D266"/>
    <mergeCell ref="C4:J4"/>
    <mergeCell ref="C8:J8"/>
    <mergeCell ref="C6:J7"/>
    <mergeCell ref="C16:C19"/>
    <mergeCell ref="D16:D18"/>
    <mergeCell ref="E16:E18"/>
    <mergeCell ref="F16:F18"/>
    <mergeCell ref="G16:G18"/>
    <mergeCell ref="C11:D11"/>
    <mergeCell ref="H142:H144"/>
    <mergeCell ref="I142:I144"/>
    <mergeCell ref="J142:J144"/>
    <mergeCell ref="C142:C145"/>
    <mergeCell ref="H16:H18"/>
    <mergeCell ref="C203:D203"/>
    <mergeCell ref="I16:I18"/>
    <mergeCell ref="J16:J18"/>
    <mergeCell ref="E142:E144"/>
    <mergeCell ref="F142:F144"/>
    <mergeCell ref="G142:G144"/>
    <mergeCell ref="C71:J71"/>
    <mergeCell ref="D142:D144"/>
    <mergeCell ref="C74:D74"/>
    <mergeCell ref="C77:D77"/>
    <mergeCell ref="C137:D137"/>
    <mergeCell ref="C140:D140"/>
    <mergeCell ref="C263:D263"/>
    <mergeCell ref="C323:D323"/>
    <mergeCell ref="C260:J260"/>
    <mergeCell ref="F79:F81"/>
    <mergeCell ref="G79:G81"/>
    <mergeCell ref="H79:H81"/>
    <mergeCell ref="I79:I81"/>
    <mergeCell ref="J79:J81"/>
    <mergeCell ref="C79:C82"/>
    <mergeCell ref="D79:D81"/>
    <mergeCell ref="E79:E81"/>
    <mergeCell ref="C134:J134"/>
    <mergeCell ref="C197:J197"/>
    <mergeCell ref="H205:H207"/>
    <mergeCell ref="G205:G207"/>
    <mergeCell ref="C200:D200"/>
    <mergeCell ref="I205:I207"/>
    <mergeCell ref="C325:D325"/>
    <mergeCell ref="C327:J329"/>
    <mergeCell ref="I268:I270"/>
    <mergeCell ref="J268:J270"/>
    <mergeCell ref="J205:J207"/>
    <mergeCell ref="C268:C271"/>
    <mergeCell ref="D268:D270"/>
    <mergeCell ref="E268:E270"/>
    <mergeCell ref="F268:F270"/>
    <mergeCell ref="G268:G270"/>
    <mergeCell ref="H268:H270"/>
    <mergeCell ref="E205:E207"/>
    <mergeCell ref="F205:F207"/>
    <mergeCell ref="C205:C208"/>
    <mergeCell ref="D205:D207"/>
  </mergeCells>
  <conditionalFormatting sqref="C327">
    <cfRule type="cellIs" dxfId="3" priority="1" stopIfTrue="1" operator="equal">
      <formula>"Sheet complete."</formula>
    </cfRule>
  </conditionalFormatting>
  <dataValidations count="5">
    <dataValidation type="list" allowBlank="1" showInputMessage="1" showErrorMessage="1" errorTitle="Gas-to-Power Data" error="The number of gas-to-power units in a production class must be between 1 and 50." sqref="C14" xr:uid="{0AEDD80D-222D-49E5-B908-8A9A13E82DCA}">
      <formula1>R.Gas.P1RowNumber</formula1>
    </dataValidation>
    <dataValidation type="list" allowBlank="1" showInputMessage="1" showErrorMessage="1" errorTitle="Gas-to-Power Data" error="The number of gas-to-power units in a production class must be between 1 and 50." sqref="C77" xr:uid="{89F0B5D9-D031-4982-9706-B11B56468DBE}">
      <formula1>R.Gas.P2aRowNumber</formula1>
    </dataValidation>
    <dataValidation type="list" allowBlank="1" showInputMessage="1" showErrorMessage="1" errorTitle="Gas-to-Power Data" error="The number of gas-to-power units in a production class must be between 1 and 50." sqref="C140" xr:uid="{0B340592-35A4-43D9-B688-259F6FF85010}">
      <formula1>R.Gas.P2bRowNumber</formula1>
    </dataValidation>
    <dataValidation type="list" allowBlank="1" showInputMessage="1" showErrorMessage="1" errorTitle="Gas-to-Power Data" error="The number of gas-to-power units in a production class must be between 1 and 50." sqref="C203" xr:uid="{DAF986C4-6CFC-4D1B-B643-841956E55D2C}">
      <formula1>R.Gas.P3RowNumber</formula1>
    </dataValidation>
    <dataValidation type="list" allowBlank="1" showInputMessage="1" showErrorMessage="1" errorTitle="Gas-to-Power Data" error="The number of gas-to-power units in a production class must be between 1 and 50." sqref="C266" xr:uid="{589AE68C-2073-420F-9BDE-2F7C483B2B93}">
      <formula1>R.Gas.P4RowNumber</formula1>
    </dataValidation>
  </dataValidations>
  <printOptions horizontalCentered="1"/>
  <pageMargins left="0.25" right="0.25" top="0.25" bottom="0.25" header="0" footer="0"/>
  <pageSetup scale="67"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091BA1-686F-42CE-9DB3-5F722BDF22A9}">
  <sheetPr codeName="Sheet7">
    <tabColor rgb="FF046A38"/>
    <pageSetUpPr fitToPage="1"/>
  </sheetPr>
  <dimension ref="B1:F71"/>
  <sheetViews>
    <sheetView showGridLines="0" showRowColHeaders="0" zoomScaleNormal="100" workbookViewId="0">
      <selection activeCell="D9" sqref="D9"/>
    </sheetView>
  </sheetViews>
  <sheetFormatPr defaultColWidth="8.7109375" defaultRowHeight="15" customHeight="1" x14ac:dyDescent="0.25"/>
  <cols>
    <col min="1" max="2" width="5.7109375" customWidth="1"/>
    <col min="3" max="5" width="35.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6"/>
      <c r="C4" s="116" t="s">
        <v>123</v>
      </c>
      <c r="D4" s="116"/>
      <c r="E4" s="116"/>
      <c r="F4" s="7"/>
    </row>
    <row r="5" spans="2:6" ht="20.100000000000001" hidden="1" customHeight="1" x14ac:dyDescent="0.25">
      <c r="B5" s="10"/>
      <c r="C5" s="118" t="s">
        <v>24</v>
      </c>
      <c r="D5" s="118"/>
      <c r="E5" s="118"/>
      <c r="F5" s="11"/>
    </row>
    <row r="6" spans="2:6" ht="15" hidden="1" customHeight="1" x14ac:dyDescent="0.25">
      <c r="B6" s="1"/>
      <c r="C6" s="94"/>
      <c r="D6" s="94"/>
      <c r="E6" s="94"/>
      <c r="F6" s="2"/>
    </row>
    <row r="7" spans="2:6" ht="15" hidden="1" customHeight="1" x14ac:dyDescent="0.25">
      <c r="B7" s="1"/>
      <c r="C7" s="94" t="s">
        <v>124</v>
      </c>
      <c r="D7" s="94"/>
      <c r="E7" s="94"/>
      <c r="F7" s="2"/>
    </row>
    <row r="8" spans="2:6" ht="15" hidden="1" customHeight="1" x14ac:dyDescent="0.25">
      <c r="B8" s="1"/>
      <c r="C8" s="97" t="s">
        <v>36</v>
      </c>
      <c r="D8" s="100" t="str">
        <f>IF(I.Facility.ComplianceYear="","Compliance year",I.Facility.ComplianceYear)</f>
        <v>Compliance year</v>
      </c>
      <c r="E8" s="96" t="s">
        <v>37</v>
      </c>
      <c r="F8" s="2"/>
    </row>
    <row r="9" spans="2:6" ht="15" hidden="1" customHeight="1" x14ac:dyDescent="0.25">
      <c r="B9" s="1"/>
      <c r="C9" s="98" t="s">
        <v>125</v>
      </c>
      <c r="D9" s="101"/>
      <c r="E9" s="95" t="s">
        <v>126</v>
      </c>
      <c r="F9" s="2"/>
    </row>
    <row r="10" spans="2:6" ht="15" hidden="1" customHeight="1" x14ac:dyDescent="0.25">
      <c r="B10" s="1"/>
      <c r="C10" s="94"/>
      <c r="D10" s="94"/>
      <c r="E10" s="94"/>
      <c r="F10" s="2"/>
    </row>
    <row r="11" spans="2:6" ht="15" hidden="1" customHeight="1" x14ac:dyDescent="0.25">
      <c r="B11" s="1"/>
      <c r="C11" s="94" t="s">
        <v>127</v>
      </c>
      <c r="D11" s="94"/>
      <c r="E11" s="94"/>
      <c r="F11" s="2"/>
    </row>
    <row r="12" spans="2:6" ht="15" hidden="1" customHeight="1" x14ac:dyDescent="0.25">
      <c r="B12" s="1"/>
      <c r="C12" s="97" t="s">
        <v>36</v>
      </c>
      <c r="D12" s="100" t="str">
        <f>IF(I.Facility.ComplianceYear="","Compliance year",I.Facility.ComplianceYear)</f>
        <v>Compliance year</v>
      </c>
      <c r="E12" s="96" t="s">
        <v>37</v>
      </c>
      <c r="F12" s="2"/>
    </row>
    <row r="13" spans="2:6" ht="15" hidden="1" customHeight="1" x14ac:dyDescent="0.35">
      <c r="B13" s="1"/>
      <c r="C13" s="98" t="s">
        <v>49</v>
      </c>
      <c r="D13" s="101"/>
      <c r="E13" s="104" t="s">
        <v>50</v>
      </c>
      <c r="F13" s="2"/>
    </row>
    <row r="14" spans="2:6" ht="15" hidden="1" customHeight="1" x14ac:dyDescent="0.35">
      <c r="B14" s="1"/>
      <c r="C14" s="98" t="s">
        <v>51</v>
      </c>
      <c r="D14" s="101"/>
      <c r="E14" s="104" t="s">
        <v>52</v>
      </c>
      <c r="F14" s="2"/>
    </row>
    <row r="15" spans="2:6" ht="15" hidden="1" customHeight="1" x14ac:dyDescent="0.35">
      <c r="B15" s="1"/>
      <c r="C15" s="98" t="s">
        <v>53</v>
      </c>
      <c r="D15" s="101"/>
      <c r="E15" s="104" t="s">
        <v>54</v>
      </c>
      <c r="F15" s="2"/>
    </row>
    <row r="16" spans="2:6" ht="15" hidden="1" customHeight="1" x14ac:dyDescent="0.25">
      <c r="B16" s="1"/>
      <c r="C16" s="94"/>
      <c r="D16" s="94"/>
      <c r="E16" s="94"/>
      <c r="F16" s="2"/>
    </row>
    <row r="17" spans="2:6" ht="20.100000000000001" hidden="1" customHeight="1" x14ac:dyDescent="0.25">
      <c r="B17" s="10"/>
      <c r="C17" s="118" t="s">
        <v>30</v>
      </c>
      <c r="D17" s="118"/>
      <c r="E17" s="118"/>
      <c r="F17" s="11"/>
    </row>
    <row r="18" spans="2:6" ht="15" hidden="1" customHeight="1" x14ac:dyDescent="0.25">
      <c r="B18" s="1"/>
      <c r="C18" s="94"/>
      <c r="D18" s="94"/>
      <c r="E18" s="94"/>
      <c r="F18" s="2"/>
    </row>
    <row r="19" spans="2:6" ht="15" hidden="1" customHeight="1" x14ac:dyDescent="0.25">
      <c r="B19" s="1"/>
      <c r="C19" s="94" t="s">
        <v>124</v>
      </c>
      <c r="D19" s="94"/>
      <c r="E19" s="94"/>
      <c r="F19" s="2"/>
    </row>
    <row r="20" spans="2:6" ht="15" hidden="1" customHeight="1" x14ac:dyDescent="0.25">
      <c r="B20" s="1"/>
      <c r="C20" s="97" t="s">
        <v>36</v>
      </c>
      <c r="D20" s="100" t="str">
        <f>IF(I.Facility.ComplianceYear="","Compliance year",I.Facility.ComplianceYear)</f>
        <v>Compliance year</v>
      </c>
      <c r="E20" s="96" t="s">
        <v>37</v>
      </c>
      <c r="F20" s="2"/>
    </row>
    <row r="21" spans="2:6" ht="15" hidden="1" customHeight="1" x14ac:dyDescent="0.25">
      <c r="B21" s="1"/>
      <c r="C21" s="98" t="s">
        <v>125</v>
      </c>
      <c r="D21" s="101"/>
      <c r="E21" s="95" t="s">
        <v>126</v>
      </c>
      <c r="F21" s="2"/>
    </row>
    <row r="22" spans="2:6" ht="15" hidden="1" customHeight="1" x14ac:dyDescent="0.25">
      <c r="B22" s="1"/>
      <c r="C22" s="94"/>
      <c r="D22" s="94"/>
      <c r="E22" s="94"/>
      <c r="F22" s="2"/>
    </row>
    <row r="23" spans="2:6" ht="15" hidden="1" customHeight="1" x14ac:dyDescent="0.25">
      <c r="B23" s="1"/>
      <c r="C23" s="94" t="s">
        <v>127</v>
      </c>
      <c r="D23" s="94"/>
      <c r="E23" s="94"/>
      <c r="F23" s="2"/>
    </row>
    <row r="24" spans="2:6" ht="15" hidden="1" customHeight="1" x14ac:dyDescent="0.25">
      <c r="B24" s="1"/>
      <c r="C24" s="97" t="s">
        <v>36</v>
      </c>
      <c r="D24" s="100" t="str">
        <f>IF(I.Facility.ComplianceYear="","Compliance year",I.Facility.ComplianceYear)</f>
        <v>Compliance year</v>
      </c>
      <c r="E24" s="96" t="s">
        <v>37</v>
      </c>
      <c r="F24" s="2"/>
    </row>
    <row r="25" spans="2:6" ht="15" hidden="1" customHeight="1" x14ac:dyDescent="0.35">
      <c r="B25" s="1"/>
      <c r="C25" s="98" t="s">
        <v>49</v>
      </c>
      <c r="D25" s="101"/>
      <c r="E25" s="104" t="s">
        <v>50</v>
      </c>
      <c r="F25" s="2"/>
    </row>
    <row r="26" spans="2:6" ht="15" hidden="1" customHeight="1" x14ac:dyDescent="0.35">
      <c r="B26" s="1"/>
      <c r="C26" s="98" t="s">
        <v>51</v>
      </c>
      <c r="D26" s="101"/>
      <c r="E26" s="104" t="s">
        <v>52</v>
      </c>
      <c r="F26" s="2"/>
    </row>
    <row r="27" spans="2:6" ht="15" hidden="1" customHeight="1" x14ac:dyDescent="0.35">
      <c r="B27" s="1"/>
      <c r="C27" s="98" t="s">
        <v>53</v>
      </c>
      <c r="D27" s="101"/>
      <c r="E27" s="104" t="s">
        <v>54</v>
      </c>
      <c r="F27" s="2"/>
    </row>
    <row r="28" spans="2:6" ht="15" hidden="1" customHeight="1" x14ac:dyDescent="0.25">
      <c r="B28" s="1"/>
      <c r="C28" s="94"/>
      <c r="D28" s="94"/>
      <c r="E28" s="94"/>
      <c r="F28" s="2"/>
    </row>
    <row r="29" spans="2:6" ht="20.100000000000001" hidden="1" customHeight="1" x14ac:dyDescent="0.25">
      <c r="B29" s="10"/>
      <c r="C29" s="118" t="s">
        <v>31</v>
      </c>
      <c r="D29" s="118"/>
      <c r="E29" s="118"/>
      <c r="F29" s="11"/>
    </row>
    <row r="30" spans="2:6" ht="15" hidden="1" customHeight="1" x14ac:dyDescent="0.25">
      <c r="B30" s="1"/>
      <c r="C30" s="94"/>
      <c r="D30" s="94"/>
      <c r="E30" s="94"/>
      <c r="F30" s="2"/>
    </row>
    <row r="31" spans="2:6" ht="15" hidden="1" customHeight="1" x14ac:dyDescent="0.25">
      <c r="B31" s="1"/>
      <c r="C31" s="94" t="s">
        <v>124</v>
      </c>
      <c r="D31" s="94"/>
      <c r="E31" s="94"/>
      <c r="F31" s="2"/>
    </row>
    <row r="32" spans="2:6" ht="15" hidden="1" customHeight="1" x14ac:dyDescent="0.25">
      <c r="B32" s="1"/>
      <c r="C32" s="97" t="s">
        <v>36</v>
      </c>
      <c r="D32" s="100" t="str">
        <f>IF(I.Facility.ComplianceYear="","Compliance year",I.Facility.ComplianceYear)</f>
        <v>Compliance year</v>
      </c>
      <c r="E32" s="96" t="s">
        <v>37</v>
      </c>
      <c r="F32" s="2"/>
    </row>
    <row r="33" spans="2:6" ht="15" hidden="1" customHeight="1" x14ac:dyDescent="0.25">
      <c r="B33" s="1"/>
      <c r="C33" s="98" t="s">
        <v>125</v>
      </c>
      <c r="D33" s="101"/>
      <c r="E33" s="95" t="s">
        <v>126</v>
      </c>
      <c r="F33" s="2"/>
    </row>
    <row r="34" spans="2:6" ht="15" hidden="1" customHeight="1" x14ac:dyDescent="0.25">
      <c r="B34" s="1"/>
      <c r="C34" s="94"/>
      <c r="D34" s="94"/>
      <c r="E34" s="94"/>
      <c r="F34" s="2"/>
    </row>
    <row r="35" spans="2:6" ht="15" hidden="1" customHeight="1" x14ac:dyDescent="0.25">
      <c r="B35" s="1"/>
      <c r="C35" s="94" t="s">
        <v>127</v>
      </c>
      <c r="D35" s="94"/>
      <c r="E35" s="94"/>
      <c r="F35" s="2"/>
    </row>
    <row r="36" spans="2:6" ht="15" hidden="1" customHeight="1" x14ac:dyDescent="0.25">
      <c r="B36" s="1"/>
      <c r="C36" s="97" t="s">
        <v>36</v>
      </c>
      <c r="D36" s="100" t="str">
        <f>IF(I.Facility.ComplianceYear="","Compliance year",I.Facility.ComplianceYear)</f>
        <v>Compliance year</v>
      </c>
      <c r="E36" s="96" t="s">
        <v>37</v>
      </c>
      <c r="F36" s="2"/>
    </row>
    <row r="37" spans="2:6" ht="15" hidden="1" customHeight="1" x14ac:dyDescent="0.35">
      <c r="B37" s="1"/>
      <c r="C37" s="98" t="s">
        <v>49</v>
      </c>
      <c r="D37" s="101"/>
      <c r="E37" s="104" t="s">
        <v>50</v>
      </c>
      <c r="F37" s="2"/>
    </row>
    <row r="38" spans="2:6" ht="15" hidden="1" customHeight="1" x14ac:dyDescent="0.35">
      <c r="B38" s="1"/>
      <c r="C38" s="98" t="s">
        <v>51</v>
      </c>
      <c r="D38" s="101"/>
      <c r="E38" s="104" t="s">
        <v>52</v>
      </c>
      <c r="F38" s="2"/>
    </row>
    <row r="39" spans="2:6" ht="15" hidden="1" customHeight="1" x14ac:dyDescent="0.35">
      <c r="B39" s="1"/>
      <c r="C39" s="98" t="s">
        <v>53</v>
      </c>
      <c r="D39" s="101"/>
      <c r="E39" s="104" t="s">
        <v>54</v>
      </c>
      <c r="F39" s="2"/>
    </row>
    <row r="40" spans="2:6" ht="15" hidden="1" customHeight="1" x14ac:dyDescent="0.25">
      <c r="B40" s="1"/>
      <c r="C40" s="94"/>
      <c r="D40" s="94"/>
      <c r="E40" s="94"/>
      <c r="F40" s="2"/>
    </row>
    <row r="41" spans="2:6" ht="20.100000000000001" hidden="1" customHeight="1" x14ac:dyDescent="0.25">
      <c r="B41" s="10"/>
      <c r="C41" s="118" t="s">
        <v>32</v>
      </c>
      <c r="D41" s="118"/>
      <c r="E41" s="118"/>
      <c r="F41" s="11"/>
    </row>
    <row r="42" spans="2:6" ht="15" hidden="1" customHeight="1" x14ac:dyDescent="0.25">
      <c r="B42" s="1"/>
      <c r="C42" s="94"/>
      <c r="D42" s="94"/>
      <c r="E42" s="94"/>
      <c r="F42" s="2"/>
    </row>
    <row r="43" spans="2:6" ht="15" hidden="1" customHeight="1" x14ac:dyDescent="0.25">
      <c r="B43" s="1"/>
      <c r="C43" s="94" t="s">
        <v>124</v>
      </c>
      <c r="D43" s="94"/>
      <c r="E43" s="94"/>
      <c r="F43" s="2"/>
    </row>
    <row r="44" spans="2:6" ht="15" hidden="1" customHeight="1" x14ac:dyDescent="0.25">
      <c r="B44" s="1"/>
      <c r="C44" s="97" t="s">
        <v>36</v>
      </c>
      <c r="D44" s="100" t="str">
        <f>IF(I.Facility.ComplianceYear="","Compliance year",I.Facility.ComplianceYear)</f>
        <v>Compliance year</v>
      </c>
      <c r="E44" s="96" t="s">
        <v>37</v>
      </c>
      <c r="F44" s="2"/>
    </row>
    <row r="45" spans="2:6" ht="15" hidden="1" customHeight="1" x14ac:dyDescent="0.25">
      <c r="B45" s="1"/>
      <c r="C45" s="98" t="s">
        <v>125</v>
      </c>
      <c r="D45" s="101"/>
      <c r="E45" s="95" t="s">
        <v>126</v>
      </c>
      <c r="F45" s="2"/>
    </row>
    <row r="46" spans="2:6" ht="15" hidden="1" customHeight="1" x14ac:dyDescent="0.25">
      <c r="B46" s="1"/>
      <c r="C46" s="94"/>
      <c r="D46" s="94"/>
      <c r="E46" s="94"/>
      <c r="F46" s="2"/>
    </row>
    <row r="47" spans="2:6" ht="15" hidden="1" customHeight="1" x14ac:dyDescent="0.25">
      <c r="B47" s="1"/>
      <c r="C47" s="94" t="s">
        <v>127</v>
      </c>
      <c r="D47" s="94"/>
      <c r="E47" s="94"/>
      <c r="F47" s="2"/>
    </row>
    <row r="48" spans="2:6" ht="15" hidden="1" customHeight="1" x14ac:dyDescent="0.25">
      <c r="B48" s="1"/>
      <c r="C48" s="97" t="s">
        <v>36</v>
      </c>
      <c r="D48" s="100" t="str">
        <f>IF(I.Facility.ComplianceYear="","Compliance year",I.Facility.ComplianceYear)</f>
        <v>Compliance year</v>
      </c>
      <c r="E48" s="96" t="s">
        <v>37</v>
      </c>
      <c r="F48" s="2"/>
    </row>
    <row r="49" spans="2:6" ht="15" hidden="1" customHeight="1" x14ac:dyDescent="0.35">
      <c r="B49" s="1"/>
      <c r="C49" s="98" t="s">
        <v>49</v>
      </c>
      <c r="D49" s="101"/>
      <c r="E49" s="104" t="s">
        <v>50</v>
      </c>
      <c r="F49" s="2"/>
    </row>
    <row r="50" spans="2:6" ht="15" hidden="1" customHeight="1" x14ac:dyDescent="0.35">
      <c r="B50" s="1"/>
      <c r="C50" s="98" t="s">
        <v>51</v>
      </c>
      <c r="D50" s="101"/>
      <c r="E50" s="104" t="s">
        <v>52</v>
      </c>
      <c r="F50" s="2"/>
    </row>
    <row r="51" spans="2:6" ht="15" hidden="1" customHeight="1" x14ac:dyDescent="0.35">
      <c r="B51" s="1"/>
      <c r="C51" s="98" t="s">
        <v>53</v>
      </c>
      <c r="D51" s="101"/>
      <c r="E51" s="104" t="s">
        <v>54</v>
      </c>
      <c r="F51" s="2"/>
    </row>
    <row r="52" spans="2:6" ht="15" hidden="1" customHeight="1" x14ac:dyDescent="0.25">
      <c r="B52" s="1"/>
      <c r="C52" s="94"/>
      <c r="D52" s="94"/>
      <c r="E52" s="94"/>
      <c r="F52" s="2"/>
    </row>
    <row r="53" spans="2:6" ht="20.100000000000001" hidden="1" customHeight="1" x14ac:dyDescent="0.25">
      <c r="B53" s="10"/>
      <c r="C53" s="118" t="s">
        <v>33</v>
      </c>
      <c r="D53" s="118"/>
      <c r="E53" s="118"/>
      <c r="F53" s="11"/>
    </row>
    <row r="54" spans="2:6" ht="15" hidden="1" customHeight="1" x14ac:dyDescent="0.25">
      <c r="B54" s="1"/>
      <c r="C54" s="94"/>
      <c r="D54" s="94"/>
      <c r="E54" s="94"/>
      <c r="F54" s="2"/>
    </row>
    <row r="55" spans="2:6" ht="15" hidden="1" customHeight="1" x14ac:dyDescent="0.25">
      <c r="B55" s="1"/>
      <c r="C55" s="94" t="s">
        <v>124</v>
      </c>
      <c r="D55" s="94"/>
      <c r="E55" s="94"/>
      <c r="F55" s="2"/>
    </row>
    <row r="56" spans="2:6" ht="15" hidden="1" customHeight="1" x14ac:dyDescent="0.25">
      <c r="B56" s="1"/>
      <c r="C56" s="97" t="s">
        <v>36</v>
      </c>
      <c r="D56" s="100" t="str">
        <f>IF(I.Facility.ComplianceYear="","Compliance year",I.Facility.ComplianceYear)</f>
        <v>Compliance year</v>
      </c>
      <c r="E56" s="96" t="s">
        <v>37</v>
      </c>
      <c r="F56" s="2"/>
    </row>
    <row r="57" spans="2:6" ht="15" hidden="1" customHeight="1" x14ac:dyDescent="0.25">
      <c r="B57" s="1"/>
      <c r="C57" s="98" t="s">
        <v>125</v>
      </c>
      <c r="D57" s="101"/>
      <c r="E57" s="95" t="s">
        <v>126</v>
      </c>
      <c r="F57" s="2"/>
    </row>
    <row r="58" spans="2:6" ht="15" hidden="1" customHeight="1" x14ac:dyDescent="0.25">
      <c r="B58" s="1"/>
      <c r="C58" s="94"/>
      <c r="D58" s="94"/>
      <c r="E58" s="94"/>
      <c r="F58" s="2"/>
    </row>
    <row r="59" spans="2:6" ht="15" hidden="1" customHeight="1" x14ac:dyDescent="0.25">
      <c r="B59" s="1"/>
      <c r="C59" s="94" t="s">
        <v>127</v>
      </c>
      <c r="D59" s="94"/>
      <c r="E59" s="94"/>
      <c r="F59" s="2"/>
    </row>
    <row r="60" spans="2:6" ht="15" hidden="1" customHeight="1" x14ac:dyDescent="0.25">
      <c r="B60" s="1"/>
      <c r="C60" s="97" t="s">
        <v>36</v>
      </c>
      <c r="D60" s="100" t="str">
        <f>IF(I.Facility.ComplianceYear="","Compliance year",I.Facility.ComplianceYear)</f>
        <v>Compliance year</v>
      </c>
      <c r="E60" s="96" t="s">
        <v>37</v>
      </c>
      <c r="F60" s="2"/>
    </row>
    <row r="61" spans="2:6" ht="15" hidden="1" customHeight="1" x14ac:dyDescent="0.35">
      <c r="B61" s="1"/>
      <c r="C61" s="98" t="s">
        <v>49</v>
      </c>
      <c r="D61" s="101"/>
      <c r="E61" s="104" t="s">
        <v>50</v>
      </c>
      <c r="F61" s="2"/>
    </row>
    <row r="62" spans="2:6" ht="15" hidden="1" customHeight="1" x14ac:dyDescent="0.35">
      <c r="B62" s="1"/>
      <c r="C62" s="98" t="s">
        <v>51</v>
      </c>
      <c r="D62" s="101"/>
      <c r="E62" s="104" t="s">
        <v>52</v>
      </c>
      <c r="F62" s="2"/>
    </row>
    <row r="63" spans="2:6" ht="15" hidden="1" customHeight="1" x14ac:dyDescent="0.35">
      <c r="B63" s="1"/>
      <c r="C63" s="98" t="s">
        <v>53</v>
      </c>
      <c r="D63" s="101"/>
      <c r="E63" s="104" t="s">
        <v>54</v>
      </c>
      <c r="F63" s="2"/>
    </row>
    <row r="64" spans="2:6" ht="15" hidden="1" customHeight="1" x14ac:dyDescent="0.25">
      <c r="B64" s="1"/>
      <c r="C64" s="94"/>
      <c r="D64" s="94"/>
      <c r="E64" s="94"/>
      <c r="F64" s="2"/>
    </row>
    <row r="65" spans="2:6" ht="15" customHeight="1" x14ac:dyDescent="0.25">
      <c r="B65" s="1"/>
      <c r="C65" s="107"/>
      <c r="D65" s="94"/>
      <c r="E65" s="94"/>
      <c r="F65" s="2"/>
    </row>
    <row r="66" spans="2:6" ht="15" customHeight="1" x14ac:dyDescent="0.25">
      <c r="B66" s="1"/>
      <c r="C66" s="94"/>
      <c r="D66" s="94"/>
      <c r="E66" s="94"/>
      <c r="F66" s="2"/>
    </row>
    <row r="67" spans="2:6" ht="15" customHeight="1" x14ac:dyDescent="0.25">
      <c r="B67" s="3"/>
      <c r="C67" s="13">
        <f>R.Instructions.VersionNumber</f>
        <v>5</v>
      </c>
      <c r="D67" s="4"/>
      <c r="E67" s="14">
        <f>R.Instructions.VersionDate</f>
        <v>45691</v>
      </c>
      <c r="F67" s="5"/>
    </row>
    <row r="69" spans="2:6" ht="15" customHeight="1" x14ac:dyDescent="0.25">
      <c r="C69" s="119" t="str">
        <f>IFERROR(VLOOKUP("Incomplete",Developer!H2169:I2188,2,FALSE),"Sheet complete.")</f>
        <v>Sheet complete.</v>
      </c>
      <c r="D69" s="119"/>
      <c r="E69" s="119"/>
    </row>
    <row r="70" spans="2:6" ht="15" customHeight="1" x14ac:dyDescent="0.25">
      <c r="C70" s="119"/>
      <c r="D70" s="119"/>
      <c r="E70" s="119"/>
    </row>
    <row r="71" spans="2:6" ht="15" customHeight="1" x14ac:dyDescent="0.25">
      <c r="C71" s="119"/>
      <c r="D71" s="119"/>
      <c r="E71" s="119"/>
    </row>
  </sheetData>
  <sheetProtection algorithmName="SHA-512" hashValue="bOcXUL+0ieeXmt6zPMxkBWCvI6WlIA35pcm2VYEqDR2QgfJfyGrcqhcrinDoQB5Nb95b9dEqyT64tDTeTeLE2Q==" saltValue="2YD+gNZArh9dekxvMe6SZQ==" spinCount="100000" sheet="1" objects="1" scenarios="1" selectLockedCells="1"/>
  <mergeCells count="7">
    <mergeCell ref="C69:E71"/>
    <mergeCell ref="C29:E29"/>
    <mergeCell ref="C41:E41"/>
    <mergeCell ref="C53:E53"/>
    <mergeCell ref="C4:E4"/>
    <mergeCell ref="C5:E5"/>
    <mergeCell ref="C17:E17"/>
  </mergeCells>
  <conditionalFormatting sqref="C69">
    <cfRule type="cellIs" dxfId="2" priority="1" stopIfTrue="1" operator="equal">
      <formula>"Sheet complete."</formula>
    </cfRule>
  </conditionalFormatting>
  <printOptions horizontalCentered="1"/>
  <pageMargins left="0.25" right="0.25" top="0.25" bottom="0.25" header="0" footer="0"/>
  <pageSetup scale="85"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B593B-2904-43F9-B63E-23CDBA29883C}">
  <sheetPr codeName="Sheet8">
    <tabColor rgb="FF046A38"/>
    <pageSetUpPr fitToPage="1"/>
  </sheetPr>
  <dimension ref="B1:F170"/>
  <sheetViews>
    <sheetView showGridLines="0" showRowColHeaders="0" zoomScaleNormal="100" workbookViewId="0">
      <selection activeCell="D17" sqref="D17"/>
    </sheetView>
  </sheetViews>
  <sheetFormatPr defaultRowHeight="15" customHeight="1" x14ac:dyDescent="0.25"/>
  <cols>
    <col min="1" max="2" width="5.7109375" customWidth="1"/>
    <col min="3" max="5" width="35.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15"/>
      <c r="C4" s="120" t="s">
        <v>2569</v>
      </c>
      <c r="D4" s="120"/>
      <c r="E4" s="120"/>
      <c r="F4" s="16"/>
    </row>
    <row r="5" spans="2:6" ht="15" customHeight="1" x14ac:dyDescent="0.25">
      <c r="B5" s="1"/>
      <c r="C5" s="94"/>
      <c r="D5" s="94"/>
      <c r="E5" s="94"/>
      <c r="F5" s="2"/>
    </row>
    <row r="6" spans="2:6" ht="15" customHeight="1" x14ac:dyDescent="0.25">
      <c r="B6" s="1"/>
      <c r="C6" s="114" t="s">
        <v>2483</v>
      </c>
      <c r="D6" s="113"/>
      <c r="E6" s="113"/>
      <c r="F6" s="2"/>
    </row>
    <row r="7" spans="2:6" ht="15" customHeight="1" x14ac:dyDescent="0.25">
      <c r="B7" s="1"/>
      <c r="C7" s="113"/>
      <c r="D7" s="113"/>
      <c r="E7" s="113"/>
      <c r="F7" s="2"/>
    </row>
    <row r="8" spans="2:6" ht="15" customHeight="1" x14ac:dyDescent="0.25">
      <c r="B8" s="1"/>
      <c r="C8" s="115"/>
      <c r="D8" s="115"/>
      <c r="E8" s="115"/>
      <c r="F8" s="2"/>
    </row>
    <row r="9" spans="2:6" ht="20.100000000000001" hidden="1" customHeight="1" x14ac:dyDescent="0.25">
      <c r="B9" s="10"/>
      <c r="C9" s="118" t="s">
        <v>24</v>
      </c>
      <c r="D9" s="118"/>
      <c r="E9" s="118"/>
      <c r="F9" s="11"/>
    </row>
    <row r="10" spans="2:6" ht="15" hidden="1" customHeight="1" x14ac:dyDescent="0.25">
      <c r="B10" s="1"/>
      <c r="C10" s="94"/>
      <c r="D10" s="94"/>
      <c r="E10" s="94"/>
      <c r="F10" s="2"/>
    </row>
    <row r="11" spans="2:6" ht="15" hidden="1" customHeight="1" x14ac:dyDescent="0.25">
      <c r="B11" s="1"/>
      <c r="C11" s="94" t="s">
        <v>138</v>
      </c>
      <c r="D11" s="94"/>
      <c r="E11" s="94"/>
      <c r="F11" s="2"/>
    </row>
    <row r="12" spans="2:6" ht="15" hidden="1" customHeight="1" x14ac:dyDescent="0.25">
      <c r="B12" s="1"/>
      <c r="C12" s="97" t="s">
        <v>128</v>
      </c>
      <c r="D12" s="100" t="s">
        <v>134</v>
      </c>
      <c r="E12" s="96" t="s">
        <v>37</v>
      </c>
      <c r="F12" s="2"/>
    </row>
    <row r="13" spans="2:6" ht="15" hidden="1" customHeight="1" x14ac:dyDescent="0.25">
      <c r="B13" s="1"/>
      <c r="C13" s="98" t="s">
        <v>35</v>
      </c>
      <c r="D13" s="101">
        <f>I.Production.P1Quantity</f>
        <v>0</v>
      </c>
      <c r="E13" s="95" t="s">
        <v>39</v>
      </c>
      <c r="F13" s="2"/>
    </row>
    <row r="14" spans="2:6" ht="15" hidden="1" customHeight="1" x14ac:dyDescent="0.35">
      <c r="B14" s="1"/>
      <c r="C14" s="98" t="s">
        <v>129</v>
      </c>
      <c r="D14" s="101">
        <f>IF(I.Facility.StandardPart="Part 2",('Production Data'!D13*Developer!T28)+SUMPRODUCT('Production Data'!D14:D18,Developer!T33:T37),SUMPRODUCT('Production Data'!D19:D21,Developer!T4:T6))+SUMPRODUCT(I.Production.P1C2,Developer!T7:T27)+IF(I.Facility.StandardPart="Part 2",'Production Data'!D49*Developer!T28+'Production Data'!D50*Developer!T38,SUMPRODUCT('Production Data'!D51:D53,Developer!T4:T6))+SUMPRODUCT(I.Production.P1C4,Developer!T4:T6)</f>
        <v>0</v>
      </c>
      <c r="E14" s="104" t="s">
        <v>135</v>
      </c>
      <c r="F14" s="2"/>
    </row>
    <row r="15" spans="2:6" ht="15" hidden="1" customHeight="1" x14ac:dyDescent="0.35">
      <c r="B15" s="1"/>
      <c r="C15" s="98" t="s">
        <v>130</v>
      </c>
      <c r="D15" s="101">
        <f>IF(I.Facility.StandardPart="Part 2",('Electricity Data'!D12*Developer!T28)+SUMPRODUCT('Electricity Data'!D13:D17,Developer!T33:T37),SUMPRODUCT('Electricity Data'!D18:D20,Developer!T4:T6))+SUMPRODUCT(I.Electricity.P1C2,Developer!T7:T27)+IF(I.Facility.StandardPart="Part 2",'Electricity Data'!D48*Developer!T28+'Electricity Data'!D49*Developer!T38,SUMPRODUCT('Electricity Data'!D50:D52,Developer!T4:T6))+SUMPRODUCT(I.Electricity.P1C4,Developer!T4:T6)</f>
        <v>0</v>
      </c>
      <c r="E15" s="104" t="s">
        <v>135</v>
      </c>
      <c r="F15" s="2"/>
    </row>
    <row r="16" spans="2:6" ht="15" hidden="1" customHeight="1" x14ac:dyDescent="0.35">
      <c r="B16" s="1"/>
      <c r="C16" s="98" t="s">
        <v>131</v>
      </c>
      <c r="D16" s="101">
        <f>D14+D15</f>
        <v>0</v>
      </c>
      <c r="E16" s="104" t="s">
        <v>135</v>
      </c>
      <c r="F16" s="2"/>
    </row>
    <row r="17" spans="2:6" ht="15" hidden="1" customHeight="1" x14ac:dyDescent="0.25">
      <c r="B17" s="1"/>
      <c r="C17" s="98" t="s">
        <v>139</v>
      </c>
      <c r="D17" s="102"/>
      <c r="E17" s="95"/>
      <c r="F17" s="2"/>
    </row>
    <row r="18" spans="2:6" ht="15" hidden="1" customHeight="1" x14ac:dyDescent="0.25">
      <c r="B18" s="1"/>
      <c r="C18" s="98" t="s">
        <v>140</v>
      </c>
      <c r="D18" s="101" t="str">
        <f>IFERROR(IF(D17&gt;12,VLOOKUP("Upstream oil and gas 12",S.Developer.Lookups,2,FALSE),VLOOKUP("Upstream oil and gas "&amp;D17,S.Developer.Lookups,2,FALSE)),"")</f>
        <v/>
      </c>
      <c r="E18" s="95"/>
      <c r="F18" s="2"/>
    </row>
    <row r="19" spans="2:6" ht="15" hidden="1" customHeight="1" x14ac:dyDescent="0.35">
      <c r="B19" s="1"/>
      <c r="C19" s="98" t="s">
        <v>141</v>
      </c>
      <c r="D19" s="103"/>
      <c r="E19" s="104" t="s">
        <v>2484</v>
      </c>
      <c r="F19" s="2"/>
    </row>
    <row r="20" spans="2:6" ht="15" hidden="1" customHeight="1" x14ac:dyDescent="0.35">
      <c r="B20" s="1"/>
      <c r="C20" s="98" t="s">
        <v>142</v>
      </c>
      <c r="D20" s="101" t="str">
        <f>IFERROR(IF(AND(D18&lt;&gt;"",D19&lt;&gt;""),D18*D19,""),"")</f>
        <v/>
      </c>
      <c r="E20" s="104" t="s">
        <v>2484</v>
      </c>
      <c r="F20" s="2"/>
    </row>
    <row r="21" spans="2:6" ht="15" hidden="1" customHeight="1" x14ac:dyDescent="0.25">
      <c r="B21" s="1"/>
      <c r="C21" s="94"/>
      <c r="D21" s="94"/>
      <c r="E21" s="94"/>
      <c r="F21" s="2"/>
    </row>
    <row r="22" spans="2:6" ht="15" hidden="1" customHeight="1" x14ac:dyDescent="0.25">
      <c r="B22" s="1"/>
      <c r="C22" s="94" t="s">
        <v>143</v>
      </c>
      <c r="D22" s="94"/>
      <c r="E22" s="94"/>
      <c r="F22" s="2"/>
    </row>
    <row r="23" spans="2:6" ht="15" hidden="1" customHeight="1" x14ac:dyDescent="0.25">
      <c r="B23" s="1"/>
      <c r="C23" s="97" t="s">
        <v>128</v>
      </c>
      <c r="D23" s="100" t="s">
        <v>134</v>
      </c>
      <c r="E23" s="96" t="s">
        <v>37</v>
      </c>
      <c r="F23" s="2"/>
    </row>
    <row r="24" spans="2:6" ht="15" hidden="1" customHeight="1" x14ac:dyDescent="0.25">
      <c r="B24" s="1"/>
      <c r="C24" s="98" t="s">
        <v>35</v>
      </c>
      <c r="D24" s="101">
        <f t="array" ref="D24">SUM(IF(I.Gas.P1TotalGasEnergy&lt;&gt;0,I.Gas.P1ElectricityGeneration*I.Gas.P1AssociatedGasEnergy/I.Gas.P1TotalGasEnergy,0))</f>
        <v>0</v>
      </c>
      <c r="E24" s="95" t="s">
        <v>136</v>
      </c>
      <c r="F24" s="2"/>
    </row>
    <row r="25" spans="2:6" ht="15" hidden="1" customHeight="1" x14ac:dyDescent="0.35">
      <c r="B25" s="1"/>
      <c r="C25" s="98" t="s">
        <v>129</v>
      </c>
      <c r="D25" s="101">
        <f>IF(I.Facility.StandardPart="Part 2",SUBTOTAL(9,I.Gas.P1C1V1)*Developer!T28,SUBTOTAL(9,I.Gas.P1C1E1)*Developer!T4+SUBTOTAL(9,I.Gas.P1C1E2)*Developer!T5+SUBTOTAL(9,I.Gas.P1C1E3)*Developer!T6)</f>
        <v>0</v>
      </c>
      <c r="E25" s="104" t="s">
        <v>135</v>
      </c>
      <c r="F25" s="2"/>
    </row>
    <row r="26" spans="2:6" ht="15" hidden="1" customHeight="1" x14ac:dyDescent="0.35">
      <c r="B26" s="1"/>
      <c r="C26" s="98" t="s">
        <v>131</v>
      </c>
      <c r="D26" s="101">
        <f>D25</f>
        <v>0</v>
      </c>
      <c r="E26" s="104" t="s">
        <v>135</v>
      </c>
      <c r="F26" s="2"/>
    </row>
    <row r="27" spans="2:6" ht="15" hidden="1" customHeight="1" x14ac:dyDescent="0.25">
      <c r="B27" s="1"/>
      <c r="C27" s="98" t="s">
        <v>139</v>
      </c>
      <c r="D27" s="102"/>
      <c r="E27" s="95"/>
      <c r="F27" s="2"/>
    </row>
    <row r="28" spans="2:6" ht="15" hidden="1" customHeight="1" x14ac:dyDescent="0.25">
      <c r="B28" s="1"/>
      <c r="C28" s="98" t="s">
        <v>140</v>
      </c>
      <c r="D28" s="101" t="str">
        <f>IFERROR(IF(D27&gt;8,VLOOKUP("Gas-to-power operation 8",S.Developer.Lookups,2,FALSE),VLOOKUP("Gas-to-power operation "&amp;D27,S.Developer.Lookups,2,FALSE)),"")</f>
        <v/>
      </c>
      <c r="E28" s="95"/>
      <c r="F28" s="2"/>
    </row>
    <row r="29" spans="2:6" ht="15" hidden="1" customHeight="1" x14ac:dyDescent="0.35">
      <c r="B29" s="1"/>
      <c r="C29" s="98" t="s">
        <v>141</v>
      </c>
      <c r="D29" s="103"/>
      <c r="E29" s="104" t="s">
        <v>2485</v>
      </c>
      <c r="F29" s="2"/>
    </row>
    <row r="30" spans="2:6" ht="15" hidden="1" customHeight="1" x14ac:dyDescent="0.35">
      <c r="B30" s="1"/>
      <c r="C30" s="98" t="s">
        <v>142</v>
      </c>
      <c r="D30" s="101" t="str">
        <f>IFERROR(IF(AND(D28&lt;&gt;"",D29&lt;&gt;""),D28*D29,""),"")</f>
        <v/>
      </c>
      <c r="E30" s="104" t="s">
        <v>2485</v>
      </c>
      <c r="F30" s="2"/>
    </row>
    <row r="31" spans="2:6" ht="15" hidden="1" customHeight="1" x14ac:dyDescent="0.25">
      <c r="B31" s="1"/>
      <c r="C31" s="94"/>
      <c r="D31" s="94"/>
      <c r="E31" s="94"/>
      <c r="F31" s="2"/>
    </row>
    <row r="32" spans="2:6" ht="15" hidden="1" customHeight="1" x14ac:dyDescent="0.25">
      <c r="B32" s="1"/>
      <c r="C32" s="94" t="s">
        <v>137</v>
      </c>
      <c r="D32" s="94"/>
      <c r="E32" s="94"/>
      <c r="F32" s="2"/>
    </row>
    <row r="33" spans="2:6" ht="15" hidden="1" customHeight="1" x14ac:dyDescent="0.25">
      <c r="B33" s="1"/>
      <c r="C33" s="97" t="s">
        <v>128</v>
      </c>
      <c r="D33" s="100" t="s">
        <v>134</v>
      </c>
      <c r="E33" s="96" t="s">
        <v>37</v>
      </c>
      <c r="F33" s="2"/>
    </row>
    <row r="34" spans="2:6" ht="15" hidden="1" customHeight="1" x14ac:dyDescent="0.25">
      <c r="B34" s="1"/>
      <c r="C34" s="98" t="s">
        <v>125</v>
      </c>
      <c r="D34" s="101">
        <f>I.Drilling.P1Depth</f>
        <v>0</v>
      </c>
      <c r="E34" s="95" t="s">
        <v>126</v>
      </c>
      <c r="F34" s="2"/>
    </row>
    <row r="35" spans="2:6" ht="15" hidden="1" customHeight="1" x14ac:dyDescent="0.35">
      <c r="B35" s="1"/>
      <c r="C35" s="98" t="s">
        <v>132</v>
      </c>
      <c r="D35" s="101">
        <f>SUMPRODUCT(I.Drilling.P1C1,Developer!T4:T6)</f>
        <v>0</v>
      </c>
      <c r="E35" s="104" t="s">
        <v>135</v>
      </c>
      <c r="F35" s="2"/>
    </row>
    <row r="36" spans="2:6" ht="15" hidden="1" customHeight="1" x14ac:dyDescent="0.25">
      <c r="B36" s="1"/>
      <c r="C36" s="94"/>
      <c r="D36" s="94"/>
      <c r="E36" s="94"/>
      <c r="F36" s="2"/>
    </row>
    <row r="37" spans="2:6" ht="20.100000000000001" hidden="1" customHeight="1" x14ac:dyDescent="0.25">
      <c r="B37" s="10"/>
      <c r="C37" s="118" t="s">
        <v>30</v>
      </c>
      <c r="D37" s="118"/>
      <c r="E37" s="118"/>
      <c r="F37" s="11"/>
    </row>
    <row r="38" spans="2:6" ht="15" hidden="1" customHeight="1" x14ac:dyDescent="0.25">
      <c r="B38" s="1"/>
      <c r="C38" s="94"/>
      <c r="D38" s="94"/>
      <c r="E38" s="94"/>
      <c r="F38" s="2"/>
    </row>
    <row r="39" spans="2:6" ht="15" hidden="1" customHeight="1" x14ac:dyDescent="0.25">
      <c r="B39" s="1"/>
      <c r="C39" s="94" t="s">
        <v>138</v>
      </c>
      <c r="D39" s="94"/>
      <c r="E39" s="94"/>
      <c r="F39" s="2"/>
    </row>
    <row r="40" spans="2:6" ht="15" hidden="1" customHeight="1" x14ac:dyDescent="0.25">
      <c r="B40" s="1"/>
      <c r="C40" s="97" t="s">
        <v>128</v>
      </c>
      <c r="D40" s="100" t="s">
        <v>134</v>
      </c>
      <c r="E40" s="96" t="s">
        <v>37</v>
      </c>
      <c r="F40" s="2"/>
    </row>
    <row r="41" spans="2:6" ht="15" hidden="1" customHeight="1" x14ac:dyDescent="0.25">
      <c r="B41" s="1"/>
      <c r="C41" s="98" t="s">
        <v>35</v>
      </c>
      <c r="D41" s="101">
        <f>I.Production.P2aQuantity</f>
        <v>0</v>
      </c>
      <c r="E41" s="95" t="s">
        <v>39</v>
      </c>
      <c r="F41" s="2"/>
    </row>
    <row r="42" spans="2:6" ht="15" hidden="1" customHeight="1" x14ac:dyDescent="0.35">
      <c r="B42" s="1"/>
      <c r="C42" s="98" t="s">
        <v>129</v>
      </c>
      <c r="D42" s="101">
        <f>IF(I.Facility.StandardPart="Part 2",('Production Data'!D71*Developer!T29)+SUMPRODUCT('Production Data'!D72:D76,Developer!T33:T37),SUMPRODUCT('Production Data'!D77:D79,Developer!T4:T6))+SUMPRODUCT(I.Production.P2aC2,Developer!T7:T27)+IF(I.Facility.StandardPart="Part 2",'Production Data'!D107*Developer!T29+'Production Data'!D108*Developer!T39,SUMPRODUCT('Production Data'!D109:D111,Developer!T4:T6))+SUMPRODUCT(I.Production.P2aC4,Developer!T4:T6)</f>
        <v>0</v>
      </c>
      <c r="E42" s="104" t="s">
        <v>135</v>
      </c>
      <c r="F42" s="2"/>
    </row>
    <row r="43" spans="2:6" ht="15" hidden="1" customHeight="1" x14ac:dyDescent="0.35">
      <c r="B43" s="1"/>
      <c r="C43" s="98" t="s">
        <v>130</v>
      </c>
      <c r="D43" s="101">
        <f>IF(I.Facility.StandardPart="Part 2",('Electricity Data'!D66*Developer!T29)+SUMPRODUCT('Electricity Data'!D67:D71,Developer!T33:T37),SUMPRODUCT('Electricity Data'!D72:D74,Developer!T4:T6))+SUMPRODUCT(I.Electricity.P2aC2,Developer!T7:T27)+IF(I.Facility.StandardPart="Part 2",'Electricity Data'!D102*Developer!T29+'Electricity Data'!D103*Developer!T39,SUMPRODUCT('Electricity Data'!D104:D106,Developer!T4:T6))+SUMPRODUCT(I.Electricity.P2aC4,Developer!T4:T6)</f>
        <v>0</v>
      </c>
      <c r="E43" s="104" t="s">
        <v>135</v>
      </c>
      <c r="F43" s="2"/>
    </row>
    <row r="44" spans="2:6" ht="15" hidden="1" customHeight="1" x14ac:dyDescent="0.35">
      <c r="B44" s="1"/>
      <c r="C44" s="98" t="s">
        <v>131</v>
      </c>
      <c r="D44" s="101">
        <f>D42+D43</f>
        <v>0</v>
      </c>
      <c r="E44" s="104" t="s">
        <v>135</v>
      </c>
      <c r="F44" s="2"/>
    </row>
    <row r="45" spans="2:6" ht="15" hidden="1" customHeight="1" x14ac:dyDescent="0.25">
      <c r="B45" s="1"/>
      <c r="C45" s="98" t="s">
        <v>139</v>
      </c>
      <c r="D45" s="102"/>
      <c r="E45" s="95"/>
      <c r="F45" s="2"/>
    </row>
    <row r="46" spans="2:6" ht="15" hidden="1" customHeight="1" x14ac:dyDescent="0.25">
      <c r="B46" s="1"/>
      <c r="C46" s="98" t="s">
        <v>140</v>
      </c>
      <c r="D46" s="101" t="str">
        <f>IFERROR(IF(D45&gt;12,VLOOKUP("Upstream oil and gas 12",S.Developer.Lookups,2,FALSE),VLOOKUP("Upstream oil and gas "&amp;D45,S.Developer.Lookups,2,FALSE)),"")</f>
        <v/>
      </c>
      <c r="E46" s="95"/>
      <c r="F46" s="2"/>
    </row>
    <row r="47" spans="2:6" ht="15" hidden="1" customHeight="1" x14ac:dyDescent="0.35">
      <c r="B47" s="1"/>
      <c r="C47" s="98" t="s">
        <v>141</v>
      </c>
      <c r="D47" s="103"/>
      <c r="E47" s="104" t="s">
        <v>2484</v>
      </c>
      <c r="F47" s="2"/>
    </row>
    <row r="48" spans="2:6" ht="15" hidden="1" customHeight="1" x14ac:dyDescent="0.35">
      <c r="B48" s="1"/>
      <c r="C48" s="98" t="s">
        <v>142</v>
      </c>
      <c r="D48" s="101" t="str">
        <f>IFERROR(IF(AND(D46&lt;&gt;"",D47&lt;&gt;""),D46*D47,""),"")</f>
        <v/>
      </c>
      <c r="E48" s="104" t="s">
        <v>2484</v>
      </c>
      <c r="F48" s="2"/>
    </row>
    <row r="49" spans="2:6" ht="15" hidden="1" customHeight="1" x14ac:dyDescent="0.25">
      <c r="B49" s="1"/>
      <c r="C49" s="94"/>
      <c r="D49" s="94"/>
      <c r="E49" s="94"/>
      <c r="F49" s="2"/>
    </row>
    <row r="50" spans="2:6" ht="15" hidden="1" customHeight="1" x14ac:dyDescent="0.25">
      <c r="B50" s="1"/>
      <c r="C50" s="94" t="s">
        <v>143</v>
      </c>
      <c r="D50" s="94"/>
      <c r="E50" s="94"/>
      <c r="F50" s="2"/>
    </row>
    <row r="51" spans="2:6" ht="15" hidden="1" customHeight="1" x14ac:dyDescent="0.25">
      <c r="B51" s="1"/>
      <c r="C51" s="97" t="s">
        <v>128</v>
      </c>
      <c r="D51" s="100" t="s">
        <v>134</v>
      </c>
      <c r="E51" s="96" t="s">
        <v>37</v>
      </c>
      <c r="F51" s="2"/>
    </row>
    <row r="52" spans="2:6" ht="15" hidden="1" customHeight="1" x14ac:dyDescent="0.25">
      <c r="B52" s="1"/>
      <c r="C52" s="98" t="s">
        <v>35</v>
      </c>
      <c r="D52" s="101">
        <f t="array" ref="D52">SUM(IF(I.Gas.P2aTotalGasEnergy&lt;&gt;0,I.Gas.P2aElectricityGeneration*I.Gas.P2aAssociatedGasEnergy/I.Gas.P2aTotalGasEnergy,0))</f>
        <v>0</v>
      </c>
      <c r="E52" s="95" t="s">
        <v>136</v>
      </c>
      <c r="F52" s="2"/>
    </row>
    <row r="53" spans="2:6" ht="15" hidden="1" customHeight="1" x14ac:dyDescent="0.35">
      <c r="B53" s="1"/>
      <c r="C53" s="98" t="s">
        <v>129</v>
      </c>
      <c r="D53" s="101">
        <f>IF(I.Facility.StandardPart="Part 2",SUBTOTAL(9,I.Gas.P2aC1V1)*Developer!T29,SUBTOTAL(9,I.Gas.P2aC1E1)*Developer!T4+SUBTOTAL(9,I.Gas.P2aC1E2)*Developer!T5+SUBTOTAL(9,I.Gas.P2aC1E3)*Developer!T6)</f>
        <v>0</v>
      </c>
      <c r="E53" s="104" t="s">
        <v>135</v>
      </c>
      <c r="F53" s="2"/>
    </row>
    <row r="54" spans="2:6" ht="15" hidden="1" customHeight="1" x14ac:dyDescent="0.35">
      <c r="B54" s="1"/>
      <c r="C54" s="98" t="s">
        <v>131</v>
      </c>
      <c r="D54" s="101">
        <f>D53</f>
        <v>0</v>
      </c>
      <c r="E54" s="104" t="s">
        <v>135</v>
      </c>
      <c r="F54" s="2"/>
    </row>
    <row r="55" spans="2:6" ht="15" hidden="1" customHeight="1" x14ac:dyDescent="0.25">
      <c r="B55" s="1"/>
      <c r="C55" s="98" t="s">
        <v>139</v>
      </c>
      <c r="D55" s="102"/>
      <c r="E55" s="95"/>
      <c r="F55" s="2"/>
    </row>
    <row r="56" spans="2:6" ht="15" hidden="1" customHeight="1" x14ac:dyDescent="0.25">
      <c r="B56" s="1"/>
      <c r="C56" s="98" t="s">
        <v>140</v>
      </c>
      <c r="D56" s="101" t="str">
        <f>IFERROR(IF(D55&gt;8,VLOOKUP("Gas-to-power operation 8",S.Developer.Lookups,2,FALSE),VLOOKUP("Gas-to-power operation "&amp;D55,S.Developer.Lookups,2,FALSE)),"")</f>
        <v/>
      </c>
      <c r="E56" s="95"/>
      <c r="F56" s="2"/>
    </row>
    <row r="57" spans="2:6" ht="15" hidden="1" customHeight="1" x14ac:dyDescent="0.35">
      <c r="B57" s="1"/>
      <c r="C57" s="98" t="s">
        <v>141</v>
      </c>
      <c r="D57" s="103"/>
      <c r="E57" s="104" t="s">
        <v>2485</v>
      </c>
      <c r="F57" s="2"/>
    </row>
    <row r="58" spans="2:6" ht="15" hidden="1" customHeight="1" x14ac:dyDescent="0.35">
      <c r="B58" s="1"/>
      <c r="C58" s="98" t="s">
        <v>142</v>
      </c>
      <c r="D58" s="101" t="str">
        <f>IFERROR(IF(AND(D56&lt;&gt;"",D57&lt;&gt;""),D56*D57,""),"")</f>
        <v/>
      </c>
      <c r="E58" s="104" t="s">
        <v>2485</v>
      </c>
      <c r="F58" s="2"/>
    </row>
    <row r="59" spans="2:6" ht="15" hidden="1" customHeight="1" x14ac:dyDescent="0.25">
      <c r="B59" s="1"/>
      <c r="C59" s="94"/>
      <c r="D59" s="94"/>
      <c r="E59" s="94"/>
      <c r="F59" s="2"/>
    </row>
    <row r="60" spans="2:6" ht="15" hidden="1" customHeight="1" x14ac:dyDescent="0.25">
      <c r="B60" s="1"/>
      <c r="C60" s="94" t="s">
        <v>137</v>
      </c>
      <c r="D60" s="94"/>
      <c r="E60" s="94"/>
      <c r="F60" s="2"/>
    </row>
    <row r="61" spans="2:6" ht="15" hidden="1" customHeight="1" x14ac:dyDescent="0.25">
      <c r="B61" s="1"/>
      <c r="C61" s="97" t="s">
        <v>128</v>
      </c>
      <c r="D61" s="100" t="s">
        <v>134</v>
      </c>
      <c r="E61" s="96" t="s">
        <v>37</v>
      </c>
      <c r="F61" s="2"/>
    </row>
    <row r="62" spans="2:6" ht="15" hidden="1" customHeight="1" x14ac:dyDescent="0.25">
      <c r="B62" s="1"/>
      <c r="C62" s="98" t="s">
        <v>125</v>
      </c>
      <c r="D62" s="101">
        <f>I.Drilling.P2aDepth</f>
        <v>0</v>
      </c>
      <c r="E62" s="95" t="s">
        <v>126</v>
      </c>
      <c r="F62" s="2"/>
    </row>
    <row r="63" spans="2:6" ht="15" hidden="1" customHeight="1" x14ac:dyDescent="0.35">
      <c r="B63" s="1"/>
      <c r="C63" s="98" t="s">
        <v>132</v>
      </c>
      <c r="D63" s="101">
        <f>SUMPRODUCT(I.Drilling.P2aC1,Developer!T4:T6)</f>
        <v>0</v>
      </c>
      <c r="E63" s="104" t="s">
        <v>135</v>
      </c>
      <c r="F63" s="2"/>
    </row>
    <row r="64" spans="2:6" ht="15" hidden="1" customHeight="1" x14ac:dyDescent="0.25">
      <c r="B64" s="1"/>
      <c r="C64" s="94"/>
      <c r="D64" s="94"/>
      <c r="E64" s="94"/>
      <c r="F64" s="2"/>
    </row>
    <row r="65" spans="2:6" ht="20.100000000000001" hidden="1" customHeight="1" x14ac:dyDescent="0.25">
      <c r="B65" s="10"/>
      <c r="C65" s="118" t="s">
        <v>31</v>
      </c>
      <c r="D65" s="118"/>
      <c r="E65" s="118"/>
      <c r="F65" s="11"/>
    </row>
    <row r="66" spans="2:6" ht="15" hidden="1" customHeight="1" x14ac:dyDescent="0.25">
      <c r="B66" s="1"/>
      <c r="C66" s="94"/>
      <c r="D66" s="94"/>
      <c r="E66" s="94"/>
      <c r="F66" s="2"/>
    </row>
    <row r="67" spans="2:6" ht="15" hidden="1" customHeight="1" x14ac:dyDescent="0.25">
      <c r="B67" s="1"/>
      <c r="C67" s="94" t="s">
        <v>138</v>
      </c>
      <c r="D67" s="94"/>
      <c r="E67" s="94"/>
      <c r="F67" s="2"/>
    </row>
    <row r="68" spans="2:6" ht="15" hidden="1" customHeight="1" x14ac:dyDescent="0.25">
      <c r="B68" s="1"/>
      <c r="C68" s="97" t="s">
        <v>128</v>
      </c>
      <c r="D68" s="100" t="s">
        <v>134</v>
      </c>
      <c r="E68" s="96" t="s">
        <v>37</v>
      </c>
      <c r="F68" s="2"/>
    </row>
    <row r="69" spans="2:6" ht="15" hidden="1" customHeight="1" x14ac:dyDescent="0.25">
      <c r="B69" s="1"/>
      <c r="C69" s="98" t="s">
        <v>35</v>
      </c>
      <c r="D69" s="101">
        <f>I.Production.P2bQuantity</f>
        <v>0</v>
      </c>
      <c r="E69" s="95" t="s">
        <v>39</v>
      </c>
      <c r="F69" s="2"/>
    </row>
    <row r="70" spans="2:6" ht="15" hidden="1" customHeight="1" x14ac:dyDescent="0.35">
      <c r="B70" s="1"/>
      <c r="C70" s="98" t="s">
        <v>129</v>
      </c>
      <c r="D70" s="101">
        <f>IF(I.Facility.StandardPart="Part 2",('Production Data'!D129*Developer!T30)+SUMPRODUCT('Production Data'!D130:D134,Developer!T33:T37),SUMPRODUCT('Production Data'!D135:D137,Developer!T4:T6))+SUMPRODUCT(I.Production.P2bC2,Developer!T7:T27)+IF(I.Facility.StandardPart="Part 2",'Production Data'!D165*Developer!T30+'Production Data'!D166*Developer!T40,SUMPRODUCT('Production Data'!D167:D169,Developer!T4:T6))+SUMPRODUCT(I.Production.P2bC4,Developer!T4:T6)</f>
        <v>0</v>
      </c>
      <c r="E70" s="104" t="s">
        <v>135</v>
      </c>
      <c r="F70" s="2"/>
    </row>
    <row r="71" spans="2:6" ht="15" hidden="1" customHeight="1" x14ac:dyDescent="0.35">
      <c r="B71" s="1"/>
      <c r="C71" s="98" t="s">
        <v>130</v>
      </c>
      <c r="D71" s="101">
        <f>IF(I.Facility.StandardPart="Part 2",('Electricity Data'!D120*Developer!T30)+SUMPRODUCT('Electricity Data'!D121:D125,Developer!T33:T37),SUMPRODUCT('Electricity Data'!D126:D128,Developer!T4:T6))+SUMPRODUCT(I.Electricity.P2bC2,Developer!T7:T27)+IF(I.Facility.StandardPart="Part 2",'Electricity Data'!D156*Developer!T30+'Electricity Data'!D157*Developer!T40,SUMPRODUCT('Electricity Data'!D158:D160,Developer!T4:T6))+SUMPRODUCT(I.Electricity.P2bC4,Developer!T4:T6)</f>
        <v>0</v>
      </c>
      <c r="E71" s="104" t="s">
        <v>135</v>
      </c>
      <c r="F71" s="2"/>
    </row>
    <row r="72" spans="2:6" ht="15" hidden="1" customHeight="1" x14ac:dyDescent="0.35">
      <c r="B72" s="1"/>
      <c r="C72" s="98" t="s">
        <v>131</v>
      </c>
      <c r="D72" s="101">
        <f>D70+D71</f>
        <v>0</v>
      </c>
      <c r="E72" s="104" t="s">
        <v>135</v>
      </c>
      <c r="F72" s="2"/>
    </row>
    <row r="73" spans="2:6" ht="15" hidden="1" customHeight="1" x14ac:dyDescent="0.25">
      <c r="B73" s="1"/>
      <c r="C73" s="98" t="s">
        <v>139</v>
      </c>
      <c r="D73" s="102"/>
      <c r="E73" s="95"/>
      <c r="F73" s="2"/>
    </row>
    <row r="74" spans="2:6" ht="15" hidden="1" customHeight="1" x14ac:dyDescent="0.25">
      <c r="B74" s="1"/>
      <c r="C74" s="98" t="s">
        <v>140</v>
      </c>
      <c r="D74" s="101" t="str">
        <f>IFERROR(IF(D73&gt;12,VLOOKUP("Upstream oil and gas 12",S.Developer.Lookups,2,FALSE),VLOOKUP("Upstream oil and gas "&amp;D73,S.Developer.Lookups,2,FALSE)),"")</f>
        <v/>
      </c>
      <c r="E74" s="95"/>
      <c r="F74" s="2"/>
    </row>
    <row r="75" spans="2:6" ht="15" hidden="1" customHeight="1" x14ac:dyDescent="0.35">
      <c r="B75" s="1"/>
      <c r="C75" s="98" t="s">
        <v>141</v>
      </c>
      <c r="D75" s="103"/>
      <c r="E75" s="104" t="s">
        <v>2484</v>
      </c>
      <c r="F75" s="2"/>
    </row>
    <row r="76" spans="2:6" ht="15" hidden="1" customHeight="1" x14ac:dyDescent="0.35">
      <c r="B76" s="1"/>
      <c r="C76" s="98" t="s">
        <v>142</v>
      </c>
      <c r="D76" s="101" t="str">
        <f>IFERROR(IF(AND(D74&lt;&gt;"",D75&lt;&gt;""),D74*D75,""),"")</f>
        <v/>
      </c>
      <c r="E76" s="104" t="s">
        <v>2484</v>
      </c>
      <c r="F76" s="2"/>
    </row>
    <row r="77" spans="2:6" ht="15" hidden="1" customHeight="1" x14ac:dyDescent="0.25">
      <c r="B77" s="1"/>
      <c r="C77" s="94"/>
      <c r="D77" s="94"/>
      <c r="E77" s="94"/>
      <c r="F77" s="2"/>
    </row>
    <row r="78" spans="2:6" ht="15" hidden="1" customHeight="1" x14ac:dyDescent="0.25">
      <c r="B78" s="1"/>
      <c r="C78" s="94" t="s">
        <v>143</v>
      </c>
      <c r="D78" s="94"/>
      <c r="E78" s="94"/>
      <c r="F78" s="2"/>
    </row>
    <row r="79" spans="2:6" ht="15" hidden="1" customHeight="1" x14ac:dyDescent="0.25">
      <c r="B79" s="1"/>
      <c r="C79" s="97" t="s">
        <v>128</v>
      </c>
      <c r="D79" s="100" t="s">
        <v>134</v>
      </c>
      <c r="E79" s="96" t="s">
        <v>37</v>
      </c>
      <c r="F79" s="2"/>
    </row>
    <row r="80" spans="2:6" ht="15" hidden="1" customHeight="1" x14ac:dyDescent="0.25">
      <c r="B80" s="1"/>
      <c r="C80" s="98" t="s">
        <v>35</v>
      </c>
      <c r="D80" s="101">
        <f t="array" ref="D80">SUM(IF(I.Gas.P2bTotalGasEnergy&lt;&gt;0,I.Gas.P2bElectricityGeneration*I.Gas.P2bAssociatedGasEnergy/I.Gas.P2bTotalGasEnergy,0))</f>
        <v>0</v>
      </c>
      <c r="E80" s="95" t="s">
        <v>136</v>
      </c>
      <c r="F80" s="2"/>
    </row>
    <row r="81" spans="2:6" ht="15" hidden="1" customHeight="1" x14ac:dyDescent="0.35">
      <c r="B81" s="1"/>
      <c r="C81" s="98" t="s">
        <v>129</v>
      </c>
      <c r="D81" s="101">
        <f>IF(I.Facility.StandardPart="Part 2",SUBTOTAL(9,I.Gas.P2bC1V1)*Developer!T30,SUBTOTAL(9,I.Gas.P2bC1E1)*Developer!T4+SUBTOTAL(9,I.Gas.P2bC1E2)*Developer!T5+SUBTOTAL(9,I.Gas.P2bC1E3)*Developer!T6)</f>
        <v>0</v>
      </c>
      <c r="E81" s="104" t="s">
        <v>135</v>
      </c>
      <c r="F81" s="2"/>
    </row>
    <row r="82" spans="2:6" ht="15" hidden="1" customHeight="1" x14ac:dyDescent="0.35">
      <c r="B82" s="1"/>
      <c r="C82" s="98" t="s">
        <v>131</v>
      </c>
      <c r="D82" s="101">
        <f>D81</f>
        <v>0</v>
      </c>
      <c r="E82" s="104" t="s">
        <v>135</v>
      </c>
      <c r="F82" s="2"/>
    </row>
    <row r="83" spans="2:6" ht="15" hidden="1" customHeight="1" x14ac:dyDescent="0.25">
      <c r="B83" s="1"/>
      <c r="C83" s="98" t="s">
        <v>139</v>
      </c>
      <c r="D83" s="102"/>
      <c r="E83" s="95"/>
      <c r="F83" s="2"/>
    </row>
    <row r="84" spans="2:6" ht="15" hidden="1" customHeight="1" x14ac:dyDescent="0.25">
      <c r="B84" s="1"/>
      <c r="C84" s="98" t="s">
        <v>140</v>
      </c>
      <c r="D84" s="101" t="str">
        <f>IFERROR(IF(D83&gt;8,VLOOKUP("Gas-to-power operation 8",S.Developer.Lookups,2,FALSE),VLOOKUP("Gas-to-power operation "&amp;D83,S.Developer.Lookups,2,FALSE)),"")</f>
        <v/>
      </c>
      <c r="E84" s="95"/>
      <c r="F84" s="2"/>
    </row>
    <row r="85" spans="2:6" ht="15" hidden="1" customHeight="1" x14ac:dyDescent="0.35">
      <c r="B85" s="1"/>
      <c r="C85" s="98" t="s">
        <v>141</v>
      </c>
      <c r="D85" s="103"/>
      <c r="E85" s="104" t="s">
        <v>2485</v>
      </c>
      <c r="F85" s="2"/>
    </row>
    <row r="86" spans="2:6" ht="15" hidden="1" customHeight="1" x14ac:dyDescent="0.35">
      <c r="B86" s="1"/>
      <c r="C86" s="98" t="s">
        <v>142</v>
      </c>
      <c r="D86" s="101" t="str">
        <f>IFERROR(IF(AND(D84&lt;&gt;"",D85&lt;&gt;""),D84*D85,""),"")</f>
        <v/>
      </c>
      <c r="E86" s="104" t="s">
        <v>2485</v>
      </c>
      <c r="F86" s="2"/>
    </row>
    <row r="87" spans="2:6" ht="15" hidden="1" customHeight="1" x14ac:dyDescent="0.25">
      <c r="B87" s="1"/>
      <c r="C87" s="94"/>
      <c r="D87" s="94"/>
      <c r="E87" s="94"/>
      <c r="F87" s="2"/>
    </row>
    <row r="88" spans="2:6" ht="15" hidden="1" customHeight="1" x14ac:dyDescent="0.25">
      <c r="B88" s="1"/>
      <c r="C88" s="94" t="s">
        <v>137</v>
      </c>
      <c r="D88" s="94"/>
      <c r="E88" s="94"/>
      <c r="F88" s="2"/>
    </row>
    <row r="89" spans="2:6" ht="15" hidden="1" customHeight="1" x14ac:dyDescent="0.25">
      <c r="B89" s="1"/>
      <c r="C89" s="97" t="s">
        <v>128</v>
      </c>
      <c r="D89" s="100" t="s">
        <v>134</v>
      </c>
      <c r="E89" s="96" t="s">
        <v>37</v>
      </c>
      <c r="F89" s="2"/>
    </row>
    <row r="90" spans="2:6" ht="15" hidden="1" customHeight="1" x14ac:dyDescent="0.25">
      <c r="B90" s="1"/>
      <c r="C90" s="98" t="s">
        <v>125</v>
      </c>
      <c r="D90" s="101">
        <f>I.Drilling.P2bDepth</f>
        <v>0</v>
      </c>
      <c r="E90" s="95" t="s">
        <v>126</v>
      </c>
      <c r="F90" s="2"/>
    </row>
    <row r="91" spans="2:6" ht="15" hidden="1" customHeight="1" x14ac:dyDescent="0.35">
      <c r="B91" s="1"/>
      <c r="C91" s="98" t="s">
        <v>132</v>
      </c>
      <c r="D91" s="101">
        <f>SUMPRODUCT(I.Drilling.P2bC1,Developer!T4:T6)</f>
        <v>0</v>
      </c>
      <c r="E91" s="104" t="s">
        <v>135</v>
      </c>
      <c r="F91" s="2"/>
    </row>
    <row r="92" spans="2:6" ht="15" hidden="1" customHeight="1" x14ac:dyDescent="0.25">
      <c r="B92" s="1"/>
      <c r="C92" s="94"/>
      <c r="D92" s="94"/>
      <c r="E92" s="94"/>
      <c r="F92" s="2"/>
    </row>
    <row r="93" spans="2:6" ht="20.100000000000001" hidden="1" customHeight="1" x14ac:dyDescent="0.25">
      <c r="B93" s="10"/>
      <c r="C93" s="118" t="s">
        <v>32</v>
      </c>
      <c r="D93" s="118"/>
      <c r="E93" s="118"/>
      <c r="F93" s="11"/>
    </row>
    <row r="94" spans="2:6" ht="15" hidden="1" customHeight="1" x14ac:dyDescent="0.25">
      <c r="B94" s="1"/>
      <c r="C94" s="94"/>
      <c r="D94" s="94"/>
      <c r="E94" s="94"/>
      <c r="F94" s="2"/>
    </row>
    <row r="95" spans="2:6" ht="15" hidden="1" customHeight="1" x14ac:dyDescent="0.25">
      <c r="B95" s="1"/>
      <c r="C95" s="94" t="s">
        <v>138</v>
      </c>
      <c r="D95" s="94"/>
      <c r="E95" s="94"/>
      <c r="F95" s="2"/>
    </row>
    <row r="96" spans="2:6" ht="15" hidden="1" customHeight="1" x14ac:dyDescent="0.25">
      <c r="B96" s="1"/>
      <c r="C96" s="97" t="s">
        <v>128</v>
      </c>
      <c r="D96" s="100" t="s">
        <v>134</v>
      </c>
      <c r="E96" s="96" t="s">
        <v>37</v>
      </c>
      <c r="F96" s="2"/>
    </row>
    <row r="97" spans="2:6" ht="15" hidden="1" customHeight="1" x14ac:dyDescent="0.25">
      <c r="B97" s="1"/>
      <c r="C97" s="98" t="s">
        <v>35</v>
      </c>
      <c r="D97" s="101">
        <f>I.Production.P3Quantity</f>
        <v>0</v>
      </c>
      <c r="E97" s="95" t="s">
        <v>39</v>
      </c>
      <c r="F97" s="2"/>
    </row>
    <row r="98" spans="2:6" ht="15" hidden="1" customHeight="1" x14ac:dyDescent="0.35">
      <c r="B98" s="1"/>
      <c r="C98" s="98" t="s">
        <v>129</v>
      </c>
      <c r="D98" s="101">
        <f>IF(I.Facility.StandardPart="Part 2",('Production Data'!D187*Developer!T31)+SUMPRODUCT('Production Data'!D188:D192,Developer!T33:T37),SUMPRODUCT('Production Data'!D193:D195,Developer!T4:T6))+SUMPRODUCT(I.Production.P3C2,Developer!T7:T27)+IF(I.Facility.StandardPart="Part 2",'Production Data'!D223*Developer!T31+'Production Data'!D224*Developer!T41,SUMPRODUCT('Production Data'!D225:D227,Developer!T4:T6))+SUMPRODUCT(I.Production.P3C4,Developer!T4:T6)</f>
        <v>0</v>
      </c>
      <c r="E98" s="104" t="s">
        <v>135</v>
      </c>
      <c r="F98" s="2"/>
    </row>
    <row r="99" spans="2:6" ht="15" hidden="1" customHeight="1" x14ac:dyDescent="0.35">
      <c r="B99" s="1"/>
      <c r="C99" s="98" t="s">
        <v>130</v>
      </c>
      <c r="D99" s="101">
        <f>IF(I.Facility.StandardPart="Part 2",('Electricity Data'!D174*Developer!T31)+SUMPRODUCT('Electricity Data'!D175:D179,Developer!T33:T37),SUMPRODUCT('Electricity Data'!D180:D182,Developer!T4:T6))+SUMPRODUCT(I.Electricity.P3C2,Developer!T7:T27)+IF(I.Facility.StandardPart="Part 2",'Electricity Data'!D210*Developer!T31+'Electricity Data'!D211*Developer!T41,SUMPRODUCT('Electricity Data'!D212:D214,Developer!T4:T6))+SUMPRODUCT(I.Electricity.P3C4,Developer!T4:T6)</f>
        <v>0</v>
      </c>
      <c r="E99" s="104" t="s">
        <v>135</v>
      </c>
      <c r="F99" s="2"/>
    </row>
    <row r="100" spans="2:6" ht="15" hidden="1" customHeight="1" x14ac:dyDescent="0.35">
      <c r="B100" s="1"/>
      <c r="C100" s="98" t="s">
        <v>131</v>
      </c>
      <c r="D100" s="101">
        <f>D98+D99</f>
        <v>0</v>
      </c>
      <c r="E100" s="104" t="s">
        <v>135</v>
      </c>
      <c r="F100" s="2"/>
    </row>
    <row r="101" spans="2:6" ht="15" hidden="1" customHeight="1" x14ac:dyDescent="0.25">
      <c r="B101" s="1"/>
      <c r="C101" s="98" t="s">
        <v>139</v>
      </c>
      <c r="D101" s="102"/>
      <c r="E101" s="95"/>
      <c r="F101" s="2"/>
    </row>
    <row r="102" spans="2:6" ht="15" hidden="1" customHeight="1" x14ac:dyDescent="0.25">
      <c r="B102" s="1"/>
      <c r="C102" s="98" t="s">
        <v>140</v>
      </c>
      <c r="D102" s="101" t="str">
        <f>IFERROR(IF(D101&gt;12,VLOOKUP("Upstream oil and gas 12",S.Developer.Lookups,2,FALSE),VLOOKUP("Upstream oil and gas "&amp;D101,S.Developer.Lookups,2,FALSE)),"")</f>
        <v/>
      </c>
      <c r="E102" s="95"/>
      <c r="F102" s="2"/>
    </row>
    <row r="103" spans="2:6" ht="15" hidden="1" customHeight="1" x14ac:dyDescent="0.35">
      <c r="B103" s="1"/>
      <c r="C103" s="98" t="s">
        <v>141</v>
      </c>
      <c r="D103" s="103"/>
      <c r="E103" s="104" t="s">
        <v>2484</v>
      </c>
      <c r="F103" s="2"/>
    </row>
    <row r="104" spans="2:6" ht="15" hidden="1" customHeight="1" x14ac:dyDescent="0.35">
      <c r="B104" s="1"/>
      <c r="C104" s="98" t="s">
        <v>142</v>
      </c>
      <c r="D104" s="101" t="str">
        <f>IFERROR(IF(AND(D102&lt;&gt;"",D103&lt;&gt;""),D102*D103,""),"")</f>
        <v/>
      </c>
      <c r="E104" s="104" t="s">
        <v>2484</v>
      </c>
      <c r="F104" s="2"/>
    </row>
    <row r="105" spans="2:6" ht="15" hidden="1" customHeight="1" x14ac:dyDescent="0.25">
      <c r="B105" s="1"/>
      <c r="C105" s="94"/>
      <c r="D105" s="94"/>
      <c r="E105" s="94"/>
      <c r="F105" s="2"/>
    </row>
    <row r="106" spans="2:6" ht="15" hidden="1" customHeight="1" x14ac:dyDescent="0.25">
      <c r="B106" s="1"/>
      <c r="C106" s="94" t="s">
        <v>143</v>
      </c>
      <c r="D106" s="94"/>
      <c r="E106" s="94"/>
      <c r="F106" s="2"/>
    </row>
    <row r="107" spans="2:6" ht="15" hidden="1" customHeight="1" x14ac:dyDescent="0.25">
      <c r="B107" s="1"/>
      <c r="C107" s="97" t="s">
        <v>128</v>
      </c>
      <c r="D107" s="100" t="s">
        <v>134</v>
      </c>
      <c r="E107" s="96" t="s">
        <v>37</v>
      </c>
      <c r="F107" s="2"/>
    </row>
    <row r="108" spans="2:6" ht="15" hidden="1" customHeight="1" x14ac:dyDescent="0.25">
      <c r="B108" s="1"/>
      <c r="C108" s="98" t="s">
        <v>35</v>
      </c>
      <c r="D108" s="101">
        <f t="array" ref="D108">SUM(IF(I.Gas.P3TotalGasEnergy&lt;&gt;0,I.Gas.P3ElectricityGeneration*I.Gas.P3AssociatedGasEnergy/I.Gas.P3TotalGasEnergy,0))</f>
        <v>0</v>
      </c>
      <c r="E108" s="95" t="s">
        <v>136</v>
      </c>
      <c r="F108" s="2"/>
    </row>
    <row r="109" spans="2:6" ht="15" hidden="1" customHeight="1" x14ac:dyDescent="0.35">
      <c r="B109" s="1"/>
      <c r="C109" s="98" t="s">
        <v>129</v>
      </c>
      <c r="D109" s="101">
        <f>IF(I.Facility.StandardPart="Part 2",SUBTOTAL(9,I.Gas.P3C1V1)*Developer!T31,SUBTOTAL(9,I.Gas.P3C1E1)*Developer!T4+SUBTOTAL(9,I.Gas.P3C1E2)*Developer!T5+SUBTOTAL(9,I.Gas.P3C1E3)*Developer!T6)</f>
        <v>0</v>
      </c>
      <c r="E109" s="104" t="s">
        <v>135</v>
      </c>
      <c r="F109" s="2"/>
    </row>
    <row r="110" spans="2:6" ht="15" hidden="1" customHeight="1" x14ac:dyDescent="0.35">
      <c r="B110" s="1"/>
      <c r="C110" s="98" t="s">
        <v>131</v>
      </c>
      <c r="D110" s="101">
        <f>D109</f>
        <v>0</v>
      </c>
      <c r="E110" s="104" t="s">
        <v>135</v>
      </c>
      <c r="F110" s="2"/>
    </row>
    <row r="111" spans="2:6" ht="15" hidden="1" customHeight="1" x14ac:dyDescent="0.25">
      <c r="B111" s="1"/>
      <c r="C111" s="98" t="s">
        <v>139</v>
      </c>
      <c r="D111" s="102"/>
      <c r="E111" s="95"/>
      <c r="F111" s="2"/>
    </row>
    <row r="112" spans="2:6" ht="15" hidden="1" customHeight="1" x14ac:dyDescent="0.25">
      <c r="B112" s="1"/>
      <c r="C112" s="98" t="s">
        <v>140</v>
      </c>
      <c r="D112" s="101" t="str">
        <f>IFERROR(IF(D111&gt;8,VLOOKUP("Gas-to-power operation 8",S.Developer.Lookups,2,FALSE),VLOOKUP("Gas-to-power operation "&amp;D111,S.Developer.Lookups,2,FALSE)),"")</f>
        <v/>
      </c>
      <c r="E112" s="95"/>
      <c r="F112" s="2"/>
    </row>
    <row r="113" spans="2:6" ht="15" hidden="1" customHeight="1" x14ac:dyDescent="0.35">
      <c r="B113" s="1"/>
      <c r="C113" s="98" t="s">
        <v>141</v>
      </c>
      <c r="D113" s="103"/>
      <c r="E113" s="104" t="s">
        <v>2485</v>
      </c>
      <c r="F113" s="2"/>
    </row>
    <row r="114" spans="2:6" ht="15" hidden="1" customHeight="1" x14ac:dyDescent="0.35">
      <c r="B114" s="1"/>
      <c r="C114" s="98" t="s">
        <v>142</v>
      </c>
      <c r="D114" s="101" t="str">
        <f>IFERROR(IF(AND(D112&lt;&gt;"",D113&lt;&gt;""),D112*D113,""),"")</f>
        <v/>
      </c>
      <c r="E114" s="104" t="s">
        <v>2485</v>
      </c>
      <c r="F114" s="2"/>
    </row>
    <row r="115" spans="2:6" ht="15" hidden="1" customHeight="1" x14ac:dyDescent="0.25">
      <c r="B115" s="1"/>
      <c r="C115" s="94"/>
      <c r="D115" s="94"/>
      <c r="E115" s="94"/>
      <c r="F115" s="2"/>
    </row>
    <row r="116" spans="2:6" ht="15" hidden="1" customHeight="1" x14ac:dyDescent="0.25">
      <c r="B116" s="1"/>
      <c r="C116" s="94" t="s">
        <v>137</v>
      </c>
      <c r="D116" s="94"/>
      <c r="E116" s="94"/>
      <c r="F116" s="2"/>
    </row>
    <row r="117" spans="2:6" ht="15" hidden="1" customHeight="1" x14ac:dyDescent="0.25">
      <c r="B117" s="1"/>
      <c r="C117" s="97" t="s">
        <v>128</v>
      </c>
      <c r="D117" s="100" t="s">
        <v>134</v>
      </c>
      <c r="E117" s="96" t="s">
        <v>37</v>
      </c>
      <c r="F117" s="2"/>
    </row>
    <row r="118" spans="2:6" ht="15" hidden="1" customHeight="1" x14ac:dyDescent="0.25">
      <c r="B118" s="1"/>
      <c r="C118" s="98" t="s">
        <v>125</v>
      </c>
      <c r="D118" s="101">
        <f>I.Drilling.P3Depth</f>
        <v>0</v>
      </c>
      <c r="E118" s="95" t="s">
        <v>126</v>
      </c>
      <c r="F118" s="2"/>
    </row>
    <row r="119" spans="2:6" ht="15" hidden="1" customHeight="1" x14ac:dyDescent="0.35">
      <c r="B119" s="1"/>
      <c r="C119" s="98" t="s">
        <v>132</v>
      </c>
      <c r="D119" s="101">
        <f>SUMPRODUCT(I.Drilling.P3C1,Developer!T4:T6)</f>
        <v>0</v>
      </c>
      <c r="E119" s="104" t="s">
        <v>135</v>
      </c>
      <c r="F119" s="2"/>
    </row>
    <row r="120" spans="2:6" ht="15" hidden="1" customHeight="1" x14ac:dyDescent="0.25">
      <c r="B120" s="1"/>
      <c r="C120" s="94"/>
      <c r="D120" s="94"/>
      <c r="E120" s="94"/>
      <c r="F120" s="2"/>
    </row>
    <row r="121" spans="2:6" ht="20.100000000000001" hidden="1" customHeight="1" x14ac:dyDescent="0.25">
      <c r="B121" s="10"/>
      <c r="C121" s="118" t="s">
        <v>33</v>
      </c>
      <c r="D121" s="118"/>
      <c r="E121" s="118"/>
      <c r="F121" s="11"/>
    </row>
    <row r="122" spans="2:6" ht="15" hidden="1" customHeight="1" x14ac:dyDescent="0.25">
      <c r="B122" s="1"/>
      <c r="C122" s="94"/>
      <c r="D122" s="94"/>
      <c r="E122" s="94"/>
      <c r="F122" s="2"/>
    </row>
    <row r="123" spans="2:6" ht="15" hidden="1" customHeight="1" x14ac:dyDescent="0.25">
      <c r="B123" s="1"/>
      <c r="C123" s="94" t="s">
        <v>138</v>
      </c>
      <c r="D123" s="94"/>
      <c r="E123" s="94"/>
      <c r="F123" s="2"/>
    </row>
    <row r="124" spans="2:6" ht="15" hidden="1" customHeight="1" x14ac:dyDescent="0.25">
      <c r="B124" s="1"/>
      <c r="C124" s="97" t="s">
        <v>128</v>
      </c>
      <c r="D124" s="100" t="s">
        <v>134</v>
      </c>
      <c r="E124" s="96" t="s">
        <v>37</v>
      </c>
      <c r="F124" s="2"/>
    </row>
    <row r="125" spans="2:6" ht="15" hidden="1" customHeight="1" x14ac:dyDescent="0.25">
      <c r="B125" s="1"/>
      <c r="C125" s="98" t="s">
        <v>35</v>
      </c>
      <c r="D125" s="101">
        <f>I.Production.P4Quantity</f>
        <v>0</v>
      </c>
      <c r="E125" s="95" t="s">
        <v>39</v>
      </c>
      <c r="F125" s="2"/>
    </row>
    <row r="126" spans="2:6" ht="15" hidden="1" customHeight="1" x14ac:dyDescent="0.35">
      <c r="B126" s="1"/>
      <c r="C126" s="98" t="s">
        <v>129</v>
      </c>
      <c r="D126" s="101">
        <f>IF(I.Facility.StandardPart="Part 2",('Production Data'!D245*Developer!T32)+SUMPRODUCT('Production Data'!D246:D250,Developer!T33:T37),SUMPRODUCT('Production Data'!D251:D253,Developer!T4:T6))+SUMPRODUCT(I.Production.P4C2,Developer!T7:T27)+IF(I.Facility.StandardPart="Part 2",'Production Data'!D281*Developer!T32+'Production Data'!D282*Developer!T42,SUMPRODUCT('Production Data'!D283:D285,Developer!T4:T6))+SUMPRODUCT(I.Production.P4C4,Developer!T4:T6)</f>
        <v>0</v>
      </c>
      <c r="E126" s="104" t="s">
        <v>135</v>
      </c>
      <c r="F126" s="2"/>
    </row>
    <row r="127" spans="2:6" ht="15" hidden="1" customHeight="1" x14ac:dyDescent="0.35">
      <c r="B127" s="1"/>
      <c r="C127" s="98" t="s">
        <v>130</v>
      </c>
      <c r="D127" s="101">
        <f>IF(I.Facility.StandardPart="Part 2",('Electricity Data'!D228*Developer!T32)+SUMPRODUCT('Electricity Data'!D229:D233,Developer!T33:T37),SUMPRODUCT('Electricity Data'!D234:D236,Developer!T4:T6))+SUMPRODUCT(I.Electricity.P4C2,Developer!T7:T27)+IF(I.Facility.StandardPart="Part 2",'Electricity Data'!D264*Developer!T32+'Electricity Data'!D265*Developer!T42,SUMPRODUCT('Electricity Data'!D266:D268,Developer!T4:T6))+SUMPRODUCT(I.Electricity.P4C4,Developer!T4:T6)</f>
        <v>0</v>
      </c>
      <c r="E127" s="104" t="s">
        <v>135</v>
      </c>
      <c r="F127" s="2"/>
    </row>
    <row r="128" spans="2:6" ht="15" hidden="1" customHeight="1" x14ac:dyDescent="0.35">
      <c r="B128" s="1"/>
      <c r="C128" s="98" t="s">
        <v>131</v>
      </c>
      <c r="D128" s="101">
        <f>D126+D127</f>
        <v>0</v>
      </c>
      <c r="E128" s="104" t="s">
        <v>135</v>
      </c>
      <c r="F128" s="2"/>
    </row>
    <row r="129" spans="2:6" ht="15" hidden="1" customHeight="1" x14ac:dyDescent="0.25">
      <c r="B129" s="1"/>
      <c r="C129" s="98" t="s">
        <v>139</v>
      </c>
      <c r="D129" s="102"/>
      <c r="E129" s="95"/>
      <c r="F129" s="2"/>
    </row>
    <row r="130" spans="2:6" ht="15" hidden="1" customHeight="1" x14ac:dyDescent="0.25">
      <c r="B130" s="1"/>
      <c r="C130" s="98" t="s">
        <v>140</v>
      </c>
      <c r="D130" s="101" t="str">
        <f>IFERROR(IF(D129&gt;12,VLOOKUP("Upstream oil and gas 12",S.Developer.Lookups,2,FALSE),VLOOKUP("Upstream oil and gas "&amp;D129,S.Developer.Lookups,2,FALSE)),"")</f>
        <v/>
      </c>
      <c r="E130" s="95"/>
      <c r="F130" s="2"/>
    </row>
    <row r="131" spans="2:6" ht="15" hidden="1" customHeight="1" x14ac:dyDescent="0.35">
      <c r="B131" s="1"/>
      <c r="C131" s="98" t="s">
        <v>141</v>
      </c>
      <c r="D131" s="103"/>
      <c r="E131" s="104" t="s">
        <v>2484</v>
      </c>
      <c r="F131" s="2"/>
    </row>
    <row r="132" spans="2:6" ht="15" hidden="1" customHeight="1" x14ac:dyDescent="0.35">
      <c r="B132" s="1"/>
      <c r="C132" s="98" t="s">
        <v>142</v>
      </c>
      <c r="D132" s="101" t="str">
        <f>IFERROR(IF(AND(D130&lt;&gt;"",D131&lt;&gt;""),D130*D131,""),"")</f>
        <v/>
      </c>
      <c r="E132" s="104" t="s">
        <v>2484</v>
      </c>
      <c r="F132" s="2"/>
    </row>
    <row r="133" spans="2:6" ht="15" hidden="1" customHeight="1" x14ac:dyDescent="0.25">
      <c r="B133" s="1"/>
      <c r="C133" s="94"/>
      <c r="D133" s="94"/>
      <c r="E133" s="94"/>
      <c r="F133" s="2"/>
    </row>
    <row r="134" spans="2:6" ht="15" hidden="1" customHeight="1" x14ac:dyDescent="0.25">
      <c r="B134" s="1"/>
      <c r="C134" s="94" t="s">
        <v>143</v>
      </c>
      <c r="D134" s="94"/>
      <c r="E134" s="94"/>
      <c r="F134" s="2"/>
    </row>
    <row r="135" spans="2:6" ht="15" hidden="1" customHeight="1" x14ac:dyDescent="0.25">
      <c r="B135" s="1"/>
      <c r="C135" s="97" t="s">
        <v>128</v>
      </c>
      <c r="D135" s="100" t="s">
        <v>134</v>
      </c>
      <c r="E135" s="96" t="s">
        <v>37</v>
      </c>
      <c r="F135" s="2"/>
    </row>
    <row r="136" spans="2:6" ht="15" hidden="1" customHeight="1" x14ac:dyDescent="0.25">
      <c r="B136" s="1"/>
      <c r="C136" s="98" t="s">
        <v>35</v>
      </c>
      <c r="D136" s="101">
        <f t="array" ref="D136">SUM(IF(I.Gas.P4TotalGasEnergy&lt;&gt;0,I.Gas.P4ElectricityGeneration*I.Gas.P4AssociatedGasEnergy/I.Gas.P4TotalGasEnergy,0))</f>
        <v>0</v>
      </c>
      <c r="E136" s="95" t="s">
        <v>136</v>
      </c>
      <c r="F136" s="2"/>
    </row>
    <row r="137" spans="2:6" ht="15" hidden="1" customHeight="1" x14ac:dyDescent="0.35">
      <c r="B137" s="1"/>
      <c r="C137" s="98" t="s">
        <v>129</v>
      </c>
      <c r="D137" s="101">
        <f>IF(I.Facility.StandardPart="Part 2",SUBTOTAL(9,I.Gas.P4C1V1)*Developer!T32,SUBTOTAL(9,I.Gas.P4C1E1)*Developer!T4+SUBTOTAL(9,I.Gas.P4C1E2)*Developer!T5+SUBTOTAL(9,I.Gas.P4C1E3)*Developer!T6)</f>
        <v>0</v>
      </c>
      <c r="E137" s="104" t="s">
        <v>135</v>
      </c>
      <c r="F137" s="2"/>
    </row>
    <row r="138" spans="2:6" ht="15" hidden="1" customHeight="1" x14ac:dyDescent="0.35">
      <c r="B138" s="1"/>
      <c r="C138" s="98" t="s">
        <v>131</v>
      </c>
      <c r="D138" s="101">
        <f>D137</f>
        <v>0</v>
      </c>
      <c r="E138" s="104" t="s">
        <v>135</v>
      </c>
      <c r="F138" s="2"/>
    </row>
    <row r="139" spans="2:6" ht="15" hidden="1" customHeight="1" x14ac:dyDescent="0.25">
      <c r="B139" s="1"/>
      <c r="C139" s="98" t="s">
        <v>139</v>
      </c>
      <c r="D139" s="102"/>
      <c r="E139" s="95"/>
      <c r="F139" s="2"/>
    </row>
    <row r="140" spans="2:6" ht="15" hidden="1" customHeight="1" x14ac:dyDescent="0.25">
      <c r="B140" s="1"/>
      <c r="C140" s="98" t="s">
        <v>140</v>
      </c>
      <c r="D140" s="101" t="str">
        <f>IFERROR(IF(D139&gt;8,VLOOKUP("Gas-to-power operation 8",S.Developer.Lookups,2,FALSE),VLOOKUP("Gas-to-power operation "&amp;D139,S.Developer.Lookups,2,FALSE)),"")</f>
        <v/>
      </c>
      <c r="E140" s="95"/>
      <c r="F140" s="2"/>
    </row>
    <row r="141" spans="2:6" ht="15" hidden="1" customHeight="1" x14ac:dyDescent="0.35">
      <c r="B141" s="1"/>
      <c r="C141" s="98" t="s">
        <v>141</v>
      </c>
      <c r="D141" s="103"/>
      <c r="E141" s="104" t="s">
        <v>2485</v>
      </c>
      <c r="F141" s="2"/>
    </row>
    <row r="142" spans="2:6" ht="15" hidden="1" customHeight="1" x14ac:dyDescent="0.35">
      <c r="B142" s="1"/>
      <c r="C142" s="98" t="s">
        <v>142</v>
      </c>
      <c r="D142" s="101" t="str">
        <f>IFERROR(IF(AND(D140&lt;&gt;"",D141&lt;&gt;""),D140*D141,""),"")</f>
        <v/>
      </c>
      <c r="E142" s="104" t="s">
        <v>2485</v>
      </c>
      <c r="F142" s="2"/>
    </row>
    <row r="143" spans="2:6" ht="15" hidden="1" customHeight="1" x14ac:dyDescent="0.25">
      <c r="B143" s="1"/>
      <c r="C143" s="94"/>
      <c r="D143" s="94"/>
      <c r="E143" s="94"/>
      <c r="F143" s="2"/>
    </row>
    <row r="144" spans="2:6" ht="15" hidden="1" customHeight="1" x14ac:dyDescent="0.25">
      <c r="B144" s="1"/>
      <c r="C144" s="94" t="s">
        <v>137</v>
      </c>
      <c r="D144" s="94"/>
      <c r="E144" s="94"/>
      <c r="F144" s="2"/>
    </row>
    <row r="145" spans="2:6" ht="15" hidden="1" customHeight="1" x14ac:dyDescent="0.25">
      <c r="B145" s="1"/>
      <c r="C145" s="97" t="s">
        <v>128</v>
      </c>
      <c r="D145" s="100" t="s">
        <v>134</v>
      </c>
      <c r="E145" s="96" t="s">
        <v>37</v>
      </c>
      <c r="F145" s="2"/>
    </row>
    <row r="146" spans="2:6" ht="15" hidden="1" customHeight="1" x14ac:dyDescent="0.25">
      <c r="B146" s="1"/>
      <c r="C146" s="98" t="s">
        <v>125</v>
      </c>
      <c r="D146" s="101">
        <f>I.Drilling.P4Depth</f>
        <v>0</v>
      </c>
      <c r="E146" s="95" t="s">
        <v>126</v>
      </c>
      <c r="F146" s="2"/>
    </row>
    <row r="147" spans="2:6" ht="15" hidden="1" customHeight="1" x14ac:dyDescent="0.35">
      <c r="B147" s="1"/>
      <c r="C147" s="98" t="s">
        <v>132</v>
      </c>
      <c r="D147" s="101">
        <f>SUMPRODUCT(I.Drilling.P4C1,Developer!T4:T6)</f>
        <v>0</v>
      </c>
      <c r="E147" s="104" t="s">
        <v>135</v>
      </c>
      <c r="F147" s="2"/>
    </row>
    <row r="148" spans="2:6" ht="15" hidden="1" customHeight="1" x14ac:dyDescent="0.25">
      <c r="B148" s="1"/>
      <c r="C148" s="94"/>
      <c r="D148" s="94"/>
      <c r="E148" s="94"/>
      <c r="F148" s="2"/>
    </row>
    <row r="149" spans="2:6" ht="20.100000000000001" hidden="1" customHeight="1" x14ac:dyDescent="0.25">
      <c r="B149" s="10"/>
      <c r="C149" s="118" t="s">
        <v>144</v>
      </c>
      <c r="D149" s="118"/>
      <c r="E149" s="118"/>
      <c r="F149" s="11"/>
    </row>
    <row r="150" spans="2:6" ht="15" hidden="1" customHeight="1" x14ac:dyDescent="0.25">
      <c r="B150" s="1"/>
      <c r="C150" s="94"/>
      <c r="D150" s="94"/>
      <c r="E150" s="94"/>
      <c r="F150" s="2"/>
    </row>
    <row r="151" spans="2:6" ht="15" hidden="1" customHeight="1" x14ac:dyDescent="0.25">
      <c r="B151" s="1"/>
      <c r="C151" s="97" t="s">
        <v>128</v>
      </c>
      <c r="D151" s="100" t="s">
        <v>134</v>
      </c>
      <c r="E151" s="105" t="s">
        <v>37</v>
      </c>
      <c r="F151" s="2"/>
    </row>
    <row r="152" spans="2:6" ht="15" hidden="1" customHeight="1" x14ac:dyDescent="0.25">
      <c r="B152" s="1"/>
      <c r="C152" s="98" t="s">
        <v>125</v>
      </c>
      <c r="D152" s="101">
        <f>SUM(D34,D62,D90,D118,D146)</f>
        <v>0</v>
      </c>
      <c r="E152" s="104" t="s">
        <v>126</v>
      </c>
      <c r="F152" s="2"/>
    </row>
    <row r="153" spans="2:6" ht="15" hidden="1" customHeight="1" x14ac:dyDescent="0.35">
      <c r="B153" s="1"/>
      <c r="C153" s="98" t="s">
        <v>132</v>
      </c>
      <c r="D153" s="101">
        <f>SUM(D35,D63,D91,D119,D147)</f>
        <v>0</v>
      </c>
      <c r="E153" s="104" t="s">
        <v>135</v>
      </c>
      <c r="F153" s="2"/>
    </row>
    <row r="154" spans="2:6" ht="15" hidden="1" customHeight="1" x14ac:dyDescent="0.35">
      <c r="B154" s="1"/>
      <c r="C154" s="98" t="s">
        <v>145</v>
      </c>
      <c r="D154" s="101">
        <v>2.5499999999999998E-2</v>
      </c>
      <c r="E154" s="104" t="s">
        <v>2568</v>
      </c>
      <c r="F154" s="2"/>
    </row>
    <row r="155" spans="2:6" ht="15" hidden="1" customHeight="1" x14ac:dyDescent="0.25">
      <c r="B155" s="1"/>
      <c r="C155" s="94"/>
      <c r="D155" s="94"/>
      <c r="E155" s="94"/>
      <c r="F155" s="2"/>
    </row>
    <row r="156" spans="2:6" ht="20.100000000000001" customHeight="1" x14ac:dyDescent="0.25">
      <c r="B156" s="10"/>
      <c r="C156" s="118" t="s">
        <v>2570</v>
      </c>
      <c r="D156" s="118"/>
      <c r="E156" s="118"/>
      <c r="F156" s="11"/>
    </row>
    <row r="157" spans="2:6" ht="15" customHeight="1" x14ac:dyDescent="0.25">
      <c r="B157" s="1"/>
      <c r="C157" s="94"/>
      <c r="D157" s="94"/>
      <c r="E157" s="94"/>
      <c r="F157" s="2"/>
    </row>
    <row r="158" spans="2:6" ht="15" customHeight="1" x14ac:dyDescent="0.25">
      <c r="B158" s="1"/>
      <c r="C158" s="97" t="s">
        <v>128</v>
      </c>
      <c r="D158" s="100" t="s">
        <v>134</v>
      </c>
      <c r="E158" s="105" t="s">
        <v>37</v>
      </c>
      <c r="F158" s="2"/>
    </row>
    <row r="159" spans="2:6" ht="15" customHeight="1" x14ac:dyDescent="0.35">
      <c r="B159" s="1"/>
      <c r="C159" s="98" t="s">
        <v>133</v>
      </c>
      <c r="D159" s="101">
        <f>SUM(D16,D26,D44,D54,D72,D82,D100,D110,D128,D138,D153)</f>
        <v>0</v>
      </c>
      <c r="E159" s="104" t="s">
        <v>135</v>
      </c>
      <c r="F159" s="2"/>
    </row>
    <row r="160" spans="2:6" ht="15" customHeight="1" x14ac:dyDescent="0.35">
      <c r="B160" s="1"/>
      <c r="C160" s="98" t="s">
        <v>146</v>
      </c>
      <c r="D160" s="101">
        <f>SUM(IFERROR(D13*D20,0),IFERROR(D24*D30,0),IFERROR(D41*D48,0),IFERROR(D52*D58,0),IFERROR(D69*D76,0),IFERROR(D80*D86,0),IFERROR(D97*D104,0),IFERROR(D108*D114,0),IFERROR(D125*D132,0),IFERROR(D136*D142,0),IFERROR(D152*D154,0))</f>
        <v>0</v>
      </c>
      <c r="E160" s="104" t="s">
        <v>135</v>
      </c>
      <c r="F160" s="2"/>
    </row>
    <row r="161" spans="2:6" ht="15" customHeight="1" x14ac:dyDescent="0.35">
      <c r="B161" s="1"/>
      <c r="C161" s="98" t="s">
        <v>147</v>
      </c>
      <c r="D161" s="106">
        <f>IFERROR(ROUND(IF(D160-D159&gt;0,D160-D159,0),0),"")</f>
        <v>0</v>
      </c>
      <c r="E161" s="104" t="s">
        <v>135</v>
      </c>
      <c r="F161" s="2"/>
    </row>
    <row r="162" spans="2:6" ht="15" customHeight="1" x14ac:dyDescent="0.35">
      <c r="B162" s="1"/>
      <c r="C162" s="98" t="s">
        <v>148</v>
      </c>
      <c r="D162" s="106">
        <f>IFERROR(ROUND(IF(D159-D160&gt;0,D159-D160,0),0),"")</f>
        <v>0</v>
      </c>
      <c r="E162" s="104" t="s">
        <v>135</v>
      </c>
      <c r="F162" s="2"/>
    </row>
    <row r="163" spans="2:6" ht="15" customHeight="1" x14ac:dyDescent="0.25">
      <c r="B163" s="1"/>
      <c r="C163" s="94"/>
      <c r="D163" s="94"/>
      <c r="E163" s="94"/>
      <c r="F163" s="2"/>
    </row>
    <row r="164" spans="2:6" ht="15" customHeight="1" x14ac:dyDescent="0.25">
      <c r="B164" s="1"/>
      <c r="C164" s="107"/>
      <c r="D164" s="94"/>
      <c r="E164" s="94"/>
      <c r="F164" s="2"/>
    </row>
    <row r="165" spans="2:6" ht="15" customHeight="1" x14ac:dyDescent="0.25">
      <c r="B165" s="1"/>
      <c r="C165" s="94"/>
      <c r="D165" s="94"/>
      <c r="E165" s="94"/>
      <c r="F165" s="2"/>
    </row>
    <row r="166" spans="2:6" ht="15" customHeight="1" x14ac:dyDescent="0.25">
      <c r="B166" s="3"/>
      <c r="C166" s="13">
        <f>R.Instructions.VersionNumber</f>
        <v>5</v>
      </c>
      <c r="D166" s="4"/>
      <c r="E166" s="14">
        <f>R.Instructions.VersionDate</f>
        <v>45691</v>
      </c>
      <c r="F166" s="5"/>
    </row>
    <row r="168" spans="2:6" ht="15" customHeight="1" x14ac:dyDescent="0.25">
      <c r="C168" s="119" t="str">
        <f>IFERROR(VLOOKUP("Incomplete",Developer!H2189:I2209,2,FALSE),"Sheet complete.")</f>
        <v>Sheet complete.</v>
      </c>
      <c r="D168" s="119"/>
      <c r="E168" s="119"/>
    </row>
    <row r="169" spans="2:6" ht="15" customHeight="1" x14ac:dyDescent="0.25">
      <c r="C169" s="119"/>
      <c r="D169" s="119"/>
      <c r="E169" s="119"/>
    </row>
    <row r="170" spans="2:6" ht="15" customHeight="1" x14ac:dyDescent="0.25">
      <c r="C170" s="119"/>
      <c r="D170" s="119"/>
      <c r="E170" s="119"/>
    </row>
  </sheetData>
  <sheetProtection algorithmName="SHA-512" hashValue="IwApwLtbD5PY6mcP1fyQCkQ0cbG8ICYhfmmldGb9MmJmRHxF6iEIFkWNMqtQH9/kxjD1VKdHqgF03cpi9BuT/A==" saltValue="TOtIvf991knGLY3aJtSwAg==" spinCount="100000" sheet="1" objects="1" scenarios="1" selectLockedCells="1"/>
  <mergeCells count="10">
    <mergeCell ref="C149:E149"/>
    <mergeCell ref="C156:E156"/>
    <mergeCell ref="C121:E121"/>
    <mergeCell ref="C168:E170"/>
    <mergeCell ref="C4:E4"/>
    <mergeCell ref="C9:E9"/>
    <mergeCell ref="C37:E37"/>
    <mergeCell ref="C65:E65"/>
    <mergeCell ref="C93:E93"/>
    <mergeCell ref="C6:E8"/>
  </mergeCells>
  <conditionalFormatting sqref="C168">
    <cfRule type="cellIs" dxfId="1" priority="1" stopIfTrue="1" operator="equal">
      <formula>"Sheet complete."</formula>
    </cfRule>
  </conditionalFormatting>
  <printOptions horizontalCentered="1"/>
  <pageMargins left="0.25" right="0.25" top="0.25" bottom="0.25" header="0" footer="0"/>
  <pageSetup scale="85" fitToHeight="0" orientation="portrait" r:id="rId1"/>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F17F7A-91F4-4D3C-81BE-D7ADC80AFA97}">
  <sheetPr codeName="Sheet9">
    <tabColor rgb="FF046A38"/>
    <pageSetUpPr fitToPage="1"/>
  </sheetPr>
  <dimension ref="B1:G38"/>
  <sheetViews>
    <sheetView showGridLines="0" showRowColHeaders="0" zoomScaleNormal="100" workbookViewId="0">
      <selection activeCell="D9" sqref="D9"/>
    </sheetView>
  </sheetViews>
  <sheetFormatPr defaultColWidth="8.7109375" defaultRowHeight="15" customHeight="1" x14ac:dyDescent="0.25"/>
  <cols>
    <col min="1" max="2" width="5.7109375" customWidth="1"/>
    <col min="3" max="3" width="2.28515625" customWidth="1"/>
    <col min="4" max="4" width="48.42578125" customWidth="1"/>
    <col min="5" max="5" width="5.7109375" customWidth="1"/>
    <col min="6" max="6" width="50.7109375" customWidth="1"/>
    <col min="7" max="7" width="5.7109375" customWidth="1"/>
  </cols>
  <sheetData>
    <row r="1" spans="2:7" ht="24.95" customHeight="1" x14ac:dyDescent="0.25"/>
    <row r="2" spans="2:7" ht="24.95" customHeight="1" x14ac:dyDescent="0.25"/>
    <row r="3" spans="2:7" ht="24.95" customHeight="1" x14ac:dyDescent="0.25"/>
    <row r="4" spans="2:7" ht="24.95" customHeight="1" x14ac:dyDescent="0.25">
      <c r="B4" s="15"/>
      <c r="C4" s="120" t="s">
        <v>149</v>
      </c>
      <c r="D4" s="120"/>
      <c r="E4" s="120"/>
      <c r="F4" s="120"/>
      <c r="G4" s="16"/>
    </row>
    <row r="5" spans="2:7" ht="15" customHeight="1" x14ac:dyDescent="0.25">
      <c r="B5" s="1"/>
      <c r="C5" s="94"/>
      <c r="D5" s="94"/>
      <c r="E5" s="94"/>
      <c r="F5" s="94"/>
      <c r="G5" s="2"/>
    </row>
    <row r="6" spans="2:7" ht="15" customHeight="1" x14ac:dyDescent="0.25">
      <c r="B6" s="1"/>
      <c r="C6" s="94" t="s">
        <v>16</v>
      </c>
      <c r="D6" s="94"/>
      <c r="E6" s="94"/>
      <c r="F6" s="94" t="s">
        <v>17</v>
      </c>
      <c r="G6" s="2"/>
    </row>
    <row r="7" spans="2:7" ht="15" customHeight="1" x14ac:dyDescent="0.25">
      <c r="B7" s="1"/>
      <c r="C7" s="136" t="str">
        <f>IF(I.Facility.EmitterName="","",I.Facility.EmitterName)</f>
        <v/>
      </c>
      <c r="D7" s="137"/>
      <c r="E7" s="94"/>
      <c r="F7" s="18" t="str">
        <f>IF(I.Facility.OBPSNumber="","",I.Facility.OBPSNumber)</f>
        <v/>
      </c>
      <c r="G7" s="2"/>
    </row>
    <row r="8" spans="2:7" ht="15" customHeight="1" x14ac:dyDescent="0.25">
      <c r="B8" s="1"/>
      <c r="C8" s="94"/>
      <c r="D8" s="94"/>
      <c r="E8" s="94"/>
      <c r="F8" s="94"/>
      <c r="G8" s="2"/>
    </row>
    <row r="9" spans="2:7" ht="15" customHeight="1" x14ac:dyDescent="0.25">
      <c r="B9" s="1"/>
      <c r="C9" s="94" t="s">
        <v>150</v>
      </c>
      <c r="D9" s="17"/>
      <c r="E9" s="94" t="s">
        <v>2586</v>
      </c>
      <c r="F9" s="94"/>
      <c r="G9" s="2"/>
    </row>
    <row r="10" spans="2:7" ht="15" customHeight="1" x14ac:dyDescent="0.25">
      <c r="B10" s="1"/>
      <c r="C10" s="113" t="s">
        <v>151</v>
      </c>
      <c r="D10" s="113"/>
      <c r="E10" s="113"/>
      <c r="F10" s="113"/>
      <c r="G10" s="2"/>
    </row>
    <row r="11" spans="2:7" ht="15" customHeight="1" x14ac:dyDescent="0.25">
      <c r="B11" s="1"/>
      <c r="C11" s="113"/>
      <c r="D11" s="113"/>
      <c r="E11" s="113"/>
      <c r="F11" s="113"/>
      <c r="G11" s="2"/>
    </row>
    <row r="12" spans="2:7" ht="15" customHeight="1" x14ac:dyDescent="0.25">
      <c r="B12" s="1"/>
      <c r="C12" s="113"/>
      <c r="D12" s="113"/>
      <c r="E12" s="113"/>
      <c r="F12" s="113"/>
      <c r="G12" s="2"/>
    </row>
    <row r="13" spans="2:7" ht="15" customHeight="1" x14ac:dyDescent="0.25">
      <c r="B13" s="1"/>
      <c r="C13" s="113"/>
      <c r="D13" s="113"/>
      <c r="E13" s="113"/>
      <c r="F13" s="113"/>
      <c r="G13" s="2"/>
    </row>
    <row r="14" spans="2:7" ht="15" customHeight="1" x14ac:dyDescent="0.25">
      <c r="B14" s="1"/>
      <c r="C14" s="113"/>
      <c r="D14" s="113"/>
      <c r="E14" s="113"/>
      <c r="F14" s="113"/>
      <c r="G14" s="2"/>
    </row>
    <row r="15" spans="2:7" ht="15" customHeight="1" x14ac:dyDescent="0.25">
      <c r="B15" s="1"/>
      <c r="C15" s="113"/>
      <c r="D15" s="113"/>
      <c r="E15" s="113"/>
      <c r="F15" s="113"/>
      <c r="G15" s="2"/>
    </row>
    <row r="16" spans="2:7" ht="15" customHeight="1" x14ac:dyDescent="0.25">
      <c r="B16" s="1"/>
      <c r="C16" s="114" t="s">
        <v>2587</v>
      </c>
      <c r="D16" s="113"/>
      <c r="E16" s="113"/>
      <c r="F16" s="113"/>
      <c r="G16" s="2"/>
    </row>
    <row r="17" spans="2:7" ht="15" customHeight="1" x14ac:dyDescent="0.25">
      <c r="B17" s="1"/>
      <c r="C17" s="113"/>
      <c r="D17" s="113"/>
      <c r="E17" s="113"/>
      <c r="F17" s="113"/>
      <c r="G17" s="2"/>
    </row>
    <row r="18" spans="2:7" ht="15" customHeight="1" x14ac:dyDescent="0.25">
      <c r="B18" s="1"/>
      <c r="C18" s="113"/>
      <c r="D18" s="113"/>
      <c r="E18" s="113"/>
      <c r="F18" s="113"/>
      <c r="G18" s="2"/>
    </row>
    <row r="19" spans="2:7" ht="15" customHeight="1" x14ac:dyDescent="0.25">
      <c r="B19" s="1"/>
      <c r="C19" s="113"/>
      <c r="D19" s="113"/>
      <c r="E19" s="113"/>
      <c r="F19" s="113"/>
      <c r="G19" s="2"/>
    </row>
    <row r="20" spans="2:7" ht="15" customHeight="1" x14ac:dyDescent="0.25">
      <c r="B20" s="1"/>
      <c r="C20" s="94"/>
      <c r="D20" s="94"/>
      <c r="E20" s="94"/>
      <c r="F20" s="94"/>
      <c r="G20" s="2"/>
    </row>
    <row r="21" spans="2:7" ht="15" customHeight="1" x14ac:dyDescent="0.25">
      <c r="B21" s="1"/>
      <c r="C21" s="94"/>
      <c r="D21" s="94"/>
      <c r="E21" s="94"/>
      <c r="F21" s="94"/>
      <c r="G21" s="2"/>
    </row>
    <row r="22" spans="2:7" ht="15" customHeight="1" x14ac:dyDescent="0.25">
      <c r="B22" s="1"/>
      <c r="C22" s="94"/>
      <c r="D22" s="94"/>
      <c r="E22" s="94"/>
      <c r="F22" s="94"/>
      <c r="G22" s="2"/>
    </row>
    <row r="23" spans="2:7" ht="15" customHeight="1" x14ac:dyDescent="0.25">
      <c r="B23" s="1"/>
      <c r="C23" s="94"/>
      <c r="D23" s="94"/>
      <c r="E23" s="94"/>
      <c r="F23" s="94"/>
      <c r="G23" s="2"/>
    </row>
    <row r="24" spans="2:7" ht="15" customHeight="1" x14ac:dyDescent="0.25">
      <c r="B24" s="1"/>
      <c r="C24" s="94"/>
      <c r="D24" s="94"/>
      <c r="E24" s="94"/>
      <c r="F24" s="94"/>
      <c r="G24" s="2"/>
    </row>
    <row r="25" spans="2:7" ht="15" customHeight="1" x14ac:dyDescent="0.25">
      <c r="B25" s="1"/>
      <c r="C25" s="139"/>
      <c r="D25" s="140"/>
      <c r="E25" s="94"/>
      <c r="F25" s="94"/>
      <c r="G25" s="2"/>
    </row>
    <row r="26" spans="2:7" ht="15" customHeight="1" x14ac:dyDescent="0.25">
      <c r="B26" s="1"/>
      <c r="C26" s="141"/>
      <c r="D26" s="142"/>
      <c r="E26" s="94"/>
      <c r="F26" s="94"/>
      <c r="G26" s="2"/>
    </row>
    <row r="27" spans="2:7" ht="15" customHeight="1" x14ac:dyDescent="0.25">
      <c r="B27" s="1"/>
      <c r="C27" s="141"/>
      <c r="D27" s="142"/>
      <c r="E27" s="94"/>
      <c r="F27" s="94"/>
      <c r="G27" s="2"/>
    </row>
    <row r="28" spans="2:7" ht="15" customHeight="1" x14ac:dyDescent="0.25">
      <c r="B28" s="1"/>
      <c r="C28" s="143"/>
      <c r="D28" s="144"/>
      <c r="E28" s="94"/>
      <c r="F28" s="20"/>
      <c r="G28" s="2"/>
    </row>
    <row r="29" spans="2:7" ht="15" customHeight="1" x14ac:dyDescent="0.25">
      <c r="B29" s="1"/>
      <c r="C29" s="94" t="s">
        <v>152</v>
      </c>
      <c r="D29" s="94"/>
      <c r="E29" s="94"/>
      <c r="F29" s="94" t="s">
        <v>153</v>
      </c>
      <c r="G29" s="2"/>
    </row>
    <row r="30" spans="2:7" ht="15" customHeight="1" x14ac:dyDescent="0.25">
      <c r="B30" s="1"/>
      <c r="C30" s="94"/>
      <c r="D30" s="94"/>
      <c r="E30" s="94"/>
      <c r="F30" s="94"/>
      <c r="G30" s="2"/>
    </row>
    <row r="31" spans="2:7" ht="15" customHeight="1" x14ac:dyDescent="0.25">
      <c r="B31" s="1"/>
      <c r="C31" s="133"/>
      <c r="D31" s="133"/>
      <c r="E31" s="94"/>
      <c r="F31" s="94"/>
      <c r="G31" s="2"/>
    </row>
    <row r="32" spans="2:7" ht="15" customHeight="1" x14ac:dyDescent="0.25">
      <c r="B32" s="1"/>
      <c r="C32" s="94"/>
      <c r="D32" s="94"/>
      <c r="E32" s="94"/>
      <c r="F32" s="94"/>
      <c r="G32" s="2"/>
    </row>
    <row r="33" spans="2:7" ht="15" customHeight="1" x14ac:dyDescent="0.25">
      <c r="B33" s="1"/>
      <c r="C33" s="138" t="s">
        <v>2588</v>
      </c>
      <c r="D33" s="138"/>
      <c r="E33" s="94"/>
      <c r="F33" s="94"/>
      <c r="G33" s="2"/>
    </row>
    <row r="34" spans="2:7" ht="15" customHeight="1" x14ac:dyDescent="0.25">
      <c r="B34" s="3"/>
      <c r="C34" s="127">
        <f>R.Instructions.VersionNumber</f>
        <v>5</v>
      </c>
      <c r="D34" s="127"/>
      <c r="E34" s="4"/>
      <c r="F34" s="14">
        <f>R.Instructions.VersionDate</f>
        <v>45691</v>
      </c>
      <c r="G34" s="5"/>
    </row>
    <row r="36" spans="2:7" ht="15" customHeight="1" x14ac:dyDescent="0.25">
      <c r="C36" s="119" t="str">
        <f>IFERROR(VLOOKUP("Incomplete",Developer!H2210:I2211,2,FALSE),"Sheet complete.")</f>
        <v>Enter the name of the authorized signing officer.</v>
      </c>
      <c r="D36" s="119"/>
      <c r="E36" s="119"/>
      <c r="F36" s="119"/>
    </row>
    <row r="37" spans="2:7" ht="15" customHeight="1" x14ac:dyDescent="0.25">
      <c r="C37" s="119"/>
      <c r="D37" s="119"/>
      <c r="E37" s="119"/>
      <c r="F37" s="119"/>
    </row>
    <row r="38" spans="2:7" ht="15" customHeight="1" x14ac:dyDescent="0.25">
      <c r="C38" s="119"/>
      <c r="D38" s="119"/>
      <c r="E38" s="119"/>
      <c r="F38" s="119"/>
    </row>
  </sheetData>
  <sheetProtection algorithmName="SHA-512" hashValue="rlDPMD68dxMnHXJ3xb1BJ5GGPFmUMadwp9XQAGKyJ6wHQzc1AlCYiEy0wS/RfrCYQs+L+yCtbpSahnTM0Otxyg==" saltValue="36k9AD6M3qw/P/RIbSVF7w==" spinCount="100000" sheet="1" objects="1" scenarios="1" selectLockedCells="1"/>
  <mergeCells count="9">
    <mergeCell ref="C34:D34"/>
    <mergeCell ref="C36:F38"/>
    <mergeCell ref="C4:F4"/>
    <mergeCell ref="C7:D7"/>
    <mergeCell ref="C10:F15"/>
    <mergeCell ref="C31:D31"/>
    <mergeCell ref="C16:F19"/>
    <mergeCell ref="C33:D33"/>
    <mergeCell ref="C25:D28"/>
  </mergeCells>
  <conditionalFormatting sqref="C36">
    <cfRule type="cellIs" dxfId="0" priority="1" stopIfTrue="1" operator="equal">
      <formula>"Sheet complete."</formula>
    </cfRule>
  </conditionalFormatting>
  <dataValidations count="1">
    <dataValidation type="date" allowBlank="1" showInputMessage="1" showErrorMessage="1" errorTitle="Declaration" error="The date of signature cannot be before this form was published and must be in the format: yyyy-mm-dd." prompt="yyyy-mm-dd" sqref="F28" xr:uid="{FD567A1A-14C3-4F9B-9DD1-1A75AFE1E4C7}">
      <formula1>R.Instructions.VersionDate</formula1>
      <formula2>2958465</formula2>
    </dataValidation>
  </dataValidations>
  <printOptions horizontalCentered="1"/>
  <pageMargins left="0.25" right="0.25" top="0.25" bottom="0.25" header="0" footer="0"/>
  <pageSetup scale="81"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PrintForm">
                <anchor moveWithCells="1" sizeWithCells="1">
                  <from>
                    <xdr:col>2</xdr:col>
                    <xdr:colOff>0</xdr:colOff>
                    <xdr:row>19</xdr:row>
                    <xdr:rowOff>0</xdr:rowOff>
                  </from>
                  <to>
                    <xdr:col>3</xdr:col>
                    <xdr:colOff>1400175</xdr:colOff>
                    <xdr:row>23</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5252F-0669-4B3B-933C-25D89DA9DDD5}">
  <sheetPr codeName="Sheet10">
    <tabColor rgb="FF00558C"/>
    <pageSetUpPr fitToPage="1"/>
  </sheetPr>
  <dimension ref="B1:F30"/>
  <sheetViews>
    <sheetView showGridLines="0" showRowColHeaders="0" zoomScaleNormal="100" workbookViewId="0">
      <selection activeCell="C2" sqref="C2"/>
    </sheetView>
  </sheetViews>
  <sheetFormatPr defaultColWidth="8.7109375" defaultRowHeight="15" customHeight="1" x14ac:dyDescent="0.25"/>
  <cols>
    <col min="1" max="2" width="5.7109375" customWidth="1"/>
    <col min="3" max="3" width="50.7109375" customWidth="1"/>
    <col min="4" max="4" width="5.7109375" customWidth="1"/>
    <col min="5" max="5" width="50.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15"/>
      <c r="C4" s="120" t="s">
        <v>154</v>
      </c>
      <c r="D4" s="120"/>
      <c r="E4" s="120"/>
      <c r="F4" s="16"/>
    </row>
    <row r="5" spans="2:6" ht="15" customHeight="1" x14ac:dyDescent="0.25">
      <c r="B5" s="1"/>
      <c r="C5" s="94"/>
      <c r="D5" s="94"/>
      <c r="E5" s="94"/>
      <c r="F5" s="2"/>
    </row>
    <row r="6" spans="2:6" ht="15" customHeight="1" x14ac:dyDescent="0.25">
      <c r="B6" s="1"/>
      <c r="C6" s="145" t="s">
        <v>155</v>
      </c>
      <c r="D6" s="113"/>
      <c r="E6" s="113"/>
      <c r="F6" s="2"/>
    </row>
    <row r="7" spans="2:6" ht="15" customHeight="1" x14ac:dyDescent="0.25">
      <c r="B7" s="1"/>
      <c r="C7" s="113" t="s">
        <v>156</v>
      </c>
      <c r="D7" s="113"/>
      <c r="E7" s="113"/>
      <c r="F7" s="2"/>
    </row>
    <row r="8" spans="2:6" ht="15" customHeight="1" x14ac:dyDescent="0.25">
      <c r="B8" s="1"/>
      <c r="C8" s="113"/>
      <c r="D8" s="113"/>
      <c r="E8" s="113"/>
      <c r="F8" s="2"/>
    </row>
    <row r="9" spans="2:6" ht="15" customHeight="1" x14ac:dyDescent="0.25">
      <c r="B9" s="1"/>
      <c r="C9" s="113"/>
      <c r="D9" s="113"/>
      <c r="E9" s="113"/>
      <c r="F9" s="2"/>
    </row>
    <row r="10" spans="2:6" ht="15" customHeight="1" x14ac:dyDescent="0.25">
      <c r="B10" s="1"/>
      <c r="C10" s="113"/>
      <c r="D10" s="113"/>
      <c r="E10" s="113"/>
      <c r="F10" s="2"/>
    </row>
    <row r="11" spans="2:6" ht="15" customHeight="1" x14ac:dyDescent="0.25">
      <c r="B11" s="1"/>
      <c r="C11" s="145" t="s">
        <v>157</v>
      </c>
      <c r="D11" s="113"/>
      <c r="E11" s="113"/>
      <c r="F11" s="2"/>
    </row>
    <row r="12" spans="2:6" ht="15" customHeight="1" x14ac:dyDescent="0.25">
      <c r="B12" s="1"/>
      <c r="C12" s="113" t="s">
        <v>158</v>
      </c>
      <c r="D12" s="113"/>
      <c r="E12" s="113"/>
      <c r="F12" s="2"/>
    </row>
    <row r="13" spans="2:6" ht="15" customHeight="1" x14ac:dyDescent="0.25">
      <c r="B13" s="1"/>
      <c r="C13" s="113"/>
      <c r="D13" s="113"/>
      <c r="E13" s="113"/>
      <c r="F13" s="2"/>
    </row>
    <row r="14" spans="2:6" ht="15" customHeight="1" x14ac:dyDescent="0.25">
      <c r="B14" s="1"/>
      <c r="C14" s="113"/>
      <c r="D14" s="113"/>
      <c r="E14" s="113"/>
      <c r="F14" s="2"/>
    </row>
    <row r="15" spans="2:6" ht="15" customHeight="1" x14ac:dyDescent="0.25">
      <c r="B15" s="1"/>
      <c r="C15" s="113"/>
      <c r="D15" s="113"/>
      <c r="E15" s="113"/>
      <c r="F15" s="2"/>
    </row>
    <row r="16" spans="2:6" ht="15" customHeight="1" x14ac:dyDescent="0.25">
      <c r="B16" s="1"/>
      <c r="C16" s="145" t="s">
        <v>159</v>
      </c>
      <c r="D16" s="113"/>
      <c r="E16" s="113"/>
      <c r="F16" s="2"/>
    </row>
    <row r="17" spans="2:6" ht="15" customHeight="1" x14ac:dyDescent="0.25">
      <c r="B17" s="1"/>
      <c r="C17" s="113" t="s">
        <v>160</v>
      </c>
      <c r="D17" s="113"/>
      <c r="E17" s="113"/>
      <c r="F17" s="2"/>
    </row>
    <row r="18" spans="2:6" ht="15" customHeight="1" x14ac:dyDescent="0.25">
      <c r="B18" s="1"/>
      <c r="C18" s="113"/>
      <c r="D18" s="113"/>
      <c r="E18" s="113"/>
      <c r="F18" s="2"/>
    </row>
    <row r="19" spans="2:6" ht="15" customHeight="1" x14ac:dyDescent="0.25">
      <c r="B19" s="1"/>
      <c r="C19" s="113"/>
      <c r="D19" s="113"/>
      <c r="E19" s="113"/>
      <c r="F19" s="2"/>
    </row>
    <row r="20" spans="2:6" ht="15" customHeight="1" x14ac:dyDescent="0.25">
      <c r="B20" s="1"/>
      <c r="C20" s="113"/>
      <c r="D20" s="113"/>
      <c r="E20" s="113"/>
      <c r="F20" s="2"/>
    </row>
    <row r="21" spans="2:6" ht="15" customHeight="1" x14ac:dyDescent="0.25">
      <c r="B21" s="1"/>
      <c r="C21" s="113"/>
      <c r="D21" s="113"/>
      <c r="E21" s="113"/>
      <c r="F21" s="2"/>
    </row>
    <row r="22" spans="2:6" ht="15" customHeight="1" x14ac:dyDescent="0.25">
      <c r="B22" s="1"/>
      <c r="C22" s="113"/>
      <c r="D22" s="113"/>
      <c r="E22" s="113"/>
      <c r="F22" s="2"/>
    </row>
    <row r="23" spans="2:6" ht="15" customHeight="1" x14ac:dyDescent="0.25">
      <c r="B23" s="1"/>
      <c r="C23" s="113"/>
      <c r="D23" s="113"/>
      <c r="E23" s="113"/>
      <c r="F23" s="2"/>
    </row>
    <row r="24" spans="2:6" ht="15" customHeight="1" x14ac:dyDescent="0.25">
      <c r="B24" s="1"/>
      <c r="C24" s="145" t="s">
        <v>139</v>
      </c>
      <c r="D24" s="113"/>
      <c r="E24" s="113"/>
      <c r="F24" s="2"/>
    </row>
    <row r="25" spans="2:6" ht="15" customHeight="1" x14ac:dyDescent="0.25">
      <c r="B25" s="1"/>
      <c r="C25" s="113" t="s">
        <v>2585</v>
      </c>
      <c r="D25" s="113"/>
      <c r="E25" s="113"/>
      <c r="F25" s="2"/>
    </row>
    <row r="26" spans="2:6" ht="15" customHeight="1" x14ac:dyDescent="0.25">
      <c r="B26" s="1"/>
      <c r="C26" s="113"/>
      <c r="D26" s="113"/>
      <c r="E26" s="113"/>
      <c r="F26" s="2"/>
    </row>
    <row r="27" spans="2:6" ht="15" customHeight="1" x14ac:dyDescent="0.25">
      <c r="B27" s="1"/>
      <c r="C27" s="113"/>
      <c r="D27" s="113"/>
      <c r="E27" s="113"/>
      <c r="F27" s="2"/>
    </row>
    <row r="28" spans="2:6" ht="15" customHeight="1" x14ac:dyDescent="0.25">
      <c r="B28" s="1"/>
      <c r="C28" s="113"/>
      <c r="D28" s="113"/>
      <c r="E28" s="113"/>
      <c r="F28" s="2"/>
    </row>
    <row r="29" spans="2:6" ht="15" customHeight="1" x14ac:dyDescent="0.25">
      <c r="B29" s="1"/>
      <c r="C29" s="113"/>
      <c r="D29" s="113"/>
      <c r="E29" s="113"/>
      <c r="F29" s="2"/>
    </row>
    <row r="30" spans="2:6" ht="15" customHeight="1" x14ac:dyDescent="0.25">
      <c r="B30" s="3"/>
      <c r="C30" s="13">
        <f>R.Instructions.VersionNumber</f>
        <v>5</v>
      </c>
      <c r="D30" s="4"/>
      <c r="E30" s="14">
        <f>R.Instructions.VersionDate</f>
        <v>45691</v>
      </c>
      <c r="F30" s="5"/>
    </row>
  </sheetData>
  <sheetProtection algorithmName="SHA-512" hashValue="/Pr2gGA4UySfGIDsRIGyFnQIBmn64oW7EaLIG08FwbLahKBJSba09t+LOsrBIaehji+Y+CTOT+blSc79ZO+nGg==" saltValue="757rbZz38sGZK2jE30/Yqg==" spinCount="100000" sheet="1" objects="1" scenarios="1" selectLockedCells="1" selectUnlockedCells="1"/>
  <mergeCells count="9">
    <mergeCell ref="C16:E16"/>
    <mergeCell ref="C17:E23"/>
    <mergeCell ref="C24:E24"/>
    <mergeCell ref="C25:E29"/>
    <mergeCell ref="C4:E4"/>
    <mergeCell ref="C6:E6"/>
    <mergeCell ref="C7:E10"/>
    <mergeCell ref="C11:E11"/>
    <mergeCell ref="C12:E15"/>
  </mergeCells>
  <printOptions horizontalCentered="1"/>
  <pageMargins left="0.25" right="0.25" top="0.25" bottom="0.25" header="0" footer="0"/>
  <pageSetup scale="85" fitToHeight="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B7ADBB-A767-41CB-A516-09A7BEA61377}">
  <sheetPr codeName="Sheet11">
    <tabColor rgb="FF2C3136"/>
  </sheetPr>
  <dimension ref="A1:T2261"/>
  <sheetViews>
    <sheetView showGridLines="0" showRowColHeaders="0" zoomScaleNormal="100" workbookViewId="0"/>
  </sheetViews>
  <sheetFormatPr defaultColWidth="8.7109375" defaultRowHeight="15" customHeight="1" x14ac:dyDescent="0.25"/>
  <cols>
    <col min="1" max="1" width="5.7109375" style="22" customWidth="1"/>
    <col min="2" max="2" width="46.28515625" style="24" customWidth="1"/>
    <col min="3" max="3" width="6" style="24" bestFit="1" customWidth="1"/>
    <col min="4" max="4" width="34.5703125" style="24" bestFit="1" customWidth="1"/>
    <col min="5" max="7" width="20.7109375" style="24" customWidth="1"/>
    <col min="8" max="8" width="11.140625" style="24" bestFit="1" customWidth="1"/>
    <col min="9" max="9" width="31.7109375" style="24" customWidth="1"/>
    <col min="10" max="10" width="5.7109375" style="24" customWidth="1"/>
    <col min="11" max="11" width="28" style="24" customWidth="1"/>
    <col min="12" max="12" width="38.42578125" style="24" bestFit="1" customWidth="1"/>
    <col min="13" max="13" width="5.7109375" style="24" customWidth="1"/>
    <col min="14" max="14" width="28.28515625" style="24" bestFit="1" customWidth="1"/>
    <col min="15" max="15" width="36.28515625" style="24" bestFit="1" customWidth="1"/>
    <col min="16" max="17" width="20.7109375" style="24" customWidth="1"/>
    <col min="18" max="18" width="5.7109375" style="24" customWidth="1"/>
    <col min="19" max="19" width="24.42578125" style="24" customWidth="1"/>
    <col min="20" max="20" width="7.7109375" style="24" customWidth="1"/>
    <col min="21" max="16384" width="8.7109375" style="24"/>
  </cols>
  <sheetData>
    <row r="1" spans="2:20" ht="15" customHeight="1" x14ac:dyDescent="0.25">
      <c r="B1" s="22"/>
      <c r="C1" s="23"/>
      <c r="D1" s="23"/>
      <c r="E1" s="22"/>
      <c r="F1" s="22"/>
      <c r="G1" s="22"/>
      <c r="H1" s="22"/>
      <c r="I1" s="22"/>
      <c r="M1" s="23"/>
    </row>
    <row r="2" spans="2:20" ht="15" customHeight="1" x14ac:dyDescent="0.25">
      <c r="B2" s="25" t="s">
        <v>161</v>
      </c>
      <c r="C2" s="25"/>
      <c r="D2" s="25"/>
      <c r="E2" s="26"/>
      <c r="F2" s="26"/>
      <c r="G2" s="26"/>
      <c r="H2" s="26"/>
      <c r="I2" s="26"/>
      <c r="J2" s="26"/>
      <c r="K2" s="25" t="s">
        <v>162</v>
      </c>
      <c r="L2" s="25"/>
      <c r="M2" s="26"/>
      <c r="N2" s="25" t="s">
        <v>163</v>
      </c>
      <c r="O2" s="25"/>
      <c r="P2" s="26"/>
      <c r="Q2" s="26"/>
      <c r="R2" s="26"/>
      <c r="S2" s="25" t="s">
        <v>164</v>
      </c>
      <c r="T2" s="26"/>
    </row>
    <row r="3" spans="2:20" ht="15" customHeight="1" x14ac:dyDescent="0.25">
      <c r="B3" s="27" t="s">
        <v>165</v>
      </c>
      <c r="C3" s="27" t="s">
        <v>166</v>
      </c>
      <c r="D3" s="27" t="s">
        <v>167</v>
      </c>
      <c r="E3" s="27" t="s">
        <v>168</v>
      </c>
      <c r="F3" s="27" t="s">
        <v>169</v>
      </c>
      <c r="G3" s="27" t="s">
        <v>170</v>
      </c>
      <c r="H3" s="27" t="s">
        <v>171</v>
      </c>
      <c r="I3" s="28" t="s">
        <v>172</v>
      </c>
      <c r="J3" s="26"/>
      <c r="K3" s="29" t="s">
        <v>173</v>
      </c>
      <c r="L3" s="30" t="s">
        <v>167</v>
      </c>
      <c r="M3" s="26"/>
      <c r="N3" s="29" t="s">
        <v>174</v>
      </c>
      <c r="O3" s="27" t="s">
        <v>167</v>
      </c>
      <c r="P3" s="27" t="s">
        <v>175</v>
      </c>
      <c r="Q3" s="28" t="s">
        <v>170</v>
      </c>
      <c r="R3" s="26"/>
      <c r="S3" s="29" t="s">
        <v>176</v>
      </c>
      <c r="T3" s="28" t="s">
        <v>134</v>
      </c>
    </row>
    <row r="4" spans="2:20" ht="15" customHeight="1" x14ac:dyDescent="0.25">
      <c r="B4" s="31" t="s">
        <v>2611</v>
      </c>
      <c r="C4" s="32">
        <v>1</v>
      </c>
      <c r="D4" s="33" t="s">
        <v>2613</v>
      </c>
      <c r="E4" s="33"/>
      <c r="F4" s="32" t="str">
        <f>IF(I.Facility.EmitterName="","",I.Facility.EmitterName)</f>
        <v/>
      </c>
      <c r="G4" s="33"/>
      <c r="H4" s="32" t="str">
        <f>IF(I.Facility.EmitterName="","Incomplete","Complete")</f>
        <v>Incomplete</v>
      </c>
      <c r="I4" s="34" t="s">
        <v>2612</v>
      </c>
      <c r="K4" s="31" t="s">
        <v>177</v>
      </c>
      <c r="L4" s="35" t="s">
        <v>2799</v>
      </c>
      <c r="N4" s="31" t="s">
        <v>178</v>
      </c>
      <c r="O4" s="33" t="s">
        <v>2600</v>
      </c>
      <c r="P4" s="76"/>
      <c r="Q4" s="34"/>
      <c r="S4" s="31" t="s">
        <v>179</v>
      </c>
      <c r="T4" s="36">
        <v>1</v>
      </c>
    </row>
    <row r="5" spans="2:20" ht="15" customHeight="1" x14ac:dyDescent="0.25">
      <c r="B5" s="37" t="s">
        <v>180</v>
      </c>
      <c r="C5" s="26">
        <v>1</v>
      </c>
      <c r="D5" s="38" t="s">
        <v>2614</v>
      </c>
      <c r="E5" s="38"/>
      <c r="F5" s="26" t="str">
        <f>IF(I.Facility.OBPSNumber="","",I.Facility.OBPSNumber)</f>
        <v/>
      </c>
      <c r="G5" s="38"/>
      <c r="H5" s="26" t="str">
        <f>IF(I.Facility.OBPSNumber="","Incomplete","Complete")</f>
        <v>Incomplete</v>
      </c>
      <c r="I5" s="39" t="s">
        <v>181</v>
      </c>
      <c r="K5" s="40" t="s">
        <v>182</v>
      </c>
      <c r="L5" s="41" t="s">
        <v>2800</v>
      </c>
      <c r="N5" s="37" t="s">
        <v>183</v>
      </c>
      <c r="O5" s="38" t="s">
        <v>2601</v>
      </c>
      <c r="P5" s="79">
        <f>R.Instructions.VersionNumber</f>
        <v>5</v>
      </c>
      <c r="Q5" s="80"/>
      <c r="S5" s="37" t="s">
        <v>184</v>
      </c>
      <c r="T5" s="42">
        <v>28</v>
      </c>
    </row>
    <row r="6" spans="2:20" ht="15" customHeight="1" x14ac:dyDescent="0.25">
      <c r="B6" s="37" t="s">
        <v>185</v>
      </c>
      <c r="C6" s="26">
        <v>1</v>
      </c>
      <c r="D6" s="38" t="s">
        <v>2615</v>
      </c>
      <c r="E6" s="43"/>
      <c r="F6" s="43" t="str">
        <f>IF(I.Facility.ComplianceYear="","",I.Facility.ComplianceYear)</f>
        <v/>
      </c>
      <c r="G6" s="43"/>
      <c r="H6" s="26" t="str">
        <f>IF(I.Facility.ComplianceYear="","Incomplete","Complete")</f>
        <v>Incomplete</v>
      </c>
      <c r="I6" s="39" t="s">
        <v>186</v>
      </c>
      <c r="K6" s="37" t="s">
        <v>187</v>
      </c>
      <c r="L6" s="35" t="s">
        <v>2801</v>
      </c>
      <c r="N6" s="40" t="s">
        <v>188</v>
      </c>
      <c r="O6" s="44" t="s">
        <v>2602</v>
      </c>
      <c r="P6" s="77">
        <f>R.Instructions.VersionDate</f>
        <v>45691</v>
      </c>
      <c r="Q6" s="81"/>
      <c r="S6" s="40" t="s">
        <v>189</v>
      </c>
      <c r="T6" s="45">
        <v>265</v>
      </c>
    </row>
    <row r="7" spans="2:20" ht="15" customHeight="1" x14ac:dyDescent="0.25">
      <c r="B7" s="37" t="s">
        <v>190</v>
      </c>
      <c r="C7" s="26">
        <v>1</v>
      </c>
      <c r="D7" s="38" t="s">
        <v>2616</v>
      </c>
      <c r="E7" s="38"/>
      <c r="F7" s="26" t="str">
        <f>IF(I.Facility.StandardPart="","",I.Facility.StandardPart)</f>
        <v/>
      </c>
      <c r="G7" s="38"/>
      <c r="H7" s="26" t="str">
        <f>IF(I.Facility.StandardPart="","Incomplete","Complete")</f>
        <v>Incomplete</v>
      </c>
      <c r="I7" s="39" t="s">
        <v>191</v>
      </c>
      <c r="K7" s="40" t="s">
        <v>192</v>
      </c>
      <c r="L7" s="41" t="s">
        <v>2802</v>
      </c>
      <c r="N7" s="37" t="s">
        <v>193</v>
      </c>
      <c r="O7" s="33" t="s">
        <v>2894</v>
      </c>
      <c r="P7" s="76"/>
      <c r="Q7" s="34"/>
      <c r="S7" s="37" t="s">
        <v>194</v>
      </c>
      <c r="T7" s="42">
        <v>23500</v>
      </c>
    </row>
    <row r="8" spans="2:20" ht="15" customHeight="1" x14ac:dyDescent="0.25">
      <c r="B8" s="40"/>
      <c r="C8" s="46"/>
      <c r="D8" s="44"/>
      <c r="E8" s="46"/>
      <c r="F8" s="46"/>
      <c r="G8" s="46"/>
      <c r="H8" s="46" t="str">
        <f>IF(AND(I.Developer.P1=FALSE,I.Developer.P2a=FALSE,I.Developer.P2b=FALSE,I.Developer.P3=FALSE,I.Developer.P4=FALSE),"Incomplete","Complete")</f>
        <v>Incomplete</v>
      </c>
      <c r="I8" s="47" t="s">
        <v>22</v>
      </c>
      <c r="K8" s="37" t="s">
        <v>195</v>
      </c>
      <c r="L8" s="35" t="s">
        <v>2803</v>
      </c>
      <c r="N8" s="37" t="s">
        <v>196</v>
      </c>
      <c r="O8" s="38" t="s">
        <v>2895</v>
      </c>
      <c r="P8" s="82" t="str">
        <f>IF(R.Facility.Timestamp="","",R.Facility.Timestamp)</f>
        <v/>
      </c>
      <c r="Q8" s="83"/>
      <c r="S8" s="37" t="s">
        <v>197</v>
      </c>
      <c r="T8" s="42">
        <v>6630</v>
      </c>
    </row>
    <row r="9" spans="2:20" ht="15" customHeight="1" x14ac:dyDescent="0.25">
      <c r="B9" s="37"/>
      <c r="C9" s="26"/>
      <c r="D9" s="38"/>
      <c r="E9" s="26"/>
      <c r="F9" s="26"/>
      <c r="G9" s="26"/>
      <c r="H9" s="26" t="str">
        <f>IF(I.Developer.P1=FALSE,"Complete",IF(AND(I.Developer.P1C1=FALSE,I.Developer.P1C2=FALSE,I.Developer.P1C3=FALSE,I.Developer.P1C4=FALSE),"Incomplete","Complete"))</f>
        <v>Complete</v>
      </c>
      <c r="I9" s="39" t="s">
        <v>198</v>
      </c>
      <c r="K9" s="40" t="s">
        <v>199</v>
      </c>
      <c r="L9" s="41" t="s">
        <v>2804</v>
      </c>
      <c r="N9" s="40" t="s">
        <v>2551</v>
      </c>
      <c r="O9" s="44" t="s">
        <v>2896</v>
      </c>
      <c r="P9" s="78" t="str">
        <f>IF(R.Facility.Notification="","",R.Facility.Notification)</f>
        <v>Enter the regulated emitter name.</v>
      </c>
      <c r="Q9" s="47"/>
      <c r="S9" s="37" t="s">
        <v>202</v>
      </c>
      <c r="T9" s="42">
        <v>11100</v>
      </c>
    </row>
    <row r="10" spans="2:20" ht="15" customHeight="1" x14ac:dyDescent="0.25">
      <c r="B10" s="37" t="s">
        <v>203</v>
      </c>
      <c r="C10" s="26">
        <v>1</v>
      </c>
      <c r="D10" s="38" t="s">
        <v>2617</v>
      </c>
      <c r="E10" s="38"/>
      <c r="F10" s="26" t="str">
        <f>IF(I.Product.P1Electricity="","",I.Product.P1Electricity)</f>
        <v/>
      </c>
      <c r="G10" s="38"/>
      <c r="H10" s="26" t="str">
        <f>IF(I.Developer.P1=FALSE,"Complete",IF(I.Product.P1Electricity="","Incomplete","Complete"))</f>
        <v>Complete</v>
      </c>
      <c r="I10" s="39" t="s">
        <v>204</v>
      </c>
      <c r="K10" s="37" t="s">
        <v>205</v>
      </c>
      <c r="L10" s="35" t="s">
        <v>2805</v>
      </c>
      <c r="N10" s="37" t="s">
        <v>200</v>
      </c>
      <c r="O10" s="38" t="s">
        <v>201</v>
      </c>
      <c r="P10" s="76"/>
      <c r="Q10" s="34"/>
      <c r="S10" s="37" t="s">
        <v>208</v>
      </c>
      <c r="T10" s="42">
        <v>8900</v>
      </c>
    </row>
    <row r="11" spans="2:20" ht="15" customHeight="1" x14ac:dyDescent="0.25">
      <c r="B11" s="37" t="s">
        <v>209</v>
      </c>
      <c r="C11" s="26">
        <v>1</v>
      </c>
      <c r="D11" s="38" t="s">
        <v>2618</v>
      </c>
      <c r="E11" s="43"/>
      <c r="F11" s="43" t="str">
        <f>IF(I.Product.P1GasToPower="","",I.Product.P1GasToPower)</f>
        <v/>
      </c>
      <c r="G11" s="43"/>
      <c r="H11" s="26" t="str">
        <f>IF(I.Developer.P1=FALSE,"Complete",IF(I.Product.P1GasToPower="","Incomplete","Complete"))</f>
        <v>Complete</v>
      </c>
      <c r="I11" s="39" t="s">
        <v>210</v>
      </c>
      <c r="K11" s="40" t="s">
        <v>211</v>
      </c>
      <c r="L11" s="41" t="s">
        <v>2806</v>
      </c>
      <c r="N11" s="37" t="s">
        <v>206</v>
      </c>
      <c r="O11" s="38" t="s">
        <v>207</v>
      </c>
      <c r="P11" s="82" t="str">
        <f>IF(R.Product.Timestamp="","",R.Product.Timestamp)</f>
        <v/>
      </c>
      <c r="Q11" s="83"/>
      <c r="S11" s="37" t="s">
        <v>214</v>
      </c>
      <c r="T11" s="42">
        <v>9200</v>
      </c>
    </row>
    <row r="12" spans="2:20" ht="15" customHeight="1" x14ac:dyDescent="0.25">
      <c r="B12" s="40" t="s">
        <v>215</v>
      </c>
      <c r="C12" s="46">
        <v>1</v>
      </c>
      <c r="D12" s="44" t="s">
        <v>2619</v>
      </c>
      <c r="E12" s="48"/>
      <c r="F12" s="48" t="str">
        <f>IF(I.Product.P1Drilling="","",I.Product.P1Drilling)</f>
        <v/>
      </c>
      <c r="G12" s="48"/>
      <c r="H12" s="46" t="str">
        <f>IF(I.Developer.P1=FALSE,"Complete",IF(I.Product.P1Drilling="","Incomplete","Complete"))</f>
        <v>Complete</v>
      </c>
      <c r="I12" s="47" t="s">
        <v>216</v>
      </c>
      <c r="K12" s="37" t="s">
        <v>217</v>
      </c>
      <c r="L12" s="35" t="s">
        <v>2807</v>
      </c>
      <c r="N12" s="40" t="s">
        <v>2552</v>
      </c>
      <c r="O12" s="44" t="s">
        <v>2553</v>
      </c>
      <c r="P12" s="78" t="str">
        <f>IF(R.Product.Notification="","",R.Product.Notification)</f>
        <v>Sheet complete.</v>
      </c>
      <c r="Q12" s="47"/>
      <c r="S12" s="37" t="s">
        <v>220</v>
      </c>
      <c r="T12" s="42">
        <v>9540</v>
      </c>
    </row>
    <row r="13" spans="2:20" ht="15" customHeight="1" x14ac:dyDescent="0.25">
      <c r="B13" s="37"/>
      <c r="C13" s="26"/>
      <c r="D13" s="38"/>
      <c r="E13" s="26"/>
      <c r="F13" s="26"/>
      <c r="G13" s="26"/>
      <c r="H13" s="26" t="str">
        <f>IF(I.Developer.P2a=FALSE,"Complete",IF(AND(I.Developer.P2aC1=FALSE,I.Developer.P2aC2=FALSE,I.Developer.P2aC3=FALSE,I.Developer.P2aC4=FALSE),"Incomplete","Complete"))</f>
        <v>Complete</v>
      </c>
      <c r="I13" s="39" t="s">
        <v>221</v>
      </c>
      <c r="K13" s="40" t="s">
        <v>222</v>
      </c>
      <c r="L13" s="41" t="s">
        <v>2808</v>
      </c>
      <c r="N13" s="37" t="s">
        <v>212</v>
      </c>
      <c r="O13" s="38" t="s">
        <v>213</v>
      </c>
      <c r="P13" s="76"/>
      <c r="Q13" s="34"/>
      <c r="S13" s="37" t="s">
        <v>225</v>
      </c>
      <c r="T13" s="42">
        <v>8550</v>
      </c>
    </row>
    <row r="14" spans="2:20" ht="15" customHeight="1" x14ac:dyDescent="0.25">
      <c r="B14" s="37" t="s">
        <v>226</v>
      </c>
      <c r="C14" s="26">
        <v>1</v>
      </c>
      <c r="D14" s="38" t="s">
        <v>2620</v>
      </c>
      <c r="E14" s="38"/>
      <c r="F14" s="26" t="str">
        <f>IF(I.Product.P2aElectricity="","",I.Product.P2aElectricity)</f>
        <v/>
      </c>
      <c r="G14" s="38"/>
      <c r="H14" s="26" t="str">
        <f>IF(I.Developer.P2a=FALSE,"Complete",IF(I.Product.P2aElectricity="","Incomplete","Complete"))</f>
        <v>Complete</v>
      </c>
      <c r="I14" s="39" t="s">
        <v>227</v>
      </c>
      <c r="K14" s="37" t="s">
        <v>228</v>
      </c>
      <c r="L14" s="35" t="s">
        <v>2809</v>
      </c>
      <c r="N14" s="37" t="s">
        <v>218</v>
      </c>
      <c r="O14" s="38" t="s">
        <v>219</v>
      </c>
      <c r="P14" s="82" t="str">
        <f>IF(R.Production.Timestamp="","",R.Production.Timestamp)</f>
        <v/>
      </c>
      <c r="Q14" s="83"/>
      <c r="S14" s="37" t="s">
        <v>231</v>
      </c>
      <c r="T14" s="42">
        <v>7910</v>
      </c>
    </row>
    <row r="15" spans="2:20" ht="15" customHeight="1" x14ac:dyDescent="0.25">
      <c r="B15" s="37" t="s">
        <v>232</v>
      </c>
      <c r="C15" s="26">
        <v>1</v>
      </c>
      <c r="D15" s="38" t="s">
        <v>2621</v>
      </c>
      <c r="E15" s="43"/>
      <c r="F15" s="43" t="str">
        <f>IF(I.Product.P2aGasToPower="","",I.Product.P2aGasToPower)</f>
        <v/>
      </c>
      <c r="G15" s="43"/>
      <c r="H15" s="26" t="str">
        <f>IF(I.Developer.P2a=FALSE,"Complete",IF(I.Product.P2aGasToPower="","Incomplete","Complete"))</f>
        <v>Complete</v>
      </c>
      <c r="I15" s="39" t="s">
        <v>233</v>
      </c>
      <c r="K15" s="37" t="s">
        <v>234</v>
      </c>
      <c r="L15" s="35" t="s">
        <v>2810</v>
      </c>
      <c r="N15" s="40" t="s">
        <v>2554</v>
      </c>
      <c r="O15" s="44" t="s">
        <v>2555</v>
      </c>
      <c r="P15" s="78" t="str">
        <f>IF(R.Production.Notification="","",R.Production.Notification)</f>
        <v>Sheet complete.</v>
      </c>
      <c r="Q15" s="47"/>
      <c r="S15" s="37" t="s">
        <v>237</v>
      </c>
      <c r="T15" s="42">
        <v>12400</v>
      </c>
    </row>
    <row r="16" spans="2:20" ht="15" customHeight="1" x14ac:dyDescent="0.25">
      <c r="B16" s="40" t="s">
        <v>238</v>
      </c>
      <c r="C16" s="46">
        <v>1</v>
      </c>
      <c r="D16" s="44" t="s">
        <v>2622</v>
      </c>
      <c r="E16" s="48"/>
      <c r="F16" s="48" t="str">
        <f>IF(I.Product.P2aDrilling="","",I.Product.P2aDrilling)</f>
        <v/>
      </c>
      <c r="G16" s="48"/>
      <c r="H16" s="46" t="str">
        <f>IF(I.Developer.P2a=FALSE,"Complete",IF(I.Product.P2aDrilling="","Incomplete","Complete"))</f>
        <v>Complete</v>
      </c>
      <c r="I16" s="47" t="s">
        <v>239</v>
      </c>
      <c r="K16" s="37" t="s">
        <v>240</v>
      </c>
      <c r="L16" s="35" t="s">
        <v>2811</v>
      </c>
      <c r="N16" s="37" t="s">
        <v>223</v>
      </c>
      <c r="O16" s="38" t="s">
        <v>224</v>
      </c>
      <c r="P16" s="76"/>
      <c r="Q16" s="34"/>
      <c r="S16" s="37" t="s">
        <v>243</v>
      </c>
      <c r="T16" s="42">
        <v>677</v>
      </c>
    </row>
    <row r="17" spans="2:20" ht="15" customHeight="1" x14ac:dyDescent="0.25">
      <c r="B17" s="37"/>
      <c r="C17" s="26"/>
      <c r="D17" s="38"/>
      <c r="E17" s="26"/>
      <c r="F17" s="26"/>
      <c r="G17" s="26"/>
      <c r="H17" s="26" t="str">
        <f>IF(I.Developer.P2b=FALSE,"Complete",IF(AND(I.Developer.P2bC1=FALSE,I.Developer.P2bC2=FALSE,I.Developer.P2bC3=FALSE,I.Developer.P2bC4=FALSE),"Incomplete","Complete"))</f>
        <v>Complete</v>
      </c>
      <c r="I17" s="39" t="s">
        <v>244</v>
      </c>
      <c r="K17" s="37" t="s">
        <v>245</v>
      </c>
      <c r="L17" s="35" t="s">
        <v>2812</v>
      </c>
      <c r="N17" s="49" t="s">
        <v>229</v>
      </c>
      <c r="O17" s="38" t="s">
        <v>230</v>
      </c>
      <c r="P17" s="82" t="str">
        <f>IF(R.Electricity.Timestamp="","",R.Electricity.Timestamp)</f>
        <v/>
      </c>
      <c r="Q17" s="83"/>
      <c r="S17" s="37" t="s">
        <v>248</v>
      </c>
      <c r="T17" s="42">
        <v>116</v>
      </c>
    </row>
    <row r="18" spans="2:20" ht="15" customHeight="1" x14ac:dyDescent="0.25">
      <c r="B18" s="37" t="s">
        <v>249</v>
      </c>
      <c r="C18" s="26">
        <v>1</v>
      </c>
      <c r="D18" s="38" t="s">
        <v>2623</v>
      </c>
      <c r="E18" s="38"/>
      <c r="F18" s="26" t="str">
        <f>IF(I.Product.P2bElectricity="","",I.Product.P2bElectricity)</f>
        <v/>
      </c>
      <c r="G18" s="38"/>
      <c r="H18" s="26" t="str">
        <f>IF(I.Developer.P2b=FALSE,"Complete",IF(I.Product.P2bElectricity="","Incomplete","Complete"))</f>
        <v>Complete</v>
      </c>
      <c r="I18" s="39" t="s">
        <v>250</v>
      </c>
      <c r="K18" s="40" t="s">
        <v>251</v>
      </c>
      <c r="L18" s="41" t="s">
        <v>2813</v>
      </c>
      <c r="N18" s="50" t="s">
        <v>2556</v>
      </c>
      <c r="O18" s="51" t="s">
        <v>2557</v>
      </c>
      <c r="P18" s="78" t="str">
        <f>IF(R.Electricity.Notification="","",R.Electricity.Notification)</f>
        <v>Sheet complete.</v>
      </c>
      <c r="Q18" s="47"/>
      <c r="S18" s="37" t="s">
        <v>254</v>
      </c>
      <c r="T18" s="42">
        <v>1650</v>
      </c>
    </row>
    <row r="19" spans="2:20" ht="15" customHeight="1" x14ac:dyDescent="0.25">
      <c r="B19" s="37" t="s">
        <v>255</v>
      </c>
      <c r="C19" s="26">
        <v>1</v>
      </c>
      <c r="D19" s="38" t="s">
        <v>2624</v>
      </c>
      <c r="E19" s="43"/>
      <c r="F19" s="43" t="str">
        <f>IF(I.Product.P2bGasToPower="","",I.Product.P2bGasToPower)</f>
        <v/>
      </c>
      <c r="G19" s="43"/>
      <c r="H19" s="26" t="str">
        <f>IF(I.Developer.P2b=FALSE,"Complete",IF(I.Product.P2bGasToPower="","Incomplete","Complete"))</f>
        <v>Complete</v>
      </c>
      <c r="I19" s="39" t="s">
        <v>256</v>
      </c>
      <c r="K19" s="37" t="s">
        <v>257</v>
      </c>
      <c r="L19" s="35" t="s">
        <v>2814</v>
      </c>
      <c r="N19" s="37" t="s">
        <v>235</v>
      </c>
      <c r="O19" s="38" t="s">
        <v>236</v>
      </c>
      <c r="P19" s="76"/>
      <c r="Q19" s="34"/>
      <c r="S19" s="37" t="s">
        <v>258</v>
      </c>
      <c r="T19" s="42">
        <v>3170</v>
      </c>
    </row>
    <row r="20" spans="2:20" ht="15" customHeight="1" x14ac:dyDescent="0.25">
      <c r="B20" s="40" t="s">
        <v>259</v>
      </c>
      <c r="C20" s="46">
        <v>1</v>
      </c>
      <c r="D20" s="44" t="s">
        <v>2625</v>
      </c>
      <c r="E20" s="48"/>
      <c r="F20" s="48" t="str">
        <f>IF(I.Product.P2bDrilling="","",I.Product.P2bDrilling)</f>
        <v/>
      </c>
      <c r="G20" s="48"/>
      <c r="H20" s="46" t="str">
        <f>IF(I.Developer.P2b=FALSE,"Complete",IF(I.Product.P2bDrilling="","Incomplete","Complete"))</f>
        <v>Complete</v>
      </c>
      <c r="I20" s="47" t="s">
        <v>260</v>
      </c>
      <c r="K20" s="37" t="s">
        <v>261</v>
      </c>
      <c r="L20" s="35" t="s">
        <v>2815</v>
      </c>
      <c r="N20" s="37" t="s">
        <v>2898</v>
      </c>
      <c r="O20" s="38" t="s">
        <v>2899</v>
      </c>
      <c r="P20" s="88"/>
      <c r="Q20" s="39"/>
      <c r="S20" s="37" t="s">
        <v>263</v>
      </c>
      <c r="T20" s="42">
        <v>1120</v>
      </c>
    </row>
    <row r="21" spans="2:20" ht="15" customHeight="1" x14ac:dyDescent="0.25">
      <c r="B21" s="37"/>
      <c r="C21" s="26"/>
      <c r="D21" s="38"/>
      <c r="E21" s="26"/>
      <c r="F21" s="26"/>
      <c r="G21" s="26"/>
      <c r="H21" s="26" t="str">
        <f>IF(I.Developer.P3=FALSE,"Complete",IF(AND(I.Developer.P3C1=FALSE,I.Developer.P3C2=FALSE,I.Developer.P3C3=FALSE,I.Developer.P3C4=FALSE),"Incomplete","Complete"))</f>
        <v>Complete</v>
      </c>
      <c r="I21" s="39" t="s">
        <v>264</v>
      </c>
      <c r="K21" s="37" t="s">
        <v>265</v>
      </c>
      <c r="L21" s="35" t="s">
        <v>2816</v>
      </c>
      <c r="N21" s="37" t="s">
        <v>2900</v>
      </c>
      <c r="O21" s="38" t="s">
        <v>2901</v>
      </c>
      <c r="P21" s="88"/>
      <c r="Q21" s="39"/>
      <c r="S21" s="37" t="s">
        <v>267</v>
      </c>
      <c r="T21" s="42">
        <v>1300</v>
      </c>
    </row>
    <row r="22" spans="2:20" ht="15" customHeight="1" x14ac:dyDescent="0.25">
      <c r="B22" s="37" t="s">
        <v>268</v>
      </c>
      <c r="C22" s="26">
        <v>1</v>
      </c>
      <c r="D22" s="38" t="s">
        <v>2626</v>
      </c>
      <c r="E22" s="38"/>
      <c r="F22" s="26" t="str">
        <f>IF(I.Product.P3Electricity="","",I.Product.P3Electricity)</f>
        <v/>
      </c>
      <c r="G22" s="38"/>
      <c r="H22" s="26" t="str">
        <f>IF(I.Developer.P3=FALSE,"Complete",IF(I.Product.P3Electricity="","Incomplete","Complete"))</f>
        <v>Complete</v>
      </c>
      <c r="I22" s="39" t="s">
        <v>269</v>
      </c>
      <c r="K22" s="37" t="s">
        <v>270</v>
      </c>
      <c r="L22" s="35" t="s">
        <v>2817</v>
      </c>
      <c r="N22" s="37" t="s">
        <v>2902</v>
      </c>
      <c r="O22" s="38" t="s">
        <v>2903</v>
      </c>
      <c r="P22" s="88"/>
      <c r="Q22" s="39"/>
      <c r="S22" s="37" t="s">
        <v>272</v>
      </c>
      <c r="T22" s="42">
        <v>328</v>
      </c>
    </row>
    <row r="23" spans="2:20" ht="15" customHeight="1" x14ac:dyDescent="0.25">
      <c r="B23" s="37" t="s">
        <v>273</v>
      </c>
      <c r="C23" s="26">
        <v>1</v>
      </c>
      <c r="D23" s="38" t="s">
        <v>2627</v>
      </c>
      <c r="E23" s="43"/>
      <c r="F23" s="43" t="str">
        <f>IF(I.Product.P3GasToPower="","",I.Product.P3GasToPower)</f>
        <v/>
      </c>
      <c r="G23" s="43"/>
      <c r="H23" s="26" t="str">
        <f>IF(I.Developer.P3=FALSE,"Complete",IF(I.Product.P3GasToPower="","Incomplete","Complete"))</f>
        <v>Complete</v>
      </c>
      <c r="I23" s="39" t="s">
        <v>274</v>
      </c>
      <c r="K23" s="40" t="s">
        <v>275</v>
      </c>
      <c r="L23" s="41" t="s">
        <v>2818</v>
      </c>
      <c r="N23" s="37" t="s">
        <v>2904</v>
      </c>
      <c r="O23" s="38" t="s">
        <v>2905</v>
      </c>
      <c r="P23" s="88"/>
      <c r="Q23" s="39"/>
      <c r="S23" s="37" t="s">
        <v>276</v>
      </c>
      <c r="T23" s="42">
        <v>4800</v>
      </c>
    </row>
    <row r="24" spans="2:20" ht="15" customHeight="1" x14ac:dyDescent="0.25">
      <c r="B24" s="40" t="s">
        <v>277</v>
      </c>
      <c r="C24" s="46">
        <v>1</v>
      </c>
      <c r="D24" s="44" t="s">
        <v>2628</v>
      </c>
      <c r="E24" s="48"/>
      <c r="F24" s="48" t="str">
        <f>IF(I.Product.P3Drilling="","",I.Product.P3Drilling)</f>
        <v/>
      </c>
      <c r="G24" s="48"/>
      <c r="H24" s="46" t="str">
        <f>IF(I.Developer.P3=FALSE,"Complete",IF(I.Product.P3Drilling="","Incomplete","Complete"))</f>
        <v>Complete</v>
      </c>
      <c r="I24" s="47" t="s">
        <v>278</v>
      </c>
      <c r="K24" s="37" t="s">
        <v>279</v>
      </c>
      <c r="L24" s="35" t="s">
        <v>2819</v>
      </c>
      <c r="N24" s="37" t="s">
        <v>2906</v>
      </c>
      <c r="O24" s="38" t="s">
        <v>2907</v>
      </c>
      <c r="P24" s="88"/>
      <c r="Q24" s="39"/>
      <c r="S24" s="37" t="s">
        <v>280</v>
      </c>
      <c r="T24" s="42">
        <v>138</v>
      </c>
    </row>
    <row r="25" spans="2:20" ht="15" customHeight="1" x14ac:dyDescent="0.25">
      <c r="B25" s="37"/>
      <c r="C25" s="26"/>
      <c r="D25" s="38"/>
      <c r="E25" s="26"/>
      <c r="F25" s="26"/>
      <c r="G25" s="26"/>
      <c r="H25" s="26" t="str">
        <f>IF(I.Developer.P4=FALSE,"Complete",IF(AND(I.Developer.P4C1=FALSE,I.Developer.P4C2=FALSE,I.Developer.P4C3=FALSE,I.Developer.P4C4=FALSE),"Incomplete","Complete"))</f>
        <v>Complete</v>
      </c>
      <c r="I25" s="39" t="s">
        <v>281</v>
      </c>
      <c r="K25" s="37" t="s">
        <v>282</v>
      </c>
      <c r="L25" s="35" t="s">
        <v>2820</v>
      </c>
      <c r="N25" s="37" t="s">
        <v>241</v>
      </c>
      <c r="O25" s="38" t="s">
        <v>242</v>
      </c>
      <c r="P25" s="82" t="str">
        <f>IF(R.Gas.Timestamp="","",R.Gas.Timestamp)</f>
        <v/>
      </c>
      <c r="Q25" s="83"/>
      <c r="S25" s="37" t="s">
        <v>283</v>
      </c>
      <c r="T25" s="42">
        <v>3350</v>
      </c>
    </row>
    <row r="26" spans="2:20" ht="15" customHeight="1" x14ac:dyDescent="0.25">
      <c r="B26" s="37" t="s">
        <v>284</v>
      </c>
      <c r="C26" s="26">
        <v>1</v>
      </c>
      <c r="D26" s="38" t="s">
        <v>2629</v>
      </c>
      <c r="E26" s="38"/>
      <c r="F26" s="26" t="str">
        <f>IF(I.Product.P4Electricity="","",I.Product.P4Electricity)</f>
        <v/>
      </c>
      <c r="G26" s="38"/>
      <c r="H26" s="26" t="str">
        <f>IF(I.Developer.P4=FALSE,"Complete",IF(I.Product.P4Electricity="","Incomplete","Complete"))</f>
        <v>Complete</v>
      </c>
      <c r="I26" s="39" t="s">
        <v>285</v>
      </c>
      <c r="K26" s="37" t="s">
        <v>286</v>
      </c>
      <c r="L26" s="35" t="s">
        <v>2821</v>
      </c>
      <c r="N26" s="40" t="s">
        <v>2558</v>
      </c>
      <c r="O26" s="44" t="s">
        <v>2559</v>
      </c>
      <c r="P26" s="78" t="str">
        <f>IF(R.Gas.Notification="","",R.Gas.Notification)</f>
        <v>Sheet complete.</v>
      </c>
      <c r="Q26" s="47"/>
      <c r="S26" s="37" t="s">
        <v>287</v>
      </c>
      <c r="T26" s="42">
        <v>8060</v>
      </c>
    </row>
    <row r="27" spans="2:20" ht="15" customHeight="1" x14ac:dyDescent="0.25">
      <c r="B27" s="37" t="s">
        <v>288</v>
      </c>
      <c r="C27" s="26">
        <v>1</v>
      </c>
      <c r="D27" s="38" t="s">
        <v>2630</v>
      </c>
      <c r="E27" s="43"/>
      <c r="F27" s="43" t="str">
        <f>IF(I.Product.P4GasToPower="","",I.Product.P4GasToPower)</f>
        <v/>
      </c>
      <c r="G27" s="43"/>
      <c r="H27" s="26" t="str">
        <f>IF(I.Developer.P4=FALSE,"Complete",IF(I.Product.P4GasToPower="","Incomplete","Complete"))</f>
        <v>Complete</v>
      </c>
      <c r="I27" s="39" t="s">
        <v>289</v>
      </c>
      <c r="K27" s="37" t="s">
        <v>290</v>
      </c>
      <c r="L27" s="35" t="s">
        <v>2822</v>
      </c>
      <c r="N27" s="37" t="s">
        <v>246</v>
      </c>
      <c r="O27" s="38" t="s">
        <v>247</v>
      </c>
      <c r="P27" s="76"/>
      <c r="Q27" s="34"/>
      <c r="S27" s="40" t="s">
        <v>291</v>
      </c>
      <c r="T27" s="45">
        <v>716</v>
      </c>
    </row>
    <row r="28" spans="2:20" ht="15" customHeight="1" x14ac:dyDescent="0.25">
      <c r="B28" s="40" t="s">
        <v>292</v>
      </c>
      <c r="C28" s="46">
        <v>1</v>
      </c>
      <c r="D28" s="44" t="s">
        <v>2631</v>
      </c>
      <c r="E28" s="48"/>
      <c r="F28" s="48" t="str">
        <f>IF(I.Product.P4Drilling="","",I.Product.P4Drilling)</f>
        <v/>
      </c>
      <c r="G28" s="48"/>
      <c r="H28" s="46" t="str">
        <f>IF(I.Developer.P4=FALSE,"Complete",IF(I.Product.P4Drilling="","Incomplete","Complete"))</f>
        <v>Complete</v>
      </c>
      <c r="I28" s="47" t="s">
        <v>293</v>
      </c>
      <c r="K28" s="40" t="s">
        <v>294</v>
      </c>
      <c r="L28" s="41" t="s">
        <v>2823</v>
      </c>
      <c r="N28" s="49" t="s">
        <v>252</v>
      </c>
      <c r="O28" s="38" t="s">
        <v>253</v>
      </c>
      <c r="P28" s="82" t="str">
        <f>IF(R.Drilling.Timestamp="","",R.Drilling.Timestamp)</f>
        <v/>
      </c>
      <c r="Q28" s="83"/>
      <c r="S28" s="37" t="s">
        <v>295</v>
      </c>
      <c r="T28" s="54">
        <v>1.83</v>
      </c>
    </row>
    <row r="29" spans="2:20" ht="15" customHeight="1" x14ac:dyDescent="0.25">
      <c r="B29" s="55" t="s">
        <v>296</v>
      </c>
      <c r="C29" s="56">
        <v>1</v>
      </c>
      <c r="D29" s="53" t="s">
        <v>2632</v>
      </c>
      <c r="E29" s="57"/>
      <c r="F29" s="57" t="str">
        <f>IF(I.Production.P1Quantity="","",I.Production.P1Quantity)</f>
        <v/>
      </c>
      <c r="G29" s="57"/>
      <c r="H29" s="56" t="str">
        <f>IF(I.Developer.P1=FALSE,"Complete",IF(I.Production.P1Quantity="","Incomplete","Complete"))</f>
        <v>Complete</v>
      </c>
      <c r="I29" s="58" t="s">
        <v>297</v>
      </c>
      <c r="K29" s="37" t="s">
        <v>298</v>
      </c>
      <c r="L29" s="35" t="s">
        <v>2824</v>
      </c>
      <c r="N29" s="50" t="s">
        <v>2560</v>
      </c>
      <c r="O29" s="51" t="s">
        <v>2561</v>
      </c>
      <c r="P29" s="78" t="str">
        <f>IF(R.Drilling.Notification="","",R.Drilling.Notification)</f>
        <v>Sheet complete.</v>
      </c>
      <c r="Q29" s="47"/>
      <c r="S29" s="37" t="s">
        <v>299</v>
      </c>
      <c r="T29" s="54">
        <v>2</v>
      </c>
    </row>
    <row r="30" spans="2:20" ht="15" customHeight="1" x14ac:dyDescent="0.25">
      <c r="B30" s="37" t="s">
        <v>300</v>
      </c>
      <c r="C30" s="26">
        <v>1</v>
      </c>
      <c r="D30" s="38" t="s">
        <v>2633</v>
      </c>
      <c r="E30" s="59"/>
      <c r="F30" s="59" t="str">
        <f>IF(INDEX(I.Production.P1C1,1)="","",INDEX(I.Production.P1C1,1))</f>
        <v/>
      </c>
      <c r="G30" s="59"/>
      <c r="H30" s="26" t="str">
        <f>IF(I.Developer.P1=FALSE,"Complete",IF(I.Developer.P1C1=FALSE,"Complete",IF(I.Facility.StandardPart&lt;&gt;"Part 2","Complete",IF(F30="","Incomplete","Complete"))))</f>
        <v>Complete</v>
      </c>
      <c r="I30" s="39" t="s">
        <v>301</v>
      </c>
      <c r="K30" s="37" t="s">
        <v>302</v>
      </c>
      <c r="L30" s="35" t="s">
        <v>2825</v>
      </c>
      <c r="N30" s="87" t="s">
        <v>2528</v>
      </c>
      <c r="O30" s="33" t="s">
        <v>2571</v>
      </c>
      <c r="P30" s="76"/>
      <c r="Q30" s="34"/>
      <c r="S30" s="37" t="s">
        <v>303</v>
      </c>
      <c r="T30" s="54">
        <v>2.2999999999999998</v>
      </c>
    </row>
    <row r="31" spans="2:20" ht="15" customHeight="1" x14ac:dyDescent="0.25">
      <c r="B31" s="37" t="s">
        <v>300</v>
      </c>
      <c r="C31" s="26">
        <v>2</v>
      </c>
      <c r="D31" s="38" t="s">
        <v>2633</v>
      </c>
      <c r="E31" s="59"/>
      <c r="F31" s="59" t="str">
        <f>IF(INDEX(I.Production.P1C1,2)="","",INDEX(I.Production.P1C1,2))</f>
        <v/>
      </c>
      <c r="G31" s="59"/>
      <c r="H31" s="26" t="str">
        <f>IF(I.Developer.P1=FALSE,"Complete",IF(I.Developer.P1C1=FALSE,"Complete",IF(I.Facility.StandardPart&lt;&gt;"Part 2","Complete",IF(I.Developer.P1C1V2=FALSE,"Complete",IF(F31="","Incomplete","Complete")))))</f>
        <v>Complete</v>
      </c>
      <c r="I31" s="39" t="s">
        <v>304</v>
      </c>
      <c r="K31" s="37" t="s">
        <v>305</v>
      </c>
      <c r="L31" s="35" t="s">
        <v>2826</v>
      </c>
      <c r="N31" s="49" t="s">
        <v>2529</v>
      </c>
      <c r="O31" s="38" t="s">
        <v>2572</v>
      </c>
      <c r="P31" s="88" t="str">
        <f>IF(R.Compliance.Timestamp="","",R.Compliance.Timestamp)</f>
        <v/>
      </c>
      <c r="Q31" s="39"/>
      <c r="S31" s="37" t="s">
        <v>306</v>
      </c>
      <c r="T31" s="54">
        <v>2.11</v>
      </c>
    </row>
    <row r="32" spans="2:20" ht="15" customHeight="1" x14ac:dyDescent="0.25">
      <c r="B32" s="37" t="s">
        <v>300</v>
      </c>
      <c r="C32" s="26">
        <v>3</v>
      </c>
      <c r="D32" s="38" t="s">
        <v>2633</v>
      </c>
      <c r="E32" s="59"/>
      <c r="F32" s="59" t="str">
        <f>IF(INDEX(I.Production.P1C1,3)="","",INDEX(I.Production.P1C1,3))</f>
        <v/>
      </c>
      <c r="G32" s="59"/>
      <c r="H32" s="26" t="str">
        <f>IF(I.Developer.P1=FALSE,"Complete",IF(I.Developer.P1C1=FALSE,"Complete",IF(I.Facility.StandardPart&lt;&gt;"Part 2","Complete",IF(I.Developer.P1C1V3=FALSE,"Complete",IF(F32="","Incomplete","Complete")))))</f>
        <v>Complete</v>
      </c>
      <c r="I32" s="39" t="s">
        <v>307</v>
      </c>
      <c r="K32" s="37" t="s">
        <v>308</v>
      </c>
      <c r="L32" s="35" t="s">
        <v>2827</v>
      </c>
      <c r="N32" s="50" t="s">
        <v>2530</v>
      </c>
      <c r="O32" s="51" t="s">
        <v>2573</v>
      </c>
      <c r="P32" s="85" t="str">
        <f>IF(R.Compliance.Notification="","",R.Compliance.Notification)</f>
        <v>Sheet complete.</v>
      </c>
      <c r="Q32" s="86"/>
      <c r="S32" s="40" t="s">
        <v>309</v>
      </c>
      <c r="T32" s="60">
        <v>2.88</v>
      </c>
    </row>
    <row r="33" spans="2:20" ht="15" customHeight="1" x14ac:dyDescent="0.25">
      <c r="B33" s="37" t="s">
        <v>300</v>
      </c>
      <c r="C33" s="26">
        <v>4</v>
      </c>
      <c r="D33" s="38" t="s">
        <v>2633</v>
      </c>
      <c r="E33" s="59"/>
      <c r="F33" s="59" t="str">
        <f>IF(INDEX(I.Production.P1C1,4)="","",INDEX(I.Production.P1C1,4))</f>
        <v/>
      </c>
      <c r="G33" s="59"/>
      <c r="H33" s="26" t="str">
        <f>IF(I.Developer.P1=FALSE,"Complete",IF(I.Developer.P1C1=FALSE,"Complete",IF(I.Facility.StandardPart&lt;&gt;"Part 2","Complete",IF(I.Developer.P1C1V4=FALSE,"Complete",IF(F33="","Incomplete","Complete")))))</f>
        <v>Complete</v>
      </c>
      <c r="I33" s="39" t="s">
        <v>310</v>
      </c>
      <c r="K33" s="40" t="s">
        <v>311</v>
      </c>
      <c r="L33" s="41" t="s">
        <v>2828</v>
      </c>
      <c r="N33" s="49" t="s">
        <v>262</v>
      </c>
      <c r="O33" s="89" t="s">
        <v>2589</v>
      </c>
      <c r="P33" s="88"/>
      <c r="Q33" s="39"/>
      <c r="S33" s="37" t="s">
        <v>312</v>
      </c>
      <c r="T33" s="61">
        <v>1.776</v>
      </c>
    </row>
    <row r="34" spans="2:20" ht="15" customHeight="1" x14ac:dyDescent="0.25">
      <c r="B34" s="37" t="s">
        <v>300</v>
      </c>
      <c r="C34" s="26">
        <v>5</v>
      </c>
      <c r="D34" s="38" t="s">
        <v>2633</v>
      </c>
      <c r="E34" s="59"/>
      <c r="F34" s="59" t="str">
        <f>IF(INDEX(I.Production.P1C1,5)="","",INDEX(I.Production.P1C1,5))</f>
        <v/>
      </c>
      <c r="G34" s="59"/>
      <c r="H34" s="26" t="str">
        <f>IF(I.Developer.P1=FALSE,"Complete",IF(I.Developer.P1C1=FALSE,"Complete",IF(I.Facility.StandardPart&lt;&gt;"Part 2","Complete",IF(I.Developer.P1C1V5=FALSE,"Complete",IF(F34="","Incomplete","Complete")))))</f>
        <v>Complete</v>
      </c>
      <c r="I34" s="39" t="s">
        <v>313</v>
      </c>
      <c r="K34" s="37" t="s">
        <v>314</v>
      </c>
      <c r="L34" s="35" t="s">
        <v>2829</v>
      </c>
      <c r="N34" s="49" t="s">
        <v>266</v>
      </c>
      <c r="O34" s="38" t="s">
        <v>2590</v>
      </c>
      <c r="P34" s="88" t="str">
        <f>IF(R.Declaration.Timestamp="","",R.Declaration.Timestamp)</f>
        <v/>
      </c>
      <c r="Q34" s="39"/>
      <c r="S34" s="37" t="s">
        <v>315</v>
      </c>
      <c r="T34" s="61">
        <v>2.6349999999999998</v>
      </c>
    </row>
    <row r="35" spans="2:20" ht="15" customHeight="1" x14ac:dyDescent="0.25">
      <c r="B35" s="37" t="s">
        <v>300</v>
      </c>
      <c r="C35" s="26">
        <v>6</v>
      </c>
      <c r="D35" s="38" t="s">
        <v>2633</v>
      </c>
      <c r="E35" s="59"/>
      <c r="F35" s="59" t="str">
        <f>IF(INDEX(I.Production.P1C1,6)="","",INDEX(I.Production.P1C1,6))</f>
        <v/>
      </c>
      <c r="G35" s="59"/>
      <c r="H35" s="26" t="str">
        <f>IF(I.Developer.P1=FALSE,"Complete",IF(I.Developer.P1C1=FALSE,"Complete",IF(I.Facility.StandardPart&lt;&gt;"Part 2","Complete",IF(I.Developer.P1C1V6=FALSE,"Complete",IF(F35="","Incomplete","Complete")))))</f>
        <v>Complete</v>
      </c>
      <c r="I35" s="39" t="s">
        <v>316</v>
      </c>
      <c r="K35" s="37" t="s">
        <v>317</v>
      </c>
      <c r="L35" s="35" t="s">
        <v>2830</v>
      </c>
      <c r="N35" s="50" t="s">
        <v>2562</v>
      </c>
      <c r="O35" s="51" t="s">
        <v>2591</v>
      </c>
      <c r="P35" s="85" t="str">
        <f>IF(R.Declaration.Notification="","",R.Declaration.Notification)</f>
        <v>Enter the name of the authorized signing officer.</v>
      </c>
      <c r="Q35" s="86"/>
      <c r="S35" s="37" t="s">
        <v>318</v>
      </c>
      <c r="T35" s="61">
        <v>1.0149999999999999</v>
      </c>
    </row>
    <row r="36" spans="2:20" ht="15" customHeight="1" x14ac:dyDescent="0.25">
      <c r="B36" s="37" t="s">
        <v>300</v>
      </c>
      <c r="C36" s="26">
        <v>7</v>
      </c>
      <c r="D36" s="38" t="s">
        <v>2633</v>
      </c>
      <c r="E36" s="59"/>
      <c r="F36" s="59" t="str">
        <f>IF(INDEX(I.Production.P1C1,7)="","",INDEX(I.Production.P1C1,7))</f>
        <v/>
      </c>
      <c r="G36" s="59"/>
      <c r="H36" s="26" t="str">
        <f>IF(I.Developer.P1=FALSE,"Complete",IF(I.Developer.P1C1=FALSE,"Complete",IF(I.Facility.StandardPart="Part 2","Complete",IF(F36="","Incomplete","Complete"))))</f>
        <v>Complete</v>
      </c>
      <c r="I36" s="39" t="s">
        <v>319</v>
      </c>
      <c r="K36" s="37" t="s">
        <v>320</v>
      </c>
      <c r="L36" s="35" t="s">
        <v>2831</v>
      </c>
      <c r="N36" s="52" t="s">
        <v>271</v>
      </c>
      <c r="O36" s="90" t="s">
        <v>2592</v>
      </c>
      <c r="P36" s="91"/>
      <c r="Q36" s="58"/>
      <c r="S36" s="37" t="s">
        <v>321</v>
      </c>
      <c r="T36" s="61">
        <v>2.141</v>
      </c>
    </row>
    <row r="37" spans="2:20" ht="15" customHeight="1" x14ac:dyDescent="0.25">
      <c r="B37" s="37" t="s">
        <v>300</v>
      </c>
      <c r="C37" s="26">
        <v>8</v>
      </c>
      <c r="D37" s="38" t="s">
        <v>2633</v>
      </c>
      <c r="E37" s="59"/>
      <c r="F37" s="59" t="str">
        <f>IF(INDEX(I.Production.P1C1,8)="","",INDEX(I.Production.P1C1,8))</f>
        <v/>
      </c>
      <c r="G37" s="59"/>
      <c r="H37" s="26" t="str">
        <f>IF(I.Developer.P1=FALSE,"Complete",IF(I.Developer.P1C1=FALSE,"Complete",IF(I.Facility.StandardPart="Part 2","Complete",IF(F37="","Incomplete","Complete"))))</f>
        <v>Complete</v>
      </c>
      <c r="I37" s="39" t="s">
        <v>322</v>
      </c>
      <c r="K37" s="37" t="s">
        <v>323</v>
      </c>
      <c r="L37" s="35" t="s">
        <v>2832</v>
      </c>
      <c r="S37" s="40" t="s">
        <v>324</v>
      </c>
      <c r="T37" s="62">
        <v>1.544</v>
      </c>
    </row>
    <row r="38" spans="2:20" ht="15" customHeight="1" x14ac:dyDescent="0.25">
      <c r="B38" s="40" t="s">
        <v>300</v>
      </c>
      <c r="C38" s="46">
        <v>9</v>
      </c>
      <c r="D38" s="44" t="s">
        <v>2633</v>
      </c>
      <c r="E38" s="63"/>
      <c r="F38" s="63" t="str">
        <f>IF(INDEX(I.Production.P1C1,9)="","",INDEX(I.Production.P1C1,9))</f>
        <v/>
      </c>
      <c r="G38" s="63"/>
      <c r="H38" s="46" t="str">
        <f>IF(I.Developer.P1=FALSE,"Complete",IF(I.Developer.P1C1=FALSE,"Complete",IF(I.Facility.StandardPart="Part 2","Complete",IF(F38="","Incomplete","Complete"))))</f>
        <v>Complete</v>
      </c>
      <c r="I38" s="47" t="s">
        <v>325</v>
      </c>
      <c r="K38" s="40" t="s">
        <v>326</v>
      </c>
      <c r="L38" s="41" t="s">
        <v>2833</v>
      </c>
      <c r="S38" s="37" t="s">
        <v>327</v>
      </c>
      <c r="T38" s="64">
        <v>2.63</v>
      </c>
    </row>
    <row r="39" spans="2:20" ht="15" customHeight="1" x14ac:dyDescent="0.25">
      <c r="B39" s="37" t="s">
        <v>328</v>
      </c>
      <c r="C39" s="26">
        <v>1</v>
      </c>
      <c r="D39" s="38" t="s">
        <v>2634</v>
      </c>
      <c r="E39" s="59"/>
      <c r="F39" s="59" t="str">
        <f>IF(INDEX(I.Production.P1C2,1)="","",INDEX(I.Production.P1C2,1))</f>
        <v/>
      </c>
      <c r="G39" s="59"/>
      <c r="H39" s="26" t="str">
        <f t="shared" ref="H39:H59" si="0">IF(I.Developer.P1=FALSE,"Complete",IF(I.Developer.P1C2=FALSE,"Complete",IF(F39="","Incomplete","Complete")))</f>
        <v>Complete</v>
      </c>
      <c r="I39" s="39" t="s">
        <v>329</v>
      </c>
      <c r="K39" s="37" t="s">
        <v>330</v>
      </c>
      <c r="L39" s="35" t="s">
        <v>2834</v>
      </c>
      <c r="S39" s="37" t="s">
        <v>331</v>
      </c>
      <c r="T39" s="64">
        <v>2.77</v>
      </c>
    </row>
    <row r="40" spans="2:20" ht="15" customHeight="1" x14ac:dyDescent="0.25">
      <c r="B40" s="37" t="s">
        <v>328</v>
      </c>
      <c r="C40" s="26">
        <v>2</v>
      </c>
      <c r="D40" s="38" t="s">
        <v>2634</v>
      </c>
      <c r="E40" s="59"/>
      <c r="F40" s="59" t="str">
        <f>IF(INDEX(I.Production.P1C2,2)="","",INDEX(I.Production.P1C2,2))</f>
        <v/>
      </c>
      <c r="G40" s="59"/>
      <c r="H40" s="26" t="str">
        <f t="shared" si="0"/>
        <v>Complete</v>
      </c>
      <c r="I40" s="39" t="s">
        <v>332</v>
      </c>
      <c r="K40" s="37" t="s">
        <v>333</v>
      </c>
      <c r="L40" s="35" t="s">
        <v>2835</v>
      </c>
      <c r="S40" s="37" t="s">
        <v>334</v>
      </c>
      <c r="T40" s="64">
        <v>2.99</v>
      </c>
    </row>
    <row r="41" spans="2:20" ht="15" customHeight="1" x14ac:dyDescent="0.25">
      <c r="B41" s="37" t="s">
        <v>328</v>
      </c>
      <c r="C41" s="26">
        <v>3</v>
      </c>
      <c r="D41" s="38" t="s">
        <v>2634</v>
      </c>
      <c r="E41" s="59"/>
      <c r="F41" s="59" t="str">
        <f>IF(INDEX(I.Production.P1C2,3)="","",INDEX(I.Production.P1C2,3))</f>
        <v/>
      </c>
      <c r="G41" s="59"/>
      <c r="H41" s="26" t="str">
        <f t="shared" si="0"/>
        <v>Complete</v>
      </c>
      <c r="I41" s="39" t="s">
        <v>335</v>
      </c>
      <c r="K41" s="37" t="s">
        <v>336</v>
      </c>
      <c r="L41" s="35" t="s">
        <v>2836</v>
      </c>
      <c r="S41" s="37" t="s">
        <v>337</v>
      </c>
      <c r="T41" s="64">
        <v>2.79</v>
      </c>
    </row>
    <row r="42" spans="2:20" ht="15" customHeight="1" x14ac:dyDescent="0.25">
      <c r="B42" s="37" t="s">
        <v>328</v>
      </c>
      <c r="C42" s="26">
        <v>4</v>
      </c>
      <c r="D42" s="38" t="s">
        <v>2634</v>
      </c>
      <c r="E42" s="59"/>
      <c r="F42" s="59" t="str">
        <f>IF(INDEX(I.Production.P1C2,4)="","",INDEX(I.Production.P1C2,4))</f>
        <v/>
      </c>
      <c r="G42" s="59"/>
      <c r="H42" s="26" t="str">
        <f t="shared" si="0"/>
        <v>Complete</v>
      </c>
      <c r="I42" s="39" t="s">
        <v>338</v>
      </c>
      <c r="K42" s="37" t="s">
        <v>339</v>
      </c>
      <c r="L42" s="35" t="s">
        <v>2837</v>
      </c>
      <c r="S42" s="40" t="s">
        <v>340</v>
      </c>
      <c r="T42" s="65">
        <v>3.28</v>
      </c>
    </row>
    <row r="43" spans="2:20" ht="15" customHeight="1" x14ac:dyDescent="0.25">
      <c r="B43" s="37" t="s">
        <v>328</v>
      </c>
      <c r="C43" s="26">
        <v>5</v>
      </c>
      <c r="D43" s="38" t="s">
        <v>2634</v>
      </c>
      <c r="E43" s="59"/>
      <c r="F43" s="59" t="str">
        <f>IF(INDEX(I.Production.P1C2,5)="","",INDEX(I.Production.P1C2,5))</f>
        <v/>
      </c>
      <c r="G43" s="59"/>
      <c r="H43" s="26" t="str">
        <f t="shared" si="0"/>
        <v>Complete</v>
      </c>
      <c r="I43" s="39" t="s">
        <v>341</v>
      </c>
      <c r="K43" s="40" t="s">
        <v>342</v>
      </c>
      <c r="L43" s="41" t="s">
        <v>2838</v>
      </c>
      <c r="S43" s="66" t="s">
        <v>2486</v>
      </c>
      <c r="T43" s="67">
        <v>0.98329999999999995</v>
      </c>
    </row>
    <row r="44" spans="2:20" ht="15" customHeight="1" x14ac:dyDescent="0.25">
      <c r="B44" s="37" t="s">
        <v>328</v>
      </c>
      <c r="C44" s="26">
        <v>6</v>
      </c>
      <c r="D44" s="38" t="s">
        <v>2634</v>
      </c>
      <c r="E44" s="59"/>
      <c r="F44" s="59" t="str">
        <f>IF(INDEX(I.Production.P1C2,6)="","",INDEX(I.Production.P1C2,6))</f>
        <v/>
      </c>
      <c r="G44" s="59"/>
      <c r="H44" s="26" t="str">
        <f t="shared" si="0"/>
        <v>Complete</v>
      </c>
      <c r="I44" s="39" t="s">
        <v>343</v>
      </c>
      <c r="K44" s="37" t="s">
        <v>344</v>
      </c>
      <c r="L44" s="35" t="s">
        <v>2839</v>
      </c>
      <c r="S44" s="66" t="s">
        <v>2487</v>
      </c>
      <c r="T44" s="67">
        <v>0.9667</v>
      </c>
    </row>
    <row r="45" spans="2:20" ht="15" customHeight="1" x14ac:dyDescent="0.25">
      <c r="B45" s="37" t="s">
        <v>328</v>
      </c>
      <c r="C45" s="26">
        <v>7</v>
      </c>
      <c r="D45" s="38" t="s">
        <v>2634</v>
      </c>
      <c r="E45" s="59"/>
      <c r="F45" s="59" t="str">
        <f>IF(INDEX(I.Production.P1C2,7)="","",INDEX(I.Production.P1C2,7))</f>
        <v/>
      </c>
      <c r="G45" s="59"/>
      <c r="H45" s="26" t="str">
        <f t="shared" si="0"/>
        <v>Complete</v>
      </c>
      <c r="I45" s="39" t="s">
        <v>345</v>
      </c>
      <c r="K45" s="37" t="s">
        <v>346</v>
      </c>
      <c r="L45" s="35" t="s">
        <v>2840</v>
      </c>
      <c r="S45" s="66" t="s">
        <v>2488</v>
      </c>
      <c r="T45" s="67">
        <v>0.95</v>
      </c>
    </row>
    <row r="46" spans="2:20" ht="15" customHeight="1" x14ac:dyDescent="0.25">
      <c r="B46" s="37" t="s">
        <v>328</v>
      </c>
      <c r="C46" s="26">
        <v>8</v>
      </c>
      <c r="D46" s="38" t="s">
        <v>2634</v>
      </c>
      <c r="E46" s="59"/>
      <c r="F46" s="59" t="str">
        <f>IF(INDEX(I.Production.P1C2,8)="","",INDEX(I.Production.P1C2,8))</f>
        <v/>
      </c>
      <c r="G46" s="59"/>
      <c r="H46" s="26" t="str">
        <f t="shared" si="0"/>
        <v>Complete</v>
      </c>
      <c r="I46" s="39" t="s">
        <v>347</v>
      </c>
      <c r="K46" s="37" t="s">
        <v>348</v>
      </c>
      <c r="L46" s="35" t="s">
        <v>2841</v>
      </c>
      <c r="S46" s="66" t="s">
        <v>2489</v>
      </c>
      <c r="T46" s="67">
        <v>0.93330000000000002</v>
      </c>
    </row>
    <row r="47" spans="2:20" ht="15" customHeight="1" x14ac:dyDescent="0.25">
      <c r="B47" s="37" t="s">
        <v>328</v>
      </c>
      <c r="C47" s="26">
        <v>9</v>
      </c>
      <c r="D47" s="38" t="s">
        <v>2634</v>
      </c>
      <c r="E47" s="59"/>
      <c r="F47" s="59" t="str">
        <f>IF(INDEX(I.Production.P1C2,9)="","",INDEX(I.Production.P1C2,9))</f>
        <v/>
      </c>
      <c r="G47" s="59"/>
      <c r="H47" s="26" t="str">
        <f t="shared" si="0"/>
        <v>Complete</v>
      </c>
      <c r="I47" s="39" t="s">
        <v>349</v>
      </c>
      <c r="K47" s="37" t="s">
        <v>350</v>
      </c>
      <c r="L47" s="35" t="s">
        <v>2842</v>
      </c>
      <c r="S47" s="66" t="s">
        <v>2490</v>
      </c>
      <c r="T47" s="67">
        <v>0.91669999999999996</v>
      </c>
    </row>
    <row r="48" spans="2:20" ht="15" customHeight="1" x14ac:dyDescent="0.25">
      <c r="B48" s="37" t="s">
        <v>328</v>
      </c>
      <c r="C48" s="26">
        <v>10</v>
      </c>
      <c r="D48" s="38" t="s">
        <v>2634</v>
      </c>
      <c r="E48" s="59"/>
      <c r="F48" s="59" t="str">
        <f>IF(INDEX(I.Production.P1C2,10)="","",INDEX(I.Production.P1C2,10))</f>
        <v/>
      </c>
      <c r="G48" s="59"/>
      <c r="H48" s="26" t="str">
        <f t="shared" si="0"/>
        <v>Complete</v>
      </c>
      <c r="I48" s="39" t="s">
        <v>351</v>
      </c>
      <c r="K48" s="40" t="s">
        <v>352</v>
      </c>
      <c r="L48" s="41" t="s">
        <v>2843</v>
      </c>
      <c r="S48" s="66" t="s">
        <v>2491</v>
      </c>
      <c r="T48" s="67">
        <v>0.9</v>
      </c>
    </row>
    <row r="49" spans="2:20" ht="15" customHeight="1" x14ac:dyDescent="0.25">
      <c r="B49" s="37" t="s">
        <v>328</v>
      </c>
      <c r="C49" s="26">
        <v>11</v>
      </c>
      <c r="D49" s="38" t="s">
        <v>2634</v>
      </c>
      <c r="E49" s="59"/>
      <c r="F49" s="59" t="str">
        <f>IF(INDEX(I.Production.P1C2,11)="","",INDEX(I.Production.P1C2,11))</f>
        <v/>
      </c>
      <c r="G49" s="59"/>
      <c r="H49" s="26" t="str">
        <f t="shared" si="0"/>
        <v>Complete</v>
      </c>
      <c r="I49" s="39" t="s">
        <v>353</v>
      </c>
      <c r="K49" s="37" t="s">
        <v>354</v>
      </c>
      <c r="L49" s="35" t="s">
        <v>2844</v>
      </c>
      <c r="S49" s="66" t="s">
        <v>2492</v>
      </c>
      <c r="T49" s="67">
        <v>0.88329999999999997</v>
      </c>
    </row>
    <row r="50" spans="2:20" ht="15" customHeight="1" x14ac:dyDescent="0.25">
      <c r="B50" s="37" t="s">
        <v>328</v>
      </c>
      <c r="C50" s="26">
        <v>12</v>
      </c>
      <c r="D50" s="38" t="s">
        <v>2634</v>
      </c>
      <c r="E50" s="59"/>
      <c r="F50" s="59" t="str">
        <f>IF(INDEX(I.Production.P1C2,12)="","",INDEX(I.Production.P1C2,12))</f>
        <v/>
      </c>
      <c r="G50" s="59"/>
      <c r="H50" s="26" t="str">
        <f t="shared" si="0"/>
        <v>Complete</v>
      </c>
      <c r="I50" s="39" t="s">
        <v>355</v>
      </c>
      <c r="K50" s="37" t="s">
        <v>356</v>
      </c>
      <c r="L50" s="35" t="s">
        <v>2845</v>
      </c>
      <c r="S50" s="66" t="s">
        <v>2493</v>
      </c>
      <c r="T50" s="67">
        <v>0.86670000000000003</v>
      </c>
    </row>
    <row r="51" spans="2:20" ht="15" customHeight="1" x14ac:dyDescent="0.25">
      <c r="B51" s="37" t="s">
        <v>328</v>
      </c>
      <c r="C51" s="26">
        <v>13</v>
      </c>
      <c r="D51" s="38" t="s">
        <v>2634</v>
      </c>
      <c r="E51" s="59"/>
      <c r="F51" s="59" t="str">
        <f>IF(INDEX(I.Production.P1C2,13)="","",INDEX(I.Production.P1C2,13))</f>
        <v/>
      </c>
      <c r="G51" s="59"/>
      <c r="H51" s="26" t="str">
        <f t="shared" si="0"/>
        <v>Complete</v>
      </c>
      <c r="I51" s="39" t="s">
        <v>357</v>
      </c>
      <c r="K51" s="37" t="s">
        <v>358</v>
      </c>
      <c r="L51" s="35" t="s">
        <v>2846</v>
      </c>
      <c r="S51" s="66" t="s">
        <v>2494</v>
      </c>
      <c r="T51" s="67">
        <v>0.85</v>
      </c>
    </row>
    <row r="52" spans="2:20" ht="15" customHeight="1" x14ac:dyDescent="0.25">
      <c r="B52" s="37" t="s">
        <v>328</v>
      </c>
      <c r="C52" s="26">
        <v>14</v>
      </c>
      <c r="D52" s="38" t="s">
        <v>2634</v>
      </c>
      <c r="E52" s="59"/>
      <c r="F52" s="59" t="str">
        <f>IF(INDEX(I.Production.P1C2,14)="","",INDEX(I.Production.P1C2,14))</f>
        <v/>
      </c>
      <c r="G52" s="59"/>
      <c r="H52" s="26" t="str">
        <f t="shared" si="0"/>
        <v>Complete</v>
      </c>
      <c r="I52" s="39" t="s">
        <v>359</v>
      </c>
      <c r="K52" s="37" t="s">
        <v>360</v>
      </c>
      <c r="L52" s="35" t="s">
        <v>2847</v>
      </c>
      <c r="S52" s="66" t="s">
        <v>2495</v>
      </c>
      <c r="T52" s="67">
        <v>0.83330000000000004</v>
      </c>
    </row>
    <row r="53" spans="2:20" ht="15" customHeight="1" x14ac:dyDescent="0.25">
      <c r="B53" s="37" t="s">
        <v>328</v>
      </c>
      <c r="C53" s="26">
        <v>15</v>
      </c>
      <c r="D53" s="38" t="s">
        <v>2634</v>
      </c>
      <c r="E53" s="59"/>
      <c r="F53" s="59" t="str">
        <f>IF(INDEX(I.Production.P1C2,15)="","",INDEX(I.Production.P1C2,15))</f>
        <v/>
      </c>
      <c r="G53" s="59"/>
      <c r="H53" s="26" t="str">
        <f t="shared" si="0"/>
        <v>Complete</v>
      </c>
      <c r="I53" s="39" t="s">
        <v>361</v>
      </c>
      <c r="K53" s="40" t="s">
        <v>362</v>
      </c>
      <c r="L53" s="41" t="s">
        <v>2848</v>
      </c>
      <c r="S53" s="66" t="s">
        <v>2496</v>
      </c>
      <c r="T53" s="67">
        <v>0.81669999999999998</v>
      </c>
    </row>
    <row r="54" spans="2:20" ht="15" customHeight="1" x14ac:dyDescent="0.25">
      <c r="B54" s="37" t="s">
        <v>328</v>
      </c>
      <c r="C54" s="26">
        <v>16</v>
      </c>
      <c r="D54" s="38" t="s">
        <v>2634</v>
      </c>
      <c r="E54" s="59"/>
      <c r="F54" s="59" t="str">
        <f>IF(INDEX(I.Production.P1C2,16)="","",INDEX(I.Production.P1C2,16))</f>
        <v/>
      </c>
      <c r="G54" s="59"/>
      <c r="H54" s="26" t="str">
        <f t="shared" si="0"/>
        <v>Complete</v>
      </c>
      <c r="I54" s="39" t="s">
        <v>363</v>
      </c>
      <c r="K54" s="37" t="s">
        <v>364</v>
      </c>
      <c r="L54" s="35" t="s">
        <v>2849</v>
      </c>
      <c r="S54" s="68" t="s">
        <v>2497</v>
      </c>
      <c r="T54" s="69">
        <v>0.8</v>
      </c>
    </row>
    <row r="55" spans="2:20" ht="15" customHeight="1" x14ac:dyDescent="0.25">
      <c r="B55" s="37" t="s">
        <v>328</v>
      </c>
      <c r="C55" s="26">
        <v>17</v>
      </c>
      <c r="D55" s="38" t="s">
        <v>2634</v>
      </c>
      <c r="E55" s="59"/>
      <c r="F55" s="59" t="str">
        <f>IF(INDEX(I.Production.P1C2,17)="","",INDEX(I.Production.P1C2,17))</f>
        <v/>
      </c>
      <c r="G55" s="59"/>
      <c r="H55" s="26" t="str">
        <f t="shared" si="0"/>
        <v>Complete</v>
      </c>
      <c r="I55" s="39" t="s">
        <v>365</v>
      </c>
      <c r="K55" s="37" t="s">
        <v>366</v>
      </c>
      <c r="L55" s="35" t="s">
        <v>2850</v>
      </c>
      <c r="S55" s="66" t="s">
        <v>2498</v>
      </c>
      <c r="T55" s="67">
        <v>0.99380000000000002</v>
      </c>
    </row>
    <row r="56" spans="2:20" ht="15" customHeight="1" x14ac:dyDescent="0.25">
      <c r="B56" s="37" t="s">
        <v>328</v>
      </c>
      <c r="C56" s="26">
        <v>18</v>
      </c>
      <c r="D56" s="38" t="s">
        <v>2634</v>
      </c>
      <c r="E56" s="59"/>
      <c r="F56" s="59" t="str">
        <f>IF(INDEX(I.Production.P1C2,18)="","",INDEX(I.Production.P1C2,18))</f>
        <v/>
      </c>
      <c r="G56" s="59"/>
      <c r="H56" s="26" t="str">
        <f t="shared" si="0"/>
        <v>Complete</v>
      </c>
      <c r="I56" s="39" t="s">
        <v>367</v>
      </c>
      <c r="K56" s="37" t="s">
        <v>368</v>
      </c>
      <c r="L56" s="35" t="s">
        <v>2851</v>
      </c>
      <c r="S56" s="66" t="s">
        <v>2499</v>
      </c>
      <c r="T56" s="67">
        <v>0.98750000000000004</v>
      </c>
    </row>
    <row r="57" spans="2:20" ht="15" customHeight="1" x14ac:dyDescent="0.25">
      <c r="B57" s="37" t="s">
        <v>328</v>
      </c>
      <c r="C57" s="26">
        <v>19</v>
      </c>
      <c r="D57" s="38" t="s">
        <v>2634</v>
      </c>
      <c r="E57" s="59"/>
      <c r="F57" s="59" t="str">
        <f>IF(INDEX(I.Production.P1C2,19)="","",INDEX(I.Production.P1C2,19))</f>
        <v/>
      </c>
      <c r="G57" s="59"/>
      <c r="H57" s="26" t="str">
        <f t="shared" si="0"/>
        <v>Complete</v>
      </c>
      <c r="I57" s="39" t="s">
        <v>369</v>
      </c>
      <c r="K57" s="37" t="s">
        <v>370</v>
      </c>
      <c r="L57" s="35" t="s">
        <v>2852</v>
      </c>
      <c r="S57" s="66" t="s">
        <v>2500</v>
      </c>
      <c r="T57" s="67">
        <v>0.98129999999999995</v>
      </c>
    </row>
    <row r="58" spans="2:20" ht="15" customHeight="1" x14ac:dyDescent="0.25">
      <c r="B58" s="37" t="s">
        <v>328</v>
      </c>
      <c r="C58" s="26">
        <v>20</v>
      </c>
      <c r="D58" s="38" t="s">
        <v>2634</v>
      </c>
      <c r="E58" s="59"/>
      <c r="F58" s="59" t="str">
        <f>IF(INDEX(I.Production.P1C2,20)="","",INDEX(I.Production.P1C2,20))</f>
        <v/>
      </c>
      <c r="G58" s="59"/>
      <c r="H58" s="26" t="str">
        <f t="shared" si="0"/>
        <v>Complete</v>
      </c>
      <c r="I58" s="39" t="s">
        <v>371</v>
      </c>
      <c r="K58" s="40" t="s">
        <v>372</v>
      </c>
      <c r="L58" s="41" t="s">
        <v>2853</v>
      </c>
      <c r="S58" s="66" t="s">
        <v>2501</v>
      </c>
      <c r="T58" s="67">
        <v>0.97499999999999998</v>
      </c>
    </row>
    <row r="59" spans="2:20" ht="15" customHeight="1" x14ac:dyDescent="0.25">
      <c r="B59" s="40" t="s">
        <v>328</v>
      </c>
      <c r="C59" s="46">
        <v>21</v>
      </c>
      <c r="D59" s="44" t="s">
        <v>2634</v>
      </c>
      <c r="E59" s="63"/>
      <c r="F59" s="63" t="str">
        <f>IF(INDEX(I.Production.P1C2,21)="","",INDEX(I.Production.P1C2,21))</f>
        <v/>
      </c>
      <c r="G59" s="63"/>
      <c r="H59" s="46" t="str">
        <f t="shared" si="0"/>
        <v>Complete</v>
      </c>
      <c r="I59" s="47" t="s">
        <v>373</v>
      </c>
      <c r="K59" s="37" t="s">
        <v>374</v>
      </c>
      <c r="L59" s="35" t="s">
        <v>2854</v>
      </c>
      <c r="S59" s="66" t="s">
        <v>2502</v>
      </c>
      <c r="T59" s="67">
        <v>0.96879999999999999</v>
      </c>
    </row>
    <row r="60" spans="2:20" ht="15" customHeight="1" x14ac:dyDescent="0.25">
      <c r="B60" s="37" t="s">
        <v>375</v>
      </c>
      <c r="C60" s="26">
        <v>1</v>
      </c>
      <c r="D60" s="38" t="s">
        <v>2635</v>
      </c>
      <c r="E60" s="59"/>
      <c r="F60" s="59" t="str">
        <f>IF(INDEX(I.Production.P1C3,1)="","",INDEX(I.Production.P1C3,1))</f>
        <v/>
      </c>
      <c r="G60" s="59"/>
      <c r="H60" s="26" t="str">
        <f>IF(I.Developer.P1=FALSE,"Complete",IF(I.Developer.P1C3=FALSE,"Complete",IF(I.Facility.StandardPart&lt;&gt;"Part 2","Complete",IF(F60="","Incomplete","Complete"))))</f>
        <v>Complete</v>
      </c>
      <c r="I60" s="39" t="s">
        <v>376</v>
      </c>
      <c r="K60" s="37" t="s">
        <v>377</v>
      </c>
      <c r="L60" s="35" t="s">
        <v>2855</v>
      </c>
      <c r="S60" s="66" t="s">
        <v>2503</v>
      </c>
      <c r="T60" s="67">
        <v>0.96250000000000002</v>
      </c>
    </row>
    <row r="61" spans="2:20" ht="15" customHeight="1" x14ac:dyDescent="0.25">
      <c r="B61" s="37" t="s">
        <v>375</v>
      </c>
      <c r="C61" s="26">
        <v>2</v>
      </c>
      <c r="D61" s="38" t="s">
        <v>2635</v>
      </c>
      <c r="E61" s="59"/>
      <c r="F61" s="59" t="str">
        <f>IF(INDEX(I.Production.P1C3,2)="","",INDEX(I.Production.P1C3,2))</f>
        <v/>
      </c>
      <c r="G61" s="59"/>
      <c r="H61" s="26" t="str">
        <f>IF(I.Developer.P1=FALSE,"Complete",IF(I.Developer.P1C3=FALSE,"Complete",IF(I.Facility.StandardPart&lt;&gt;"Part 2","Complete",IF(F61="","Incomplete","Complete"))))</f>
        <v>Complete</v>
      </c>
      <c r="I61" s="39" t="s">
        <v>378</v>
      </c>
      <c r="K61" s="37" t="s">
        <v>379</v>
      </c>
      <c r="L61" s="35" t="s">
        <v>2856</v>
      </c>
      <c r="S61" s="66" t="s">
        <v>2504</v>
      </c>
      <c r="T61" s="67">
        <v>0.95630000000000004</v>
      </c>
    </row>
    <row r="62" spans="2:20" ht="15" customHeight="1" x14ac:dyDescent="0.25">
      <c r="B62" s="37" t="s">
        <v>375</v>
      </c>
      <c r="C62" s="26">
        <v>3</v>
      </c>
      <c r="D62" s="38" t="s">
        <v>2635</v>
      </c>
      <c r="E62" s="59"/>
      <c r="F62" s="59" t="str">
        <f>IF(INDEX(I.Production.P1C3,3)="","",INDEX(I.Production.P1C3,3))</f>
        <v/>
      </c>
      <c r="G62" s="59"/>
      <c r="H62" s="26" t="str">
        <f>IF(I.Developer.P1=FALSE,"Complete",IF(I.Developer.P1C3=FALSE,"Complete",IF(I.Facility.StandardPart="Part 2","Complete",IF(F62="","Incomplete","Complete"))))</f>
        <v>Complete</v>
      </c>
      <c r="I62" s="39" t="s">
        <v>380</v>
      </c>
      <c r="K62" s="37" t="s">
        <v>381</v>
      </c>
      <c r="L62" s="35" t="s">
        <v>2857</v>
      </c>
      <c r="S62" s="68" t="s">
        <v>2505</v>
      </c>
      <c r="T62" s="69">
        <v>0.95</v>
      </c>
    </row>
    <row r="63" spans="2:20" ht="15" customHeight="1" x14ac:dyDescent="0.25">
      <c r="B63" s="37" t="s">
        <v>375</v>
      </c>
      <c r="C63" s="26">
        <v>4</v>
      </c>
      <c r="D63" s="38" t="s">
        <v>2635</v>
      </c>
      <c r="E63" s="59"/>
      <c r="F63" s="59" t="str">
        <f>IF(INDEX(I.Production.P1C3,4)="","",INDEX(I.Production.P1C3,4))</f>
        <v/>
      </c>
      <c r="G63" s="59"/>
      <c r="H63" s="26" t="str">
        <f>IF(I.Developer.P1=FALSE,"Complete",IF(I.Developer.P1C3=FALSE,"Complete",IF(I.Facility.StandardPart="Part 2","Complete",IF(F63="","Incomplete","Complete"))))</f>
        <v>Complete</v>
      </c>
      <c r="I63" s="39" t="s">
        <v>382</v>
      </c>
      <c r="K63" s="40" t="s">
        <v>383</v>
      </c>
      <c r="L63" s="41" t="s">
        <v>2858</v>
      </c>
    </row>
    <row r="64" spans="2:20" ht="15" customHeight="1" x14ac:dyDescent="0.25">
      <c r="B64" s="40" t="s">
        <v>375</v>
      </c>
      <c r="C64" s="46">
        <v>5</v>
      </c>
      <c r="D64" s="44" t="s">
        <v>2635</v>
      </c>
      <c r="E64" s="63"/>
      <c r="F64" s="63" t="str">
        <f>IF(INDEX(I.Production.P1C3,5)="","",INDEX(I.Production.P1C3,5))</f>
        <v/>
      </c>
      <c r="G64" s="63"/>
      <c r="H64" s="46" t="str">
        <f>IF(I.Developer.P1=FALSE,"Complete",IF(I.Developer.P1C3=FALSE,"Complete",IF(I.Facility.StandardPart="Part 2","Complete",IF(F64="","Incomplete","Complete"))))</f>
        <v>Complete</v>
      </c>
      <c r="I64" s="47" t="s">
        <v>384</v>
      </c>
      <c r="K64" s="37" t="s">
        <v>385</v>
      </c>
      <c r="L64" s="35" t="s">
        <v>2859</v>
      </c>
    </row>
    <row r="65" spans="2:12" ht="15" customHeight="1" x14ac:dyDescent="0.25">
      <c r="B65" s="37" t="s">
        <v>386</v>
      </c>
      <c r="C65" s="26">
        <v>1</v>
      </c>
      <c r="D65" s="38" t="s">
        <v>2636</v>
      </c>
      <c r="E65" s="59"/>
      <c r="F65" s="59" t="str">
        <f>IF(INDEX(I.Production.P1C4,1)="","",INDEX(I.Production.P1C4,1))</f>
        <v/>
      </c>
      <c r="G65" s="59"/>
      <c r="H65" s="26" t="str">
        <f>IF(I.Developer.P1=FALSE,"Complete",IF(I.Developer.P1C4=FALSE,"Complete",IF(F65="","Incomplete","Complete")))</f>
        <v>Complete</v>
      </c>
      <c r="I65" s="39" t="s">
        <v>387</v>
      </c>
      <c r="K65" s="40" t="s">
        <v>388</v>
      </c>
      <c r="L65" s="41" t="s">
        <v>2860</v>
      </c>
    </row>
    <row r="66" spans="2:12" ht="15" customHeight="1" x14ac:dyDescent="0.25">
      <c r="B66" s="37" t="s">
        <v>386</v>
      </c>
      <c r="C66" s="26">
        <v>2</v>
      </c>
      <c r="D66" s="38" t="s">
        <v>2636</v>
      </c>
      <c r="E66" s="59"/>
      <c r="F66" s="59" t="str">
        <f>IF(INDEX(I.Production.P1C4,2)="","",INDEX(I.Production.P1C4,2))</f>
        <v/>
      </c>
      <c r="G66" s="59"/>
      <c r="H66" s="26" t="str">
        <f>IF(I.Developer.P1=FALSE,"Complete",IF(I.Developer.P1C4=FALSE,"Complete",IF(F66="","Incomplete","Complete")))</f>
        <v>Complete</v>
      </c>
      <c r="I66" s="39" t="s">
        <v>389</v>
      </c>
      <c r="K66" s="37" t="s">
        <v>390</v>
      </c>
      <c r="L66" s="35" t="s">
        <v>2861</v>
      </c>
    </row>
    <row r="67" spans="2:12" ht="15" customHeight="1" x14ac:dyDescent="0.25">
      <c r="B67" s="40" t="s">
        <v>386</v>
      </c>
      <c r="C67" s="46">
        <v>3</v>
      </c>
      <c r="D67" s="44" t="s">
        <v>2636</v>
      </c>
      <c r="E67" s="63"/>
      <c r="F67" s="63" t="str">
        <f>IF(INDEX(I.Production.P1C4,3)="","",INDEX(I.Production.P1C4,3))</f>
        <v/>
      </c>
      <c r="G67" s="63"/>
      <c r="H67" s="46" t="str">
        <f>IF(I.Developer.P1=FALSE,"Complete",IF(I.Developer.P1C4=FALSE,"Complete",IF(F67="","Incomplete","Complete")))</f>
        <v>Complete</v>
      </c>
      <c r="I67" s="47" t="s">
        <v>391</v>
      </c>
      <c r="K67" s="40" t="s">
        <v>392</v>
      </c>
      <c r="L67" s="41" t="s">
        <v>2862</v>
      </c>
    </row>
    <row r="68" spans="2:12" ht="15" customHeight="1" x14ac:dyDescent="0.25">
      <c r="B68" s="55" t="s">
        <v>393</v>
      </c>
      <c r="C68" s="56">
        <v>1</v>
      </c>
      <c r="D68" s="53" t="s">
        <v>2637</v>
      </c>
      <c r="E68" s="57"/>
      <c r="F68" s="57" t="str">
        <f>IF(I.Production.P2aQuantity="","",I.Production.P2aQuantity)</f>
        <v/>
      </c>
      <c r="G68" s="57"/>
      <c r="H68" s="56" t="str">
        <f>IF(I.Developer.P2a=FALSE,"Complete",IF(I.Production.P2aQuantity="","Incomplete","Complete"))</f>
        <v>Complete</v>
      </c>
      <c r="I68" s="58" t="s">
        <v>394</v>
      </c>
      <c r="K68" s="37" t="s">
        <v>395</v>
      </c>
      <c r="L68" s="35" t="s">
        <v>2863</v>
      </c>
    </row>
    <row r="69" spans="2:12" ht="15" customHeight="1" x14ac:dyDescent="0.25">
      <c r="B69" s="37" t="s">
        <v>396</v>
      </c>
      <c r="C69" s="26">
        <v>1</v>
      </c>
      <c r="D69" s="38" t="s">
        <v>2638</v>
      </c>
      <c r="E69" s="59"/>
      <c r="F69" s="59" t="str">
        <f>IF(INDEX(I.Production.P2aC1,1)="","",INDEX(I.Production.P2aC1,1))</f>
        <v/>
      </c>
      <c r="G69" s="59"/>
      <c r="H69" s="26" t="str">
        <f>IF(I.Developer.P2a=FALSE,"Complete",IF(I.Developer.P2aC1=FALSE,"Complete",IF(I.Facility.StandardPart&lt;&gt;"Part 2","Complete",IF(F69="","Incomplete","Complete"))))</f>
        <v>Complete</v>
      </c>
      <c r="I69" s="39" t="s">
        <v>397</v>
      </c>
      <c r="K69" s="40" t="s">
        <v>398</v>
      </c>
      <c r="L69" s="41" t="s">
        <v>2864</v>
      </c>
    </row>
    <row r="70" spans="2:12" ht="15" customHeight="1" x14ac:dyDescent="0.25">
      <c r="B70" s="37" t="s">
        <v>396</v>
      </c>
      <c r="C70" s="26">
        <v>2</v>
      </c>
      <c r="D70" s="38" t="s">
        <v>2638</v>
      </c>
      <c r="E70" s="59"/>
      <c r="F70" s="59" t="str">
        <f>IF(INDEX(I.Production.P2aC1,2)="","",INDEX(I.Production.P2aC1,2))</f>
        <v/>
      </c>
      <c r="G70" s="59"/>
      <c r="H70" s="26" t="str">
        <f>IF(I.Developer.P2a=FALSE,"Complete",IF(I.Developer.P2aC1=FALSE,"Complete",IF(I.Facility.StandardPart&lt;&gt;"Part 2","Complete",IF(I.Developer.P2aC1V2=FALSE,"Complete",IF(F70="","Incomplete","Complete")))))</f>
        <v>Complete</v>
      </c>
      <c r="I70" s="39" t="s">
        <v>399</v>
      </c>
      <c r="K70" s="37" t="s">
        <v>400</v>
      </c>
      <c r="L70" s="35" t="s">
        <v>2865</v>
      </c>
    </row>
    <row r="71" spans="2:12" ht="15" customHeight="1" x14ac:dyDescent="0.25">
      <c r="B71" s="37" t="s">
        <v>396</v>
      </c>
      <c r="C71" s="26">
        <v>3</v>
      </c>
      <c r="D71" s="38" t="s">
        <v>2638</v>
      </c>
      <c r="E71" s="59"/>
      <c r="F71" s="59" t="str">
        <f>IF(INDEX(I.Production.P2aC1,3)="","",INDEX(I.Production.P2aC1,3))</f>
        <v/>
      </c>
      <c r="G71" s="59"/>
      <c r="H71" s="26" t="str">
        <f>IF(I.Developer.P2a=FALSE,"Complete",IF(I.Developer.P2aC1=FALSE,"Complete",IF(I.Facility.StandardPart&lt;&gt;"Part 2","Complete",IF(I.Developer.P2aC1V3=FALSE,"Complete",IF(F71="","Incomplete","Complete")))))</f>
        <v>Complete</v>
      </c>
      <c r="I71" s="39" t="s">
        <v>401</v>
      </c>
      <c r="K71" s="40" t="s">
        <v>402</v>
      </c>
      <c r="L71" s="41" t="s">
        <v>2866</v>
      </c>
    </row>
    <row r="72" spans="2:12" ht="15" customHeight="1" x14ac:dyDescent="0.25">
      <c r="B72" s="37" t="s">
        <v>396</v>
      </c>
      <c r="C72" s="26">
        <v>4</v>
      </c>
      <c r="D72" s="38" t="s">
        <v>2638</v>
      </c>
      <c r="E72" s="59"/>
      <c r="F72" s="59" t="str">
        <f>IF(INDEX(I.Production.P2aC1,4)="","",INDEX(I.Production.P2aC1,4))</f>
        <v/>
      </c>
      <c r="G72" s="59"/>
      <c r="H72" s="26" t="str">
        <f>IF(I.Developer.P2a=FALSE,"Complete",IF(I.Developer.P2aC1=FALSE,"Complete",IF(I.Facility.StandardPart&lt;&gt;"Part 2","Complete",IF(I.Developer.P2aC1V4=FALSE,"Complete",IF(F72="","Incomplete","Complete")))))</f>
        <v>Complete</v>
      </c>
      <c r="I72" s="39" t="s">
        <v>403</v>
      </c>
      <c r="K72" s="37" t="s">
        <v>404</v>
      </c>
      <c r="L72" s="35" t="s">
        <v>2867</v>
      </c>
    </row>
    <row r="73" spans="2:12" ht="15" customHeight="1" x14ac:dyDescent="0.25">
      <c r="B73" s="37" t="s">
        <v>396</v>
      </c>
      <c r="C73" s="26">
        <v>5</v>
      </c>
      <c r="D73" s="38" t="s">
        <v>2638</v>
      </c>
      <c r="E73" s="59"/>
      <c r="F73" s="59" t="str">
        <f>IF(INDEX(I.Production.P2aC1,5)="","",INDEX(I.Production.P2aC1,5))</f>
        <v/>
      </c>
      <c r="G73" s="59"/>
      <c r="H73" s="26" t="str">
        <f>IF(I.Developer.P2a=FALSE,"Complete",IF(I.Developer.P2aC1=FALSE,"Complete",IF(I.Facility.StandardPart&lt;&gt;"Part 2","Complete",IF(I.Developer.P2aC1V5=FALSE,"Complete",IF(F73="","Incomplete","Complete")))))</f>
        <v>Complete</v>
      </c>
      <c r="I73" s="39" t="s">
        <v>405</v>
      </c>
      <c r="K73" s="40" t="s">
        <v>406</v>
      </c>
      <c r="L73" s="41" t="s">
        <v>2868</v>
      </c>
    </row>
    <row r="74" spans="2:12" ht="15" customHeight="1" x14ac:dyDescent="0.25">
      <c r="B74" s="37" t="s">
        <v>396</v>
      </c>
      <c r="C74" s="26">
        <v>6</v>
      </c>
      <c r="D74" s="38" t="s">
        <v>2638</v>
      </c>
      <c r="E74" s="59"/>
      <c r="F74" s="59" t="str">
        <f>IF(INDEX(I.Production.P2aC1,6)="","",INDEX(I.Production.P2aC1,6))</f>
        <v/>
      </c>
      <c r="G74" s="59"/>
      <c r="H74" s="26" t="str">
        <f>IF(I.Developer.P2a=FALSE,"Complete",IF(I.Developer.P2aC1=FALSE,"Complete",IF(I.Facility.StandardPart&lt;&gt;"Part 2","Complete",IF(I.Developer.P2aC1V6=FALSE,"Complete",IF(F74="","Incomplete","Complete")))))</f>
        <v>Complete</v>
      </c>
      <c r="I74" s="39" t="s">
        <v>407</v>
      </c>
      <c r="K74" s="52" t="s">
        <v>408</v>
      </c>
      <c r="L74" s="70" t="s">
        <v>2869</v>
      </c>
    </row>
    <row r="75" spans="2:12" ht="15" customHeight="1" x14ac:dyDescent="0.25">
      <c r="B75" s="37" t="s">
        <v>396</v>
      </c>
      <c r="C75" s="26">
        <v>7</v>
      </c>
      <c r="D75" s="38" t="s">
        <v>2638</v>
      </c>
      <c r="E75" s="59"/>
      <c r="F75" s="59" t="str">
        <f>IF(INDEX(I.Production.P2aC1,7)="","",INDEX(I.Production.P2aC1,7))</f>
        <v/>
      </c>
      <c r="G75" s="59"/>
      <c r="H75" s="26" t="str">
        <f>IF(I.Developer.P2a=FALSE,"Complete",IF(I.Developer.P2aC1=FALSE,"Complete",IF(I.Facility.StandardPart="Part 2","Complete",IF(F75="","Incomplete","Complete"))))</f>
        <v>Complete</v>
      </c>
      <c r="I75" s="39" t="s">
        <v>409</v>
      </c>
      <c r="K75" s="50" t="s">
        <v>410</v>
      </c>
      <c r="L75" s="71" t="s">
        <v>2870</v>
      </c>
    </row>
    <row r="76" spans="2:12" ht="15" customHeight="1" x14ac:dyDescent="0.25">
      <c r="B76" s="37" t="s">
        <v>396</v>
      </c>
      <c r="C76" s="26">
        <v>8</v>
      </c>
      <c r="D76" s="38" t="s">
        <v>2638</v>
      </c>
      <c r="E76" s="59"/>
      <c r="F76" s="59" t="str">
        <f>IF(INDEX(I.Production.P2aC1,8)="","",INDEX(I.Production.P2aC1,8))</f>
        <v/>
      </c>
      <c r="G76" s="59"/>
      <c r="H76" s="26" t="str">
        <f>IF(I.Developer.P2a=FALSE,"Complete",IF(I.Developer.P2aC1=FALSE,"Complete",IF(I.Facility.StandardPart="Part 2","Complete",IF(F76="","Incomplete","Complete"))))</f>
        <v>Complete</v>
      </c>
      <c r="I76" s="39" t="s">
        <v>411</v>
      </c>
      <c r="K76" s="52" t="s">
        <v>412</v>
      </c>
      <c r="L76" s="70" t="s">
        <v>2871</v>
      </c>
    </row>
    <row r="77" spans="2:12" ht="15" customHeight="1" x14ac:dyDescent="0.25">
      <c r="B77" s="40" t="s">
        <v>396</v>
      </c>
      <c r="C77" s="46">
        <v>9</v>
      </c>
      <c r="D77" s="44" t="s">
        <v>2638</v>
      </c>
      <c r="E77" s="63"/>
      <c r="F77" s="63" t="str">
        <f>IF(INDEX(I.Production.P2aC1,9)="","",INDEX(I.Production.P2aC1,9))</f>
        <v/>
      </c>
      <c r="G77" s="63"/>
      <c r="H77" s="46" t="str">
        <f>IF(I.Developer.P2a=FALSE,"Complete",IF(I.Developer.P2aC1=FALSE,"Complete",IF(I.Facility.StandardPart="Part 2","Complete",IF(F77="","Incomplete","Complete"))))</f>
        <v>Complete</v>
      </c>
      <c r="I77" s="47" t="s">
        <v>413</v>
      </c>
      <c r="K77" s="52" t="s">
        <v>414</v>
      </c>
      <c r="L77" s="70" t="s">
        <v>2872</v>
      </c>
    </row>
    <row r="78" spans="2:12" ht="15" customHeight="1" x14ac:dyDescent="0.25">
      <c r="B78" s="37" t="s">
        <v>415</v>
      </c>
      <c r="C78" s="26">
        <v>1</v>
      </c>
      <c r="D78" s="38" t="s">
        <v>2639</v>
      </c>
      <c r="E78" s="59"/>
      <c r="F78" s="59" t="str">
        <f>IF(INDEX(I.Production.P2aC2,1)="","",INDEX(I.Production.P2aC2,1))</f>
        <v/>
      </c>
      <c r="G78" s="59"/>
      <c r="H78" s="26" t="str">
        <f t="shared" ref="H78:H98" si="1">IF(I.Developer.P2a=FALSE,"Complete",IF(I.Developer.P2aC2=FALSE,"Complete",IF(F78="","Incomplete","Complete")))</f>
        <v>Complete</v>
      </c>
      <c r="I78" s="39" t="s">
        <v>416</v>
      </c>
      <c r="K78" s="50" t="s">
        <v>417</v>
      </c>
      <c r="L78" s="71" t="s">
        <v>2873</v>
      </c>
    </row>
    <row r="79" spans="2:12" ht="15" customHeight="1" x14ac:dyDescent="0.25">
      <c r="B79" s="37" t="s">
        <v>415</v>
      </c>
      <c r="C79" s="26">
        <v>2</v>
      </c>
      <c r="D79" s="38" t="s">
        <v>2639</v>
      </c>
      <c r="E79" s="59"/>
      <c r="F79" s="59" t="str">
        <f>IF(INDEX(I.Production.P2aC2,2)="","",INDEX(I.Production.P2aC2,2))</f>
        <v/>
      </c>
      <c r="G79" s="59"/>
      <c r="H79" s="26" t="str">
        <f t="shared" si="1"/>
        <v>Complete</v>
      </c>
      <c r="I79" s="39" t="s">
        <v>418</v>
      </c>
      <c r="K79" s="49" t="s">
        <v>2516</v>
      </c>
      <c r="L79" s="72" t="s">
        <v>2874</v>
      </c>
    </row>
    <row r="80" spans="2:12" ht="15" customHeight="1" x14ac:dyDescent="0.25">
      <c r="B80" s="37" t="s">
        <v>415</v>
      </c>
      <c r="C80" s="26">
        <v>3</v>
      </c>
      <c r="D80" s="38" t="s">
        <v>2639</v>
      </c>
      <c r="E80" s="59"/>
      <c r="F80" s="59" t="str">
        <f>IF(INDEX(I.Production.P2aC2,3)="","",INDEX(I.Production.P2aC2,3))</f>
        <v/>
      </c>
      <c r="G80" s="59"/>
      <c r="H80" s="26" t="str">
        <f t="shared" si="1"/>
        <v>Complete</v>
      </c>
      <c r="I80" s="39" t="s">
        <v>419</v>
      </c>
      <c r="K80" s="37" t="s">
        <v>2563</v>
      </c>
      <c r="L80" s="35" t="s">
        <v>2875</v>
      </c>
    </row>
    <row r="81" spans="2:12" ht="15" customHeight="1" x14ac:dyDescent="0.25">
      <c r="B81" s="37" t="s">
        <v>415</v>
      </c>
      <c r="C81" s="26">
        <v>4</v>
      </c>
      <c r="D81" s="38" t="s">
        <v>2639</v>
      </c>
      <c r="E81" s="59"/>
      <c r="F81" s="59" t="str">
        <f>IF(INDEX(I.Production.P2aC2,4)="","",INDEX(I.Production.P2aC2,4))</f>
        <v/>
      </c>
      <c r="G81" s="59"/>
      <c r="H81" s="26" t="str">
        <f t="shared" si="1"/>
        <v>Complete</v>
      </c>
      <c r="I81" s="39" t="s">
        <v>420</v>
      </c>
      <c r="K81" s="40" t="s">
        <v>2517</v>
      </c>
      <c r="L81" s="41" t="s">
        <v>2876</v>
      </c>
    </row>
    <row r="82" spans="2:12" ht="15" customHeight="1" x14ac:dyDescent="0.25">
      <c r="B82" s="37" t="s">
        <v>415</v>
      </c>
      <c r="C82" s="26">
        <v>5</v>
      </c>
      <c r="D82" s="38" t="s">
        <v>2639</v>
      </c>
      <c r="E82" s="59"/>
      <c r="F82" s="59" t="str">
        <f>IF(INDEX(I.Production.P2aC2,5)="","",INDEX(I.Production.P2aC2,5))</f>
        <v/>
      </c>
      <c r="G82" s="59"/>
      <c r="H82" s="26" t="str">
        <f t="shared" si="1"/>
        <v>Complete</v>
      </c>
      <c r="I82" s="39" t="s">
        <v>421</v>
      </c>
      <c r="K82" s="37" t="s">
        <v>2518</v>
      </c>
      <c r="L82" s="35" t="s">
        <v>2877</v>
      </c>
    </row>
    <row r="83" spans="2:12" ht="15" customHeight="1" x14ac:dyDescent="0.25">
      <c r="B83" s="37" t="s">
        <v>415</v>
      </c>
      <c r="C83" s="26">
        <v>6</v>
      </c>
      <c r="D83" s="38" t="s">
        <v>2639</v>
      </c>
      <c r="E83" s="59"/>
      <c r="F83" s="59" t="str">
        <f>IF(INDEX(I.Production.P2aC2,6)="","",INDEX(I.Production.P2aC2,6))</f>
        <v/>
      </c>
      <c r="G83" s="59"/>
      <c r="H83" s="26" t="str">
        <f t="shared" si="1"/>
        <v>Complete</v>
      </c>
      <c r="I83" s="39" t="s">
        <v>422</v>
      </c>
      <c r="K83" s="37" t="s">
        <v>2564</v>
      </c>
      <c r="L83" s="35" t="s">
        <v>2878</v>
      </c>
    </row>
    <row r="84" spans="2:12" ht="15" customHeight="1" x14ac:dyDescent="0.25">
      <c r="B84" s="37" t="s">
        <v>415</v>
      </c>
      <c r="C84" s="26">
        <v>7</v>
      </c>
      <c r="D84" s="38" t="s">
        <v>2639</v>
      </c>
      <c r="E84" s="59"/>
      <c r="F84" s="59" t="str">
        <f>IF(INDEX(I.Production.P2aC2,7)="","",INDEX(I.Production.P2aC2,7))</f>
        <v/>
      </c>
      <c r="G84" s="59"/>
      <c r="H84" s="26" t="str">
        <f t="shared" si="1"/>
        <v>Complete</v>
      </c>
      <c r="I84" s="39" t="s">
        <v>423</v>
      </c>
      <c r="K84" s="40" t="s">
        <v>2519</v>
      </c>
      <c r="L84" s="41" t="s">
        <v>2879</v>
      </c>
    </row>
    <row r="85" spans="2:12" ht="15" customHeight="1" x14ac:dyDescent="0.25">
      <c r="B85" s="37" t="s">
        <v>415</v>
      </c>
      <c r="C85" s="26">
        <v>8</v>
      </c>
      <c r="D85" s="38" t="s">
        <v>2639</v>
      </c>
      <c r="E85" s="59"/>
      <c r="F85" s="59" t="str">
        <f>IF(INDEX(I.Production.P2aC2,8)="","",INDEX(I.Production.P2aC2,8))</f>
        <v/>
      </c>
      <c r="G85" s="59"/>
      <c r="H85" s="26" t="str">
        <f t="shared" si="1"/>
        <v>Complete</v>
      </c>
      <c r="I85" s="39" t="s">
        <v>424</v>
      </c>
      <c r="K85" s="37" t="s">
        <v>2520</v>
      </c>
      <c r="L85" s="35" t="s">
        <v>2880</v>
      </c>
    </row>
    <row r="86" spans="2:12" ht="15" customHeight="1" x14ac:dyDescent="0.25">
      <c r="B86" s="37" t="s">
        <v>415</v>
      </c>
      <c r="C86" s="26">
        <v>9</v>
      </c>
      <c r="D86" s="38" t="s">
        <v>2639</v>
      </c>
      <c r="E86" s="59"/>
      <c r="F86" s="59" t="str">
        <f>IF(INDEX(I.Production.P2aC2,9)="","",INDEX(I.Production.P2aC2,9))</f>
        <v/>
      </c>
      <c r="G86" s="59"/>
      <c r="H86" s="26" t="str">
        <f t="shared" si="1"/>
        <v>Complete</v>
      </c>
      <c r="I86" s="39" t="s">
        <v>425</v>
      </c>
      <c r="K86" s="37" t="s">
        <v>2565</v>
      </c>
      <c r="L86" s="35" t="s">
        <v>2881</v>
      </c>
    </row>
    <row r="87" spans="2:12" ht="15" customHeight="1" x14ac:dyDescent="0.25">
      <c r="B87" s="37" t="s">
        <v>415</v>
      </c>
      <c r="C87" s="26">
        <v>10</v>
      </c>
      <c r="D87" s="38" t="s">
        <v>2639</v>
      </c>
      <c r="E87" s="59"/>
      <c r="F87" s="59" t="str">
        <f>IF(INDEX(I.Production.P2aC2,10)="","",INDEX(I.Production.P2aC2,10))</f>
        <v/>
      </c>
      <c r="G87" s="59"/>
      <c r="H87" s="26" t="str">
        <f t="shared" si="1"/>
        <v>Complete</v>
      </c>
      <c r="I87" s="39" t="s">
        <v>426</v>
      </c>
      <c r="K87" s="40" t="s">
        <v>2521</v>
      </c>
      <c r="L87" s="41" t="s">
        <v>2882</v>
      </c>
    </row>
    <row r="88" spans="2:12" ht="15" customHeight="1" x14ac:dyDescent="0.25">
      <c r="B88" s="37" t="s">
        <v>415</v>
      </c>
      <c r="C88" s="26">
        <v>11</v>
      </c>
      <c r="D88" s="38" t="s">
        <v>2639</v>
      </c>
      <c r="E88" s="59"/>
      <c r="F88" s="59" t="str">
        <f>IF(INDEX(I.Production.P2aC2,11)="","",INDEX(I.Production.P2aC2,11))</f>
        <v/>
      </c>
      <c r="G88" s="59"/>
      <c r="H88" s="26" t="str">
        <f t="shared" si="1"/>
        <v>Complete</v>
      </c>
      <c r="I88" s="39" t="s">
        <v>427</v>
      </c>
      <c r="K88" s="37" t="s">
        <v>2522</v>
      </c>
      <c r="L88" s="35" t="s">
        <v>2883</v>
      </c>
    </row>
    <row r="89" spans="2:12" ht="15" customHeight="1" x14ac:dyDescent="0.25">
      <c r="B89" s="37" t="s">
        <v>415</v>
      </c>
      <c r="C89" s="26">
        <v>12</v>
      </c>
      <c r="D89" s="38" t="s">
        <v>2639</v>
      </c>
      <c r="E89" s="59"/>
      <c r="F89" s="59" t="str">
        <f>IF(INDEX(I.Production.P2aC2,12)="","",INDEX(I.Production.P2aC2,12))</f>
        <v/>
      </c>
      <c r="G89" s="59"/>
      <c r="H89" s="26" t="str">
        <f t="shared" si="1"/>
        <v>Complete</v>
      </c>
      <c r="I89" s="39" t="s">
        <v>428</v>
      </c>
      <c r="K89" s="37" t="s">
        <v>2566</v>
      </c>
      <c r="L89" s="35" t="s">
        <v>2884</v>
      </c>
    </row>
    <row r="90" spans="2:12" ht="15" customHeight="1" x14ac:dyDescent="0.25">
      <c r="B90" s="37" t="s">
        <v>415</v>
      </c>
      <c r="C90" s="26">
        <v>13</v>
      </c>
      <c r="D90" s="38" t="s">
        <v>2639</v>
      </c>
      <c r="E90" s="59"/>
      <c r="F90" s="59" t="str">
        <f>IF(INDEX(I.Production.P2aC2,13)="","",INDEX(I.Production.P2aC2,13))</f>
        <v/>
      </c>
      <c r="G90" s="59"/>
      <c r="H90" s="26" t="str">
        <f t="shared" si="1"/>
        <v>Complete</v>
      </c>
      <c r="I90" s="39" t="s">
        <v>429</v>
      </c>
      <c r="K90" s="40" t="s">
        <v>2523</v>
      </c>
      <c r="L90" s="41" t="s">
        <v>2885</v>
      </c>
    </row>
    <row r="91" spans="2:12" ht="15" customHeight="1" x14ac:dyDescent="0.25">
      <c r="B91" s="37" t="s">
        <v>415</v>
      </c>
      <c r="C91" s="26">
        <v>14</v>
      </c>
      <c r="D91" s="38" t="s">
        <v>2639</v>
      </c>
      <c r="E91" s="59"/>
      <c r="F91" s="59" t="str">
        <f>IF(INDEX(I.Production.P2aC2,14)="","",INDEX(I.Production.P2aC2,14))</f>
        <v/>
      </c>
      <c r="G91" s="59"/>
      <c r="H91" s="26" t="str">
        <f t="shared" si="1"/>
        <v>Complete</v>
      </c>
      <c r="I91" s="39" t="s">
        <v>431</v>
      </c>
      <c r="K91" s="37" t="s">
        <v>2524</v>
      </c>
      <c r="L91" s="35" t="s">
        <v>2886</v>
      </c>
    </row>
    <row r="92" spans="2:12" ht="15" customHeight="1" x14ac:dyDescent="0.25">
      <c r="B92" s="37" t="s">
        <v>415</v>
      </c>
      <c r="C92" s="26">
        <v>15</v>
      </c>
      <c r="D92" s="38" t="s">
        <v>2639</v>
      </c>
      <c r="E92" s="59"/>
      <c r="F92" s="59" t="str">
        <f>IF(INDEX(I.Production.P2aC2,15)="","",INDEX(I.Production.P2aC2,15))</f>
        <v/>
      </c>
      <c r="G92" s="59"/>
      <c r="H92" s="26" t="str">
        <f t="shared" si="1"/>
        <v>Complete</v>
      </c>
      <c r="I92" s="39" t="s">
        <v>433</v>
      </c>
      <c r="K92" s="37" t="s">
        <v>2567</v>
      </c>
      <c r="L92" s="35" t="s">
        <v>2887</v>
      </c>
    </row>
    <row r="93" spans="2:12" ht="15" customHeight="1" x14ac:dyDescent="0.25">
      <c r="B93" s="37" t="s">
        <v>415</v>
      </c>
      <c r="C93" s="26">
        <v>16</v>
      </c>
      <c r="D93" s="38" t="s">
        <v>2639</v>
      </c>
      <c r="E93" s="59"/>
      <c r="F93" s="59" t="str">
        <f>IF(INDEX(I.Production.P2aC2,16)="","",INDEX(I.Production.P2aC2,16))</f>
        <v/>
      </c>
      <c r="G93" s="59"/>
      <c r="H93" s="26" t="str">
        <f t="shared" si="1"/>
        <v>Complete</v>
      </c>
      <c r="I93" s="39" t="s">
        <v>435</v>
      </c>
      <c r="K93" s="40" t="s">
        <v>2525</v>
      </c>
      <c r="L93" s="41" t="s">
        <v>2888</v>
      </c>
    </row>
    <row r="94" spans="2:12" ht="15" customHeight="1" x14ac:dyDescent="0.25">
      <c r="B94" s="37" t="s">
        <v>415</v>
      </c>
      <c r="C94" s="26">
        <v>17</v>
      </c>
      <c r="D94" s="38" t="s">
        <v>2639</v>
      </c>
      <c r="E94" s="59"/>
      <c r="F94" s="59" t="str">
        <f>IF(INDEX(I.Production.P2aC2,17)="","",INDEX(I.Production.P2aC2,17))</f>
        <v/>
      </c>
      <c r="G94" s="59"/>
      <c r="H94" s="26" t="str">
        <f t="shared" si="1"/>
        <v>Complete</v>
      </c>
      <c r="I94" s="39" t="s">
        <v>437</v>
      </c>
      <c r="K94" s="50" t="s">
        <v>2526</v>
      </c>
      <c r="L94" s="41" t="s">
        <v>2889</v>
      </c>
    </row>
    <row r="95" spans="2:12" ht="15" customHeight="1" x14ac:dyDescent="0.25">
      <c r="B95" s="37" t="s">
        <v>415</v>
      </c>
      <c r="C95" s="26">
        <v>18</v>
      </c>
      <c r="D95" s="38" t="s">
        <v>2639</v>
      </c>
      <c r="E95" s="59"/>
      <c r="F95" s="59" t="str">
        <f>IF(INDEX(I.Production.P2aC2,18)="","",INDEX(I.Production.P2aC2,18))</f>
        <v/>
      </c>
      <c r="G95" s="59"/>
      <c r="H95" s="26" t="str">
        <f t="shared" si="1"/>
        <v>Complete</v>
      </c>
      <c r="I95" s="39" t="s">
        <v>438</v>
      </c>
      <c r="K95" s="49" t="s">
        <v>430</v>
      </c>
      <c r="L95" s="35" t="s">
        <v>2890</v>
      </c>
    </row>
    <row r="96" spans="2:12" ht="15" customHeight="1" x14ac:dyDescent="0.25">
      <c r="B96" s="37" t="s">
        <v>415</v>
      </c>
      <c r="C96" s="26">
        <v>19</v>
      </c>
      <c r="D96" s="38" t="s">
        <v>2639</v>
      </c>
      <c r="E96" s="59"/>
      <c r="F96" s="59" t="str">
        <f>IF(INDEX(I.Production.P2aC2,19)="","",INDEX(I.Production.P2aC2,19))</f>
        <v/>
      </c>
      <c r="G96" s="59"/>
      <c r="H96" s="26" t="str">
        <f t="shared" si="1"/>
        <v>Complete</v>
      </c>
      <c r="I96" s="39" t="s">
        <v>439</v>
      </c>
      <c r="K96" s="49" t="s">
        <v>432</v>
      </c>
      <c r="L96" s="35" t="s">
        <v>2891</v>
      </c>
    </row>
    <row r="97" spans="2:12" ht="15" customHeight="1" x14ac:dyDescent="0.25">
      <c r="B97" s="37" t="s">
        <v>415</v>
      </c>
      <c r="C97" s="26">
        <v>20</v>
      </c>
      <c r="D97" s="38" t="s">
        <v>2639</v>
      </c>
      <c r="E97" s="59"/>
      <c r="F97" s="59" t="str">
        <f>IF(INDEX(I.Production.P2aC2,20)="","",INDEX(I.Production.P2aC2,20))</f>
        <v/>
      </c>
      <c r="G97" s="59"/>
      <c r="H97" s="26" t="str">
        <f t="shared" si="1"/>
        <v>Complete</v>
      </c>
      <c r="I97" s="39" t="s">
        <v>440</v>
      </c>
      <c r="K97" s="49" t="s">
        <v>434</v>
      </c>
      <c r="L97" s="35" t="s">
        <v>2892</v>
      </c>
    </row>
    <row r="98" spans="2:12" ht="15" customHeight="1" x14ac:dyDescent="0.25">
      <c r="B98" s="40" t="s">
        <v>415</v>
      </c>
      <c r="C98" s="46">
        <v>21</v>
      </c>
      <c r="D98" s="44" t="s">
        <v>2639</v>
      </c>
      <c r="E98" s="63"/>
      <c r="F98" s="63" t="str">
        <f>IF(INDEX(I.Production.P2aC2,21)="","",INDEX(I.Production.P2aC2,21))</f>
        <v/>
      </c>
      <c r="G98" s="63"/>
      <c r="H98" s="46" t="str">
        <f t="shared" si="1"/>
        <v>Complete</v>
      </c>
      <c r="I98" s="47" t="s">
        <v>441</v>
      </c>
      <c r="K98" s="49" t="s">
        <v>436</v>
      </c>
      <c r="L98" s="35" t="s">
        <v>2897</v>
      </c>
    </row>
    <row r="99" spans="2:12" ht="15" customHeight="1" x14ac:dyDescent="0.25">
      <c r="B99" s="37" t="s">
        <v>442</v>
      </c>
      <c r="C99" s="26">
        <v>1</v>
      </c>
      <c r="D99" s="38" t="s">
        <v>2640</v>
      </c>
      <c r="E99" s="59"/>
      <c r="F99" s="59" t="str">
        <f>IF(INDEX(I.Production.P2aC3,1)="","",INDEX(I.Production.P2aC3,1))</f>
        <v/>
      </c>
      <c r="G99" s="59"/>
      <c r="H99" s="26" t="str">
        <f>IF(I.Developer.P2a=FALSE,"Complete",IF(I.Developer.P2aC3=FALSE,"Complete",IF(I.Facility.StandardPart&lt;&gt;"Part 2","Complete",IF(F99="","Incomplete","Complete"))))</f>
        <v>Complete</v>
      </c>
      <c r="I99" s="39" t="s">
        <v>443</v>
      </c>
      <c r="K99" s="50" t="s">
        <v>2527</v>
      </c>
      <c r="L99" s="41" t="s">
        <v>2893</v>
      </c>
    </row>
    <row r="100" spans="2:12" ht="15" customHeight="1" x14ac:dyDescent="0.25">
      <c r="B100" s="37" t="s">
        <v>442</v>
      </c>
      <c r="C100" s="26">
        <v>2</v>
      </c>
      <c r="D100" s="38" t="s">
        <v>2640</v>
      </c>
      <c r="E100" s="59"/>
      <c r="F100" s="59" t="str">
        <f>IF(INDEX(I.Production.P2aC3,2)="","",INDEX(I.Production.P2aC3,2))</f>
        <v/>
      </c>
      <c r="G100" s="59"/>
      <c r="H100" s="26" t="str">
        <f>IF(I.Developer.P2a=FALSE,"Complete",IF(I.Developer.P2aC3=FALSE,"Complete",IF(I.Facility.StandardPart&lt;&gt;"Part 2","Complete",IF(F100="","Incomplete","Complete"))))</f>
        <v>Complete</v>
      </c>
      <c r="I100" s="39" t="s">
        <v>444</v>
      </c>
    </row>
    <row r="101" spans="2:12" ht="15" customHeight="1" x14ac:dyDescent="0.25">
      <c r="B101" s="37" t="s">
        <v>442</v>
      </c>
      <c r="C101" s="26">
        <v>3</v>
      </c>
      <c r="D101" s="38" t="s">
        <v>2640</v>
      </c>
      <c r="E101" s="59"/>
      <c r="F101" s="59" t="str">
        <f>IF(INDEX(I.Production.P2aC3,3)="","",INDEX(I.Production.P2aC3,3))</f>
        <v/>
      </c>
      <c r="G101" s="59"/>
      <c r="H101" s="26" t="str">
        <f>IF(I.Developer.P2a=FALSE,"Complete",IF(I.Developer.P2aC3=FALSE,"Complete",IF(I.Facility.StandardPart="Part 2","Complete",IF(F101="","Incomplete","Complete"))))</f>
        <v>Complete</v>
      </c>
      <c r="I101" s="39" t="s">
        <v>445</v>
      </c>
    </row>
    <row r="102" spans="2:12" ht="15" customHeight="1" x14ac:dyDescent="0.25">
      <c r="B102" s="37" t="s">
        <v>442</v>
      </c>
      <c r="C102" s="26">
        <v>4</v>
      </c>
      <c r="D102" s="38" t="s">
        <v>2640</v>
      </c>
      <c r="E102" s="59"/>
      <c r="F102" s="59" t="str">
        <f>IF(INDEX(I.Production.P2aC3,4)="","",INDEX(I.Production.P2aC3,4))</f>
        <v/>
      </c>
      <c r="G102" s="59"/>
      <c r="H102" s="26" t="str">
        <f>IF(I.Developer.P2a=FALSE,"Complete",IF(I.Developer.P2aC3=FALSE,"Complete",IF(I.Facility.StandardPart="Part 2","Complete",IF(F102="","Incomplete","Complete"))))</f>
        <v>Complete</v>
      </c>
      <c r="I102" s="39" t="s">
        <v>446</v>
      </c>
    </row>
    <row r="103" spans="2:12" ht="15" customHeight="1" x14ac:dyDescent="0.25">
      <c r="B103" s="40" t="s">
        <v>442</v>
      </c>
      <c r="C103" s="46">
        <v>5</v>
      </c>
      <c r="D103" s="44" t="s">
        <v>2640</v>
      </c>
      <c r="E103" s="63"/>
      <c r="F103" s="63" t="str">
        <f>IF(INDEX(I.Production.P2aC3,5)="","",INDEX(I.Production.P2aC3,5))</f>
        <v/>
      </c>
      <c r="G103" s="63"/>
      <c r="H103" s="46" t="str">
        <f>IF(I.Developer.P2a=FALSE,"Complete",IF(I.Developer.P2aC3=FALSE,"Complete",IF(I.Facility.StandardPart="Part 2","Complete",IF(F103="","Incomplete","Complete"))))</f>
        <v>Complete</v>
      </c>
      <c r="I103" s="47" t="s">
        <v>447</v>
      </c>
    </row>
    <row r="104" spans="2:12" ht="15" customHeight="1" x14ac:dyDescent="0.25">
      <c r="B104" s="37" t="s">
        <v>448</v>
      </c>
      <c r="C104" s="26">
        <v>1</v>
      </c>
      <c r="D104" s="38" t="s">
        <v>2641</v>
      </c>
      <c r="E104" s="59"/>
      <c r="F104" s="59" t="str">
        <f>IF(INDEX(I.Production.P2aC4,1)="","",INDEX(I.Production.P2aC4,1))</f>
        <v/>
      </c>
      <c r="G104" s="59"/>
      <c r="H104" s="26" t="str">
        <f>IF(I.Developer.P2a=FALSE,"Complete",IF(I.Developer.P2aC4=FALSE,"Complete",IF(F104="","Incomplete","Complete")))</f>
        <v>Complete</v>
      </c>
      <c r="I104" s="39" t="s">
        <v>449</v>
      </c>
    </row>
    <row r="105" spans="2:12" ht="15" customHeight="1" x14ac:dyDescent="0.25">
      <c r="B105" s="37" t="s">
        <v>448</v>
      </c>
      <c r="C105" s="26">
        <v>2</v>
      </c>
      <c r="D105" s="38" t="s">
        <v>2641</v>
      </c>
      <c r="E105" s="59"/>
      <c r="F105" s="59" t="str">
        <f>IF(INDEX(I.Production.P2aC4,2)="","",INDEX(I.Production.P2aC4,2))</f>
        <v/>
      </c>
      <c r="G105" s="59"/>
      <c r="H105" s="26" t="str">
        <f>IF(I.Developer.P2a=FALSE,"Complete",IF(I.Developer.P2aC4=FALSE,"Complete",IF(F105="","Incomplete","Complete")))</f>
        <v>Complete</v>
      </c>
      <c r="I105" s="39" t="s">
        <v>450</v>
      </c>
    </row>
    <row r="106" spans="2:12" ht="15" customHeight="1" x14ac:dyDescent="0.25">
      <c r="B106" s="40" t="s">
        <v>448</v>
      </c>
      <c r="C106" s="46">
        <v>3</v>
      </c>
      <c r="D106" s="44" t="s">
        <v>2641</v>
      </c>
      <c r="E106" s="63"/>
      <c r="F106" s="63" t="str">
        <f>IF(INDEX(I.Production.P2aC4,3)="","",INDEX(I.Production.P2aC4,3))</f>
        <v/>
      </c>
      <c r="G106" s="63"/>
      <c r="H106" s="46" t="str">
        <f>IF(I.Developer.P2a=FALSE,"Complete",IF(I.Developer.P2aC4=FALSE,"Complete",IF(F106="","Incomplete","Complete")))</f>
        <v>Complete</v>
      </c>
      <c r="I106" s="47" t="s">
        <v>451</v>
      </c>
    </row>
    <row r="107" spans="2:12" ht="15" customHeight="1" x14ac:dyDescent="0.25">
      <c r="B107" s="55" t="s">
        <v>452</v>
      </c>
      <c r="C107" s="56">
        <v>1</v>
      </c>
      <c r="D107" s="53" t="s">
        <v>2642</v>
      </c>
      <c r="E107" s="57"/>
      <c r="F107" s="57" t="str">
        <f>IF(I.Production.P2bQuantity="","",I.Production.P2bQuantity)</f>
        <v/>
      </c>
      <c r="G107" s="57"/>
      <c r="H107" s="56" t="str">
        <f>IF(I.Developer.P2b=FALSE,"Complete",IF(I.Production.P2bQuantity="","Incomplete","Complete"))</f>
        <v>Complete</v>
      </c>
      <c r="I107" s="58" t="s">
        <v>453</v>
      </c>
    </row>
    <row r="108" spans="2:12" ht="15" customHeight="1" x14ac:dyDescent="0.25">
      <c r="B108" s="37" t="s">
        <v>454</v>
      </c>
      <c r="C108" s="26">
        <v>1</v>
      </c>
      <c r="D108" s="38" t="s">
        <v>2643</v>
      </c>
      <c r="E108" s="59"/>
      <c r="F108" s="59" t="str">
        <f>IF(INDEX(I.Production.P2bC1,1)="","",INDEX(I.Production.P2bC1,1))</f>
        <v/>
      </c>
      <c r="G108" s="59"/>
      <c r="H108" s="26" t="str">
        <f>IF(I.Developer.P2b=FALSE,"Complete",IF(I.Developer.P2bC1=FALSE,"Complete",IF(I.Facility.StandardPart&lt;&gt;"Part 2","Complete",IF(F108="","Incomplete","Complete"))))</f>
        <v>Complete</v>
      </c>
      <c r="I108" s="39" t="s">
        <v>455</v>
      </c>
    </row>
    <row r="109" spans="2:12" ht="15" customHeight="1" x14ac:dyDescent="0.25">
      <c r="B109" s="37" t="s">
        <v>454</v>
      </c>
      <c r="C109" s="26">
        <v>2</v>
      </c>
      <c r="D109" s="38" t="s">
        <v>2643</v>
      </c>
      <c r="E109" s="59"/>
      <c r="F109" s="59" t="str">
        <f>IF(INDEX(I.Production.P2bC1,2)="","",INDEX(I.Production.P2bC1,2))</f>
        <v/>
      </c>
      <c r="G109" s="59"/>
      <c r="H109" s="26" t="str">
        <f>IF(I.Developer.P2b=FALSE,"Complete",IF(I.Developer.P2bC1=FALSE,"Complete",IF(I.Facility.StandardPart&lt;&gt;"Part 2","Complete",IF(I.Developer.P2bC1V2=FALSE,"Complete",IF(F109="","Incomplete","Complete")))))</f>
        <v>Complete</v>
      </c>
      <c r="I109" s="39" t="s">
        <v>456</v>
      </c>
    </row>
    <row r="110" spans="2:12" ht="15" customHeight="1" x14ac:dyDescent="0.25">
      <c r="B110" s="37" t="s">
        <v>454</v>
      </c>
      <c r="C110" s="26">
        <v>3</v>
      </c>
      <c r="D110" s="38" t="s">
        <v>2643</v>
      </c>
      <c r="E110" s="59"/>
      <c r="F110" s="59" t="str">
        <f>IF(INDEX(I.Production.P2bC1,3)="","",INDEX(I.Production.P2bC1,3))</f>
        <v/>
      </c>
      <c r="G110" s="59"/>
      <c r="H110" s="26" t="str">
        <f>IF(I.Developer.P2b=FALSE,"Complete",IF(I.Developer.P2bC1=FALSE,"Complete",IF(I.Facility.StandardPart&lt;&gt;"Part 2","Complete",IF(I.Developer.P2bC1V3=FALSE,"Complete",IF(F110="","Incomplete","Complete")))))</f>
        <v>Complete</v>
      </c>
      <c r="I110" s="39" t="s">
        <v>457</v>
      </c>
    </row>
    <row r="111" spans="2:12" ht="15" customHeight="1" x14ac:dyDescent="0.25">
      <c r="B111" s="37" t="s">
        <v>454</v>
      </c>
      <c r="C111" s="26">
        <v>4</v>
      </c>
      <c r="D111" s="38" t="s">
        <v>2643</v>
      </c>
      <c r="E111" s="59"/>
      <c r="F111" s="59" t="str">
        <f>IF(INDEX(I.Production.P2bC1,4)="","",INDEX(I.Production.P2bC1,4))</f>
        <v/>
      </c>
      <c r="G111" s="59"/>
      <c r="H111" s="26" t="str">
        <f>IF(I.Developer.P2b=FALSE,"Complete",IF(I.Developer.P2bC1=FALSE,"Complete",IF(I.Facility.StandardPart&lt;&gt;"Part 2","Complete",IF(I.Developer.P2bC1V4=FALSE,"Complete",IF(F111="","Incomplete","Complete")))))</f>
        <v>Complete</v>
      </c>
      <c r="I111" s="39" t="s">
        <v>458</v>
      </c>
    </row>
    <row r="112" spans="2:12" ht="15" customHeight="1" x14ac:dyDescent="0.25">
      <c r="B112" s="37" t="s">
        <v>454</v>
      </c>
      <c r="C112" s="26">
        <v>5</v>
      </c>
      <c r="D112" s="38" t="s">
        <v>2643</v>
      </c>
      <c r="E112" s="59"/>
      <c r="F112" s="59" t="str">
        <f>IF(INDEX(I.Production.P2bC1,5)="","",INDEX(I.Production.P2bC1,5))</f>
        <v/>
      </c>
      <c r="G112" s="59"/>
      <c r="H112" s="26" t="str">
        <f>IF(I.Developer.P2b=FALSE,"Complete",IF(I.Developer.P2bC1=FALSE,"Complete",IF(I.Facility.StandardPart&lt;&gt;"Part 2","Complete",IF(I.Developer.P2bC1V5=FALSE,"Complete",IF(F112="","Incomplete","Complete")))))</f>
        <v>Complete</v>
      </c>
      <c r="I112" s="39" t="s">
        <v>459</v>
      </c>
    </row>
    <row r="113" spans="2:9" ht="15" customHeight="1" x14ac:dyDescent="0.25">
      <c r="B113" s="37" t="s">
        <v>454</v>
      </c>
      <c r="C113" s="26">
        <v>6</v>
      </c>
      <c r="D113" s="38" t="s">
        <v>2643</v>
      </c>
      <c r="E113" s="59"/>
      <c r="F113" s="59" t="str">
        <f>IF(INDEX(I.Production.P2bC1,6)="","",INDEX(I.Production.P2bC1,6))</f>
        <v/>
      </c>
      <c r="G113" s="59"/>
      <c r="H113" s="26" t="str">
        <f>IF(I.Developer.P2b=FALSE,"Complete",IF(I.Developer.P2bC1=FALSE,"Complete",IF(I.Facility.StandardPart&lt;&gt;"Part 2","Complete",IF(I.Developer.P2bC1V6=FALSE,"Complete",IF(F113="","Incomplete","Complete")))))</f>
        <v>Complete</v>
      </c>
      <c r="I113" s="39" t="s">
        <v>460</v>
      </c>
    </row>
    <row r="114" spans="2:9" ht="15" customHeight="1" x14ac:dyDescent="0.25">
      <c r="B114" s="37" t="s">
        <v>454</v>
      </c>
      <c r="C114" s="26">
        <v>7</v>
      </c>
      <c r="D114" s="38" t="s">
        <v>2643</v>
      </c>
      <c r="E114" s="59"/>
      <c r="F114" s="59" t="str">
        <f>IF(INDEX(I.Production.P2bC1,7)="","",INDEX(I.Production.P2bC1,7))</f>
        <v/>
      </c>
      <c r="G114" s="59"/>
      <c r="H114" s="26" t="str">
        <f>IF(I.Developer.P2b=FALSE,"Complete",IF(I.Developer.P2bC1=FALSE,"Complete",IF(I.Facility.StandardPart="Part 2","Complete",IF(F114="","Incomplete","Complete"))))</f>
        <v>Complete</v>
      </c>
      <c r="I114" s="39" t="s">
        <v>461</v>
      </c>
    </row>
    <row r="115" spans="2:9" ht="15" customHeight="1" x14ac:dyDescent="0.25">
      <c r="B115" s="37" t="s">
        <v>454</v>
      </c>
      <c r="C115" s="26">
        <v>8</v>
      </c>
      <c r="D115" s="38" t="s">
        <v>2643</v>
      </c>
      <c r="E115" s="59"/>
      <c r="F115" s="59" t="str">
        <f>IF(INDEX(I.Production.P2bC1,8)="","",INDEX(I.Production.P2bC1,8))</f>
        <v/>
      </c>
      <c r="G115" s="59"/>
      <c r="H115" s="26" t="str">
        <f>IF(I.Developer.P2b=FALSE,"Complete",IF(I.Developer.P2bC1=FALSE,"Complete",IF(I.Facility.StandardPart="Part 2","Complete",IF(F115="","Incomplete","Complete"))))</f>
        <v>Complete</v>
      </c>
      <c r="I115" s="39" t="s">
        <v>462</v>
      </c>
    </row>
    <row r="116" spans="2:9" ht="15" customHeight="1" x14ac:dyDescent="0.25">
      <c r="B116" s="40" t="s">
        <v>454</v>
      </c>
      <c r="C116" s="46">
        <v>9</v>
      </c>
      <c r="D116" s="44" t="s">
        <v>2643</v>
      </c>
      <c r="E116" s="63"/>
      <c r="F116" s="63" t="str">
        <f>IF(INDEX(I.Production.P2bC1,9)="","",INDEX(I.Production.P2bC1,9))</f>
        <v/>
      </c>
      <c r="G116" s="63"/>
      <c r="H116" s="46" t="str">
        <f>IF(I.Developer.P2b=FALSE,"Complete",IF(I.Developer.P2bC1=FALSE,"Complete",IF(I.Facility.StandardPart="Part 2","Complete",IF(F116="","Incomplete","Complete"))))</f>
        <v>Complete</v>
      </c>
      <c r="I116" s="47" t="s">
        <v>463</v>
      </c>
    </row>
    <row r="117" spans="2:9" ht="15" customHeight="1" x14ac:dyDescent="0.25">
      <c r="B117" s="37" t="s">
        <v>464</v>
      </c>
      <c r="C117" s="26">
        <v>1</v>
      </c>
      <c r="D117" s="38" t="s">
        <v>2644</v>
      </c>
      <c r="E117" s="59"/>
      <c r="F117" s="59" t="str">
        <f>IF(INDEX(I.Production.P2bC2,1)="","",INDEX(I.Production.P2bC2,1))</f>
        <v/>
      </c>
      <c r="G117" s="59"/>
      <c r="H117" s="26" t="str">
        <f t="shared" ref="H117:H137" si="2">IF(I.Developer.P2b=FALSE,"Complete",IF(I.Developer.P2bC2=FALSE,"Complete",IF(F117="","Incomplete","Complete")))</f>
        <v>Complete</v>
      </c>
      <c r="I117" s="39" t="s">
        <v>465</v>
      </c>
    </row>
    <row r="118" spans="2:9" ht="15" customHeight="1" x14ac:dyDescent="0.25">
      <c r="B118" s="37" t="s">
        <v>464</v>
      </c>
      <c r="C118" s="26">
        <v>2</v>
      </c>
      <c r="D118" s="38" t="s">
        <v>2644</v>
      </c>
      <c r="E118" s="59"/>
      <c r="F118" s="59" t="str">
        <f>IF(INDEX(I.Production.P2bC2,2)="","",INDEX(I.Production.P2bC2,2))</f>
        <v/>
      </c>
      <c r="G118" s="59"/>
      <c r="H118" s="26" t="str">
        <f t="shared" si="2"/>
        <v>Complete</v>
      </c>
      <c r="I118" s="39" t="s">
        <v>466</v>
      </c>
    </row>
    <row r="119" spans="2:9" ht="15" customHeight="1" x14ac:dyDescent="0.25">
      <c r="B119" s="37" t="s">
        <v>464</v>
      </c>
      <c r="C119" s="26">
        <v>3</v>
      </c>
      <c r="D119" s="38" t="s">
        <v>2644</v>
      </c>
      <c r="E119" s="59"/>
      <c r="F119" s="59" t="str">
        <f>IF(INDEX(I.Production.P2bC2,3)="","",INDEX(I.Production.P2bC2,3))</f>
        <v/>
      </c>
      <c r="G119" s="59"/>
      <c r="H119" s="26" t="str">
        <f t="shared" si="2"/>
        <v>Complete</v>
      </c>
      <c r="I119" s="39" t="s">
        <v>467</v>
      </c>
    </row>
    <row r="120" spans="2:9" ht="15" customHeight="1" x14ac:dyDescent="0.25">
      <c r="B120" s="37" t="s">
        <v>464</v>
      </c>
      <c r="C120" s="26">
        <v>4</v>
      </c>
      <c r="D120" s="38" t="s">
        <v>2644</v>
      </c>
      <c r="E120" s="59"/>
      <c r="F120" s="59" t="str">
        <f>IF(INDEX(I.Production.P2bC2,4)="","",INDEX(I.Production.P2bC2,4))</f>
        <v/>
      </c>
      <c r="G120" s="59"/>
      <c r="H120" s="26" t="str">
        <f t="shared" si="2"/>
        <v>Complete</v>
      </c>
      <c r="I120" s="39" t="s">
        <v>468</v>
      </c>
    </row>
    <row r="121" spans="2:9" ht="15" customHeight="1" x14ac:dyDescent="0.25">
      <c r="B121" s="37" t="s">
        <v>464</v>
      </c>
      <c r="C121" s="26">
        <v>5</v>
      </c>
      <c r="D121" s="38" t="s">
        <v>2644</v>
      </c>
      <c r="E121" s="59"/>
      <c r="F121" s="59" t="str">
        <f>IF(INDEX(I.Production.P2bC2,5)="","",INDEX(I.Production.P2bC2,5))</f>
        <v/>
      </c>
      <c r="G121" s="59"/>
      <c r="H121" s="26" t="str">
        <f t="shared" si="2"/>
        <v>Complete</v>
      </c>
      <c r="I121" s="39" t="s">
        <v>469</v>
      </c>
    </row>
    <row r="122" spans="2:9" ht="15" customHeight="1" x14ac:dyDescent="0.25">
      <c r="B122" s="37" t="s">
        <v>464</v>
      </c>
      <c r="C122" s="26">
        <v>6</v>
      </c>
      <c r="D122" s="38" t="s">
        <v>2644</v>
      </c>
      <c r="E122" s="59"/>
      <c r="F122" s="59" t="str">
        <f>IF(INDEX(I.Production.P2bC2,6)="","",INDEX(I.Production.P2bC2,6))</f>
        <v/>
      </c>
      <c r="G122" s="59"/>
      <c r="H122" s="26" t="str">
        <f t="shared" si="2"/>
        <v>Complete</v>
      </c>
      <c r="I122" s="39" t="s">
        <v>470</v>
      </c>
    </row>
    <row r="123" spans="2:9" ht="15" customHeight="1" x14ac:dyDescent="0.25">
      <c r="B123" s="37" t="s">
        <v>464</v>
      </c>
      <c r="C123" s="26">
        <v>7</v>
      </c>
      <c r="D123" s="38" t="s">
        <v>2644</v>
      </c>
      <c r="E123" s="59"/>
      <c r="F123" s="59" t="str">
        <f>IF(INDEX(I.Production.P2bC2,7)="","",INDEX(I.Production.P2bC2,7))</f>
        <v/>
      </c>
      <c r="G123" s="59"/>
      <c r="H123" s="26" t="str">
        <f t="shared" si="2"/>
        <v>Complete</v>
      </c>
      <c r="I123" s="39" t="s">
        <v>471</v>
      </c>
    </row>
    <row r="124" spans="2:9" ht="15" customHeight="1" x14ac:dyDescent="0.25">
      <c r="B124" s="37" t="s">
        <v>464</v>
      </c>
      <c r="C124" s="26">
        <v>8</v>
      </c>
      <c r="D124" s="38" t="s">
        <v>2644</v>
      </c>
      <c r="E124" s="59"/>
      <c r="F124" s="59" t="str">
        <f>IF(INDEX(I.Production.P2bC2,8)="","",INDEX(I.Production.P2bC2,8))</f>
        <v/>
      </c>
      <c r="G124" s="59"/>
      <c r="H124" s="26" t="str">
        <f t="shared" si="2"/>
        <v>Complete</v>
      </c>
      <c r="I124" s="39" t="s">
        <v>472</v>
      </c>
    </row>
    <row r="125" spans="2:9" ht="15" customHeight="1" x14ac:dyDescent="0.25">
      <c r="B125" s="37" t="s">
        <v>464</v>
      </c>
      <c r="C125" s="26">
        <v>9</v>
      </c>
      <c r="D125" s="38" t="s">
        <v>2644</v>
      </c>
      <c r="E125" s="59"/>
      <c r="F125" s="59" t="str">
        <f>IF(INDEX(I.Production.P2bC2,9)="","",INDEX(I.Production.P2bC2,9))</f>
        <v/>
      </c>
      <c r="G125" s="59"/>
      <c r="H125" s="26" t="str">
        <f t="shared" si="2"/>
        <v>Complete</v>
      </c>
      <c r="I125" s="39" t="s">
        <v>473</v>
      </c>
    </row>
    <row r="126" spans="2:9" ht="15" customHeight="1" x14ac:dyDescent="0.25">
      <c r="B126" s="37" t="s">
        <v>464</v>
      </c>
      <c r="C126" s="26">
        <v>10</v>
      </c>
      <c r="D126" s="38" t="s">
        <v>2644</v>
      </c>
      <c r="E126" s="59"/>
      <c r="F126" s="59" t="str">
        <f>IF(INDEX(I.Production.P2bC2,10)="","",INDEX(I.Production.P2bC2,10))</f>
        <v/>
      </c>
      <c r="G126" s="59"/>
      <c r="H126" s="26" t="str">
        <f t="shared" si="2"/>
        <v>Complete</v>
      </c>
      <c r="I126" s="39" t="s">
        <v>474</v>
      </c>
    </row>
    <row r="127" spans="2:9" ht="15" customHeight="1" x14ac:dyDescent="0.25">
      <c r="B127" s="37" t="s">
        <v>464</v>
      </c>
      <c r="C127" s="26">
        <v>11</v>
      </c>
      <c r="D127" s="38" t="s">
        <v>2644</v>
      </c>
      <c r="E127" s="59"/>
      <c r="F127" s="59" t="str">
        <f>IF(INDEX(I.Production.P2bC2,11)="","",INDEX(I.Production.P2bC2,11))</f>
        <v/>
      </c>
      <c r="G127" s="59"/>
      <c r="H127" s="26" t="str">
        <f t="shared" si="2"/>
        <v>Complete</v>
      </c>
      <c r="I127" s="39" t="s">
        <v>475</v>
      </c>
    </row>
    <row r="128" spans="2:9" ht="15" customHeight="1" x14ac:dyDescent="0.25">
      <c r="B128" s="37" t="s">
        <v>464</v>
      </c>
      <c r="C128" s="26">
        <v>12</v>
      </c>
      <c r="D128" s="38" t="s">
        <v>2644</v>
      </c>
      <c r="E128" s="59"/>
      <c r="F128" s="59" t="str">
        <f>IF(INDEX(I.Production.P2bC2,12)="","",INDEX(I.Production.P2bC2,12))</f>
        <v/>
      </c>
      <c r="G128" s="59"/>
      <c r="H128" s="26" t="str">
        <f t="shared" si="2"/>
        <v>Complete</v>
      </c>
      <c r="I128" s="39" t="s">
        <v>476</v>
      </c>
    </row>
    <row r="129" spans="2:9" ht="15" customHeight="1" x14ac:dyDescent="0.25">
      <c r="B129" s="37" t="s">
        <v>464</v>
      </c>
      <c r="C129" s="26">
        <v>13</v>
      </c>
      <c r="D129" s="38" t="s">
        <v>2644</v>
      </c>
      <c r="E129" s="59"/>
      <c r="F129" s="59" t="str">
        <f>IF(INDEX(I.Production.P2bC2,13)="","",INDEX(I.Production.P2bC2,13))</f>
        <v/>
      </c>
      <c r="G129" s="59"/>
      <c r="H129" s="26" t="str">
        <f t="shared" si="2"/>
        <v>Complete</v>
      </c>
      <c r="I129" s="39" t="s">
        <v>477</v>
      </c>
    </row>
    <row r="130" spans="2:9" ht="15" customHeight="1" x14ac:dyDescent="0.25">
      <c r="B130" s="37" t="s">
        <v>464</v>
      </c>
      <c r="C130" s="26">
        <v>14</v>
      </c>
      <c r="D130" s="38" t="s">
        <v>2644</v>
      </c>
      <c r="E130" s="59"/>
      <c r="F130" s="59" t="str">
        <f>IF(INDEX(I.Production.P2bC2,14)="","",INDEX(I.Production.P2bC2,14))</f>
        <v/>
      </c>
      <c r="G130" s="59"/>
      <c r="H130" s="26" t="str">
        <f t="shared" si="2"/>
        <v>Complete</v>
      </c>
      <c r="I130" s="39" t="s">
        <v>478</v>
      </c>
    </row>
    <row r="131" spans="2:9" ht="15" customHeight="1" x14ac:dyDescent="0.25">
      <c r="B131" s="37" t="s">
        <v>464</v>
      </c>
      <c r="C131" s="26">
        <v>15</v>
      </c>
      <c r="D131" s="38" t="s">
        <v>2644</v>
      </c>
      <c r="E131" s="59"/>
      <c r="F131" s="59" t="str">
        <f>IF(INDEX(I.Production.P2bC2,15)="","",INDEX(I.Production.P2bC2,15))</f>
        <v/>
      </c>
      <c r="G131" s="59"/>
      <c r="H131" s="26" t="str">
        <f t="shared" si="2"/>
        <v>Complete</v>
      </c>
      <c r="I131" s="39" t="s">
        <v>479</v>
      </c>
    </row>
    <row r="132" spans="2:9" ht="15" customHeight="1" x14ac:dyDescent="0.25">
      <c r="B132" s="37" t="s">
        <v>464</v>
      </c>
      <c r="C132" s="26">
        <v>16</v>
      </c>
      <c r="D132" s="38" t="s">
        <v>2644</v>
      </c>
      <c r="E132" s="59"/>
      <c r="F132" s="59" t="str">
        <f>IF(INDEX(I.Production.P2bC2,16)="","",INDEX(I.Production.P2bC2,16))</f>
        <v/>
      </c>
      <c r="G132" s="59"/>
      <c r="H132" s="26" t="str">
        <f t="shared" si="2"/>
        <v>Complete</v>
      </c>
      <c r="I132" s="39" t="s">
        <v>480</v>
      </c>
    </row>
    <row r="133" spans="2:9" ht="15" customHeight="1" x14ac:dyDescent="0.25">
      <c r="B133" s="37" t="s">
        <v>464</v>
      </c>
      <c r="C133" s="26">
        <v>17</v>
      </c>
      <c r="D133" s="38" t="s">
        <v>2644</v>
      </c>
      <c r="E133" s="59"/>
      <c r="F133" s="59" t="str">
        <f>IF(INDEX(I.Production.P2bC2,17)="","",INDEX(I.Production.P2bC2,17))</f>
        <v/>
      </c>
      <c r="G133" s="59"/>
      <c r="H133" s="26" t="str">
        <f t="shared" si="2"/>
        <v>Complete</v>
      </c>
      <c r="I133" s="39" t="s">
        <v>481</v>
      </c>
    </row>
    <row r="134" spans="2:9" ht="15" customHeight="1" x14ac:dyDescent="0.25">
      <c r="B134" s="37" t="s">
        <v>464</v>
      </c>
      <c r="C134" s="26">
        <v>18</v>
      </c>
      <c r="D134" s="38" t="s">
        <v>2644</v>
      </c>
      <c r="E134" s="59"/>
      <c r="F134" s="59" t="str">
        <f>IF(INDEX(I.Production.P2bC2,18)="","",INDEX(I.Production.P2bC2,18))</f>
        <v/>
      </c>
      <c r="G134" s="59"/>
      <c r="H134" s="26" t="str">
        <f t="shared" si="2"/>
        <v>Complete</v>
      </c>
      <c r="I134" s="39" t="s">
        <v>482</v>
      </c>
    </row>
    <row r="135" spans="2:9" ht="15" customHeight="1" x14ac:dyDescent="0.25">
      <c r="B135" s="37" t="s">
        <v>464</v>
      </c>
      <c r="C135" s="26">
        <v>19</v>
      </c>
      <c r="D135" s="38" t="s">
        <v>2644</v>
      </c>
      <c r="E135" s="59"/>
      <c r="F135" s="59" t="str">
        <f>IF(INDEX(I.Production.P2bC2,19)="","",INDEX(I.Production.P2bC2,19))</f>
        <v/>
      </c>
      <c r="G135" s="59"/>
      <c r="H135" s="26" t="str">
        <f t="shared" si="2"/>
        <v>Complete</v>
      </c>
      <c r="I135" s="39" t="s">
        <v>483</v>
      </c>
    </row>
    <row r="136" spans="2:9" ht="15" customHeight="1" x14ac:dyDescent="0.25">
      <c r="B136" s="37" t="s">
        <v>464</v>
      </c>
      <c r="C136" s="26">
        <v>20</v>
      </c>
      <c r="D136" s="38" t="s">
        <v>2644</v>
      </c>
      <c r="E136" s="59"/>
      <c r="F136" s="59" t="str">
        <f>IF(INDEX(I.Production.P2bC2,20)="","",INDEX(I.Production.P2bC2,20))</f>
        <v/>
      </c>
      <c r="G136" s="59"/>
      <c r="H136" s="26" t="str">
        <f t="shared" si="2"/>
        <v>Complete</v>
      </c>
      <c r="I136" s="39" t="s">
        <v>484</v>
      </c>
    </row>
    <row r="137" spans="2:9" ht="15" customHeight="1" x14ac:dyDescent="0.25">
      <c r="B137" s="40" t="s">
        <v>464</v>
      </c>
      <c r="C137" s="46">
        <v>21</v>
      </c>
      <c r="D137" s="44" t="s">
        <v>2644</v>
      </c>
      <c r="E137" s="63"/>
      <c r="F137" s="63" t="str">
        <f>IF(INDEX(I.Production.P2bC2,21)="","",INDEX(I.Production.P2bC2,21))</f>
        <v/>
      </c>
      <c r="G137" s="63"/>
      <c r="H137" s="46" t="str">
        <f t="shared" si="2"/>
        <v>Complete</v>
      </c>
      <c r="I137" s="47" t="s">
        <v>485</v>
      </c>
    </row>
    <row r="138" spans="2:9" ht="15" customHeight="1" x14ac:dyDescent="0.25">
      <c r="B138" s="37" t="s">
        <v>486</v>
      </c>
      <c r="C138" s="26">
        <v>1</v>
      </c>
      <c r="D138" s="38" t="s">
        <v>2645</v>
      </c>
      <c r="E138" s="59"/>
      <c r="F138" s="59" t="str">
        <f>IF(INDEX(I.Production.P2bC3,1)="","",INDEX(I.Production.P2bC3,1))</f>
        <v/>
      </c>
      <c r="G138" s="59"/>
      <c r="H138" s="26" t="str">
        <f>IF(I.Developer.P2b=FALSE,"Complete",IF(I.Developer.P2bC3=FALSE,"Complete",IF(I.Facility.StandardPart&lt;&gt;"Part 2","Complete",IF(F138="","Incomplete","Complete"))))</f>
        <v>Complete</v>
      </c>
      <c r="I138" s="39" t="s">
        <v>487</v>
      </c>
    </row>
    <row r="139" spans="2:9" ht="15" customHeight="1" x14ac:dyDescent="0.25">
      <c r="B139" s="37" t="s">
        <v>486</v>
      </c>
      <c r="C139" s="26">
        <v>2</v>
      </c>
      <c r="D139" s="38" t="s">
        <v>2645</v>
      </c>
      <c r="E139" s="59"/>
      <c r="F139" s="59" t="str">
        <f>IF(INDEX(I.Production.P2bC3,2)="","",INDEX(I.Production.P2bC3,2))</f>
        <v/>
      </c>
      <c r="G139" s="59"/>
      <c r="H139" s="26" t="str">
        <f>IF(I.Developer.P2b=FALSE,"Complete",IF(I.Developer.P2bC3=FALSE,"Complete",IF(I.Facility.StandardPart&lt;&gt;"Part 2","Complete",IF(F139="","Incomplete","Complete"))))</f>
        <v>Complete</v>
      </c>
      <c r="I139" s="39" t="s">
        <v>488</v>
      </c>
    </row>
    <row r="140" spans="2:9" ht="15" customHeight="1" x14ac:dyDescent="0.25">
      <c r="B140" s="37" t="s">
        <v>486</v>
      </c>
      <c r="C140" s="26">
        <v>3</v>
      </c>
      <c r="D140" s="38" t="s">
        <v>2645</v>
      </c>
      <c r="E140" s="59"/>
      <c r="F140" s="59" t="str">
        <f>IF(INDEX(I.Production.P2bC3,3)="","",INDEX(I.Production.P2bC3,3))</f>
        <v/>
      </c>
      <c r="G140" s="59"/>
      <c r="H140" s="26" t="str">
        <f>IF(I.Developer.P2b=FALSE,"Complete",IF(I.Developer.P2bC3=FALSE,"Complete",IF(I.Facility.StandardPart="Part 2","Complete",IF(F140="","Incomplete","Complete"))))</f>
        <v>Complete</v>
      </c>
      <c r="I140" s="39" t="s">
        <v>489</v>
      </c>
    </row>
    <row r="141" spans="2:9" ht="15" customHeight="1" x14ac:dyDescent="0.25">
      <c r="B141" s="37" t="s">
        <v>486</v>
      </c>
      <c r="C141" s="26">
        <v>4</v>
      </c>
      <c r="D141" s="38" t="s">
        <v>2645</v>
      </c>
      <c r="E141" s="59"/>
      <c r="F141" s="59" t="str">
        <f>IF(INDEX(I.Production.P2bC3,4)="","",INDEX(I.Production.P2bC3,4))</f>
        <v/>
      </c>
      <c r="G141" s="59"/>
      <c r="H141" s="26" t="str">
        <f>IF(I.Developer.P2b=FALSE,"Complete",IF(I.Developer.P2bC3=FALSE,"Complete",IF(I.Facility.StandardPart="Part 2","Complete",IF(F141="","Incomplete","Complete"))))</f>
        <v>Complete</v>
      </c>
      <c r="I141" s="39" t="s">
        <v>490</v>
      </c>
    </row>
    <row r="142" spans="2:9" ht="15" customHeight="1" x14ac:dyDescent="0.25">
      <c r="B142" s="40" t="s">
        <v>486</v>
      </c>
      <c r="C142" s="46">
        <v>5</v>
      </c>
      <c r="D142" s="44" t="s">
        <v>2645</v>
      </c>
      <c r="E142" s="63"/>
      <c r="F142" s="63" t="str">
        <f>IF(INDEX(I.Production.P2bC3,5)="","",INDEX(I.Production.P2bC3,5))</f>
        <v/>
      </c>
      <c r="G142" s="63"/>
      <c r="H142" s="46" t="str">
        <f>IF(I.Developer.P2b=FALSE,"Complete",IF(I.Developer.P2bC3=FALSE,"Complete",IF(I.Facility.StandardPart="Part 2","Complete",IF(F142="","Incomplete","Complete"))))</f>
        <v>Complete</v>
      </c>
      <c r="I142" s="47" t="s">
        <v>491</v>
      </c>
    </row>
    <row r="143" spans="2:9" ht="15" customHeight="1" x14ac:dyDescent="0.25">
      <c r="B143" s="37" t="s">
        <v>492</v>
      </c>
      <c r="C143" s="26">
        <v>1</v>
      </c>
      <c r="D143" s="38" t="s">
        <v>2646</v>
      </c>
      <c r="E143" s="59"/>
      <c r="F143" s="59" t="str">
        <f>IF(INDEX(I.Production.P2bC4,1)="","",INDEX(I.Production.P2bC4,1))</f>
        <v/>
      </c>
      <c r="G143" s="59"/>
      <c r="H143" s="26" t="str">
        <f>IF(I.Developer.P2b=FALSE,"Complete",IF(I.Developer.P2bC4=FALSE,"Complete",IF(F143="","Incomplete","Complete")))</f>
        <v>Complete</v>
      </c>
      <c r="I143" s="39" t="s">
        <v>493</v>
      </c>
    </row>
    <row r="144" spans="2:9" ht="15" customHeight="1" x14ac:dyDescent="0.25">
      <c r="B144" s="37" t="s">
        <v>492</v>
      </c>
      <c r="C144" s="26">
        <v>2</v>
      </c>
      <c r="D144" s="38" t="s">
        <v>2646</v>
      </c>
      <c r="E144" s="59"/>
      <c r="F144" s="59" t="str">
        <f>IF(INDEX(I.Production.P2bC4,2)="","",INDEX(I.Production.P2bC4,2))</f>
        <v/>
      </c>
      <c r="G144" s="59"/>
      <c r="H144" s="26" t="str">
        <f>IF(I.Developer.P2b=FALSE,"Complete",IF(I.Developer.P2bC4=FALSE,"Complete",IF(F144="","Incomplete","Complete")))</f>
        <v>Complete</v>
      </c>
      <c r="I144" s="39" t="s">
        <v>494</v>
      </c>
    </row>
    <row r="145" spans="2:9" ht="15" customHeight="1" x14ac:dyDescent="0.25">
      <c r="B145" s="40" t="s">
        <v>492</v>
      </c>
      <c r="C145" s="46">
        <v>3</v>
      </c>
      <c r="D145" s="44" t="s">
        <v>2646</v>
      </c>
      <c r="E145" s="63"/>
      <c r="F145" s="63" t="str">
        <f>IF(INDEX(I.Production.P2bC4,3)="","",INDEX(I.Production.P2bC4,3))</f>
        <v/>
      </c>
      <c r="G145" s="63"/>
      <c r="H145" s="46" t="str">
        <f>IF(I.Developer.P2b=FALSE,"Complete",IF(I.Developer.P2bC4=FALSE,"Complete",IF(F145="","Incomplete","Complete")))</f>
        <v>Complete</v>
      </c>
      <c r="I145" s="47" t="s">
        <v>495</v>
      </c>
    </row>
    <row r="146" spans="2:9" ht="15" customHeight="1" x14ac:dyDescent="0.25">
      <c r="B146" s="55" t="s">
        <v>496</v>
      </c>
      <c r="C146" s="56">
        <v>1</v>
      </c>
      <c r="D146" s="53" t="s">
        <v>2647</v>
      </c>
      <c r="E146" s="57"/>
      <c r="F146" s="57" t="str">
        <f>IF(I.Production.P3Quantity="","",I.Production.P3Quantity)</f>
        <v/>
      </c>
      <c r="G146" s="57"/>
      <c r="H146" s="56" t="str">
        <f>IF(I.Developer.P3=FALSE,"Complete",IF(I.Production.P3Quantity="","Incomplete","Complete"))</f>
        <v>Complete</v>
      </c>
      <c r="I146" s="58" t="s">
        <v>497</v>
      </c>
    </row>
    <row r="147" spans="2:9" ht="15" customHeight="1" x14ac:dyDescent="0.25">
      <c r="B147" s="37" t="s">
        <v>498</v>
      </c>
      <c r="C147" s="26">
        <v>1</v>
      </c>
      <c r="D147" s="38" t="s">
        <v>2648</v>
      </c>
      <c r="E147" s="59"/>
      <c r="F147" s="59" t="str">
        <f>IF(INDEX(I.Production.P3C1,1)="","",INDEX(I.Production.P3C1,1))</f>
        <v/>
      </c>
      <c r="G147" s="59"/>
      <c r="H147" s="26" t="str">
        <f>IF(I.Developer.P3=FALSE,"Complete",IF(I.Developer.P3C1=FALSE,"Complete",IF(I.Facility.StandardPart&lt;&gt;"Part 2","Complete",IF(F147="","Incomplete","Complete"))))</f>
        <v>Complete</v>
      </c>
      <c r="I147" s="39" t="s">
        <v>499</v>
      </c>
    </row>
    <row r="148" spans="2:9" ht="15" customHeight="1" x14ac:dyDescent="0.25">
      <c r="B148" s="37" t="s">
        <v>498</v>
      </c>
      <c r="C148" s="26">
        <v>2</v>
      </c>
      <c r="D148" s="38" t="s">
        <v>2648</v>
      </c>
      <c r="E148" s="59"/>
      <c r="F148" s="59" t="str">
        <f>IF(INDEX(I.Production.P3C1,2)="","",INDEX(I.Production.P3C1,2))</f>
        <v/>
      </c>
      <c r="G148" s="59"/>
      <c r="H148" s="26" t="str">
        <f>IF(I.Developer.P3=FALSE,"Complete",IF(I.Developer.P3C1=FALSE,"Complete",IF(I.Facility.StandardPart&lt;&gt;"Part 2","Complete",IF(I.Developer.P3C1V2=FALSE,"Complete",IF(F148="","Incomplete","Complete")))))</f>
        <v>Complete</v>
      </c>
      <c r="I148" s="39" t="s">
        <v>500</v>
      </c>
    </row>
    <row r="149" spans="2:9" ht="15" customHeight="1" x14ac:dyDescent="0.25">
      <c r="B149" s="37" t="s">
        <v>498</v>
      </c>
      <c r="C149" s="26">
        <v>3</v>
      </c>
      <c r="D149" s="38" t="s">
        <v>2648</v>
      </c>
      <c r="E149" s="59"/>
      <c r="F149" s="59" t="str">
        <f>IF(INDEX(I.Production.P3C1,3)="","",INDEX(I.Production.P3C1,3))</f>
        <v/>
      </c>
      <c r="G149" s="59"/>
      <c r="H149" s="26" t="str">
        <f>IF(I.Developer.P3=FALSE,"Complete",IF(I.Developer.P3C1=FALSE,"Complete",IF(I.Facility.StandardPart&lt;&gt;"Part 2","Complete",IF(I.Developer.P3C1V3=FALSE,"Complete",IF(F149="","Incomplete","Complete")))))</f>
        <v>Complete</v>
      </c>
      <c r="I149" s="39" t="s">
        <v>501</v>
      </c>
    </row>
    <row r="150" spans="2:9" ht="15" customHeight="1" x14ac:dyDescent="0.25">
      <c r="B150" s="37" t="s">
        <v>498</v>
      </c>
      <c r="C150" s="26">
        <v>4</v>
      </c>
      <c r="D150" s="38" t="s">
        <v>2648</v>
      </c>
      <c r="E150" s="59"/>
      <c r="F150" s="59" t="str">
        <f>IF(INDEX(I.Production.P3C1,4)="","",INDEX(I.Production.P3C1,4))</f>
        <v/>
      </c>
      <c r="G150" s="59"/>
      <c r="H150" s="26" t="str">
        <f>IF(I.Developer.P3=FALSE,"Complete",IF(I.Developer.P3C1=FALSE,"Complete",IF(I.Facility.StandardPart&lt;&gt;"Part 2","Complete",IF(I.Developer.P3C1V4=FALSE,"Complete",IF(F150="","Incomplete","Complete")))))</f>
        <v>Complete</v>
      </c>
      <c r="I150" s="39" t="s">
        <v>502</v>
      </c>
    </row>
    <row r="151" spans="2:9" ht="15" customHeight="1" x14ac:dyDescent="0.25">
      <c r="B151" s="37" t="s">
        <v>498</v>
      </c>
      <c r="C151" s="26">
        <v>5</v>
      </c>
      <c r="D151" s="38" t="s">
        <v>2648</v>
      </c>
      <c r="E151" s="59"/>
      <c r="F151" s="59" t="str">
        <f>IF(INDEX(I.Production.P3C1,5)="","",INDEX(I.Production.P3C1,5))</f>
        <v/>
      </c>
      <c r="G151" s="59"/>
      <c r="H151" s="26" t="str">
        <f>IF(I.Developer.P3=FALSE,"Complete",IF(I.Developer.P3C1=FALSE,"Complete",IF(I.Facility.StandardPart&lt;&gt;"Part 2","Complete",IF(I.Developer.P3C1V5=FALSE,"Complete",IF(F151="","Incomplete","Complete")))))</f>
        <v>Complete</v>
      </c>
      <c r="I151" s="39" t="s">
        <v>503</v>
      </c>
    </row>
    <row r="152" spans="2:9" ht="15" customHeight="1" x14ac:dyDescent="0.25">
      <c r="B152" s="37" t="s">
        <v>498</v>
      </c>
      <c r="C152" s="26">
        <v>6</v>
      </c>
      <c r="D152" s="38" t="s">
        <v>2648</v>
      </c>
      <c r="E152" s="59"/>
      <c r="F152" s="59" t="str">
        <f>IF(INDEX(I.Production.P3C1,6)="","",INDEX(I.Production.P3C1,6))</f>
        <v/>
      </c>
      <c r="G152" s="59"/>
      <c r="H152" s="26" t="str">
        <f>IF(I.Developer.P3=FALSE,"Complete",IF(I.Developer.P3C1=FALSE,"Complete",IF(I.Facility.StandardPart&lt;&gt;"Part 2","Complete",IF(I.Developer.P3C1V6=FALSE,"Complete",IF(F152="","Incomplete","Complete")))))</f>
        <v>Complete</v>
      </c>
      <c r="I152" s="39" t="s">
        <v>504</v>
      </c>
    </row>
    <row r="153" spans="2:9" ht="15" customHeight="1" x14ac:dyDescent="0.25">
      <c r="B153" s="37" t="s">
        <v>498</v>
      </c>
      <c r="C153" s="26">
        <v>7</v>
      </c>
      <c r="D153" s="38" t="s">
        <v>2648</v>
      </c>
      <c r="E153" s="59"/>
      <c r="F153" s="59" t="str">
        <f>IF(INDEX(I.Production.P3C1,7)="","",INDEX(I.Production.P3C1,7))</f>
        <v/>
      </c>
      <c r="G153" s="59"/>
      <c r="H153" s="26" t="str">
        <f>IF(I.Developer.P3=FALSE,"Complete",IF(I.Developer.P3C1=FALSE,"Complete",IF(I.Facility.StandardPart="Part 2","Complete",IF(F153="","Incomplete","Complete"))))</f>
        <v>Complete</v>
      </c>
      <c r="I153" s="39" t="s">
        <v>505</v>
      </c>
    </row>
    <row r="154" spans="2:9" ht="15" customHeight="1" x14ac:dyDescent="0.25">
      <c r="B154" s="37" t="s">
        <v>498</v>
      </c>
      <c r="C154" s="26">
        <v>8</v>
      </c>
      <c r="D154" s="38" t="s">
        <v>2648</v>
      </c>
      <c r="E154" s="59"/>
      <c r="F154" s="59" t="str">
        <f>IF(INDEX(I.Production.P3C1,8)="","",INDEX(I.Production.P3C1,8))</f>
        <v/>
      </c>
      <c r="G154" s="59"/>
      <c r="H154" s="26" t="str">
        <f>IF(I.Developer.P3=FALSE,"Complete",IF(I.Developer.P3C1=FALSE,"Complete",IF(I.Facility.StandardPart="Part 2","Complete",IF(F154="","Incomplete","Complete"))))</f>
        <v>Complete</v>
      </c>
      <c r="I154" s="39" t="s">
        <v>506</v>
      </c>
    </row>
    <row r="155" spans="2:9" ht="15" customHeight="1" x14ac:dyDescent="0.25">
      <c r="B155" s="40" t="s">
        <v>498</v>
      </c>
      <c r="C155" s="46">
        <v>9</v>
      </c>
      <c r="D155" s="44" t="s">
        <v>2648</v>
      </c>
      <c r="E155" s="63"/>
      <c r="F155" s="63" t="str">
        <f>IF(INDEX(I.Production.P3C1,9)="","",INDEX(I.Production.P3C1,9))</f>
        <v/>
      </c>
      <c r="G155" s="63"/>
      <c r="H155" s="46" t="str">
        <f>IF(I.Developer.P3=FALSE,"Complete",IF(I.Developer.P3C1=FALSE,"Complete",IF(I.Facility.StandardPart="Part 2","Complete",IF(F155="","Incomplete","Complete"))))</f>
        <v>Complete</v>
      </c>
      <c r="I155" s="47" t="s">
        <v>507</v>
      </c>
    </row>
    <row r="156" spans="2:9" ht="15" customHeight="1" x14ac:dyDescent="0.25">
      <c r="B156" s="37" t="s">
        <v>508</v>
      </c>
      <c r="C156" s="26">
        <v>1</v>
      </c>
      <c r="D156" s="38" t="s">
        <v>2649</v>
      </c>
      <c r="E156" s="59"/>
      <c r="F156" s="59" t="str">
        <f>IF(INDEX(I.Production.P3C2,1)="","",INDEX(I.Production.P3C2,1))</f>
        <v/>
      </c>
      <c r="G156" s="59"/>
      <c r="H156" s="26" t="str">
        <f t="shared" ref="H156:H176" si="3">IF(I.Developer.P3=FALSE,"Complete",IF(I.Developer.P3C2=FALSE,"Complete",IF(F156="","Incomplete","Complete")))</f>
        <v>Complete</v>
      </c>
      <c r="I156" s="39" t="s">
        <v>509</v>
      </c>
    </row>
    <row r="157" spans="2:9" ht="15" customHeight="1" x14ac:dyDescent="0.25">
      <c r="B157" s="37" t="s">
        <v>508</v>
      </c>
      <c r="C157" s="26">
        <v>2</v>
      </c>
      <c r="D157" s="38" t="s">
        <v>2649</v>
      </c>
      <c r="E157" s="59"/>
      <c r="F157" s="59" t="str">
        <f>IF(INDEX(I.Production.P3C2,2)="","",INDEX(I.Production.P3C2,2))</f>
        <v/>
      </c>
      <c r="G157" s="59"/>
      <c r="H157" s="26" t="str">
        <f t="shared" si="3"/>
        <v>Complete</v>
      </c>
      <c r="I157" s="39" t="s">
        <v>510</v>
      </c>
    </row>
    <row r="158" spans="2:9" ht="15" customHeight="1" x14ac:dyDescent="0.25">
      <c r="B158" s="37" t="s">
        <v>508</v>
      </c>
      <c r="C158" s="26">
        <v>3</v>
      </c>
      <c r="D158" s="38" t="s">
        <v>2649</v>
      </c>
      <c r="E158" s="59"/>
      <c r="F158" s="59" t="str">
        <f>IF(INDEX(I.Production.P3C2,3)="","",INDEX(I.Production.P3C2,3))</f>
        <v/>
      </c>
      <c r="G158" s="59"/>
      <c r="H158" s="26" t="str">
        <f t="shared" si="3"/>
        <v>Complete</v>
      </c>
      <c r="I158" s="39" t="s">
        <v>511</v>
      </c>
    </row>
    <row r="159" spans="2:9" ht="15" customHeight="1" x14ac:dyDescent="0.25">
      <c r="B159" s="37" t="s">
        <v>508</v>
      </c>
      <c r="C159" s="26">
        <v>4</v>
      </c>
      <c r="D159" s="38" t="s">
        <v>2649</v>
      </c>
      <c r="E159" s="59"/>
      <c r="F159" s="59" t="str">
        <f>IF(INDEX(I.Production.P3C2,4)="","",INDEX(I.Production.P3C2,4))</f>
        <v/>
      </c>
      <c r="G159" s="59"/>
      <c r="H159" s="26" t="str">
        <f t="shared" si="3"/>
        <v>Complete</v>
      </c>
      <c r="I159" s="39" t="s">
        <v>512</v>
      </c>
    </row>
    <row r="160" spans="2:9" ht="15" customHeight="1" x14ac:dyDescent="0.25">
      <c r="B160" s="37" t="s">
        <v>508</v>
      </c>
      <c r="C160" s="26">
        <v>5</v>
      </c>
      <c r="D160" s="38" t="s">
        <v>2649</v>
      </c>
      <c r="E160" s="59"/>
      <c r="F160" s="59" t="str">
        <f>IF(INDEX(I.Production.P3C2,5)="","",INDEX(I.Production.P3C2,5))</f>
        <v/>
      </c>
      <c r="G160" s="59"/>
      <c r="H160" s="26" t="str">
        <f t="shared" si="3"/>
        <v>Complete</v>
      </c>
      <c r="I160" s="39" t="s">
        <v>513</v>
      </c>
    </row>
    <row r="161" spans="2:9" ht="15" customHeight="1" x14ac:dyDescent="0.25">
      <c r="B161" s="37" t="s">
        <v>508</v>
      </c>
      <c r="C161" s="26">
        <v>6</v>
      </c>
      <c r="D161" s="38" t="s">
        <v>2649</v>
      </c>
      <c r="E161" s="59"/>
      <c r="F161" s="59" t="str">
        <f>IF(INDEX(I.Production.P3C2,6)="","",INDEX(I.Production.P3C2,6))</f>
        <v/>
      </c>
      <c r="G161" s="59"/>
      <c r="H161" s="26" t="str">
        <f t="shared" si="3"/>
        <v>Complete</v>
      </c>
      <c r="I161" s="39" t="s">
        <v>514</v>
      </c>
    </row>
    <row r="162" spans="2:9" ht="15" customHeight="1" x14ac:dyDescent="0.25">
      <c r="B162" s="37" t="s">
        <v>508</v>
      </c>
      <c r="C162" s="26">
        <v>7</v>
      </c>
      <c r="D162" s="38" t="s">
        <v>2649</v>
      </c>
      <c r="E162" s="59"/>
      <c r="F162" s="59" t="str">
        <f>IF(INDEX(I.Production.P3C2,7)="","",INDEX(I.Production.P3C2,7))</f>
        <v/>
      </c>
      <c r="G162" s="59"/>
      <c r="H162" s="26" t="str">
        <f t="shared" si="3"/>
        <v>Complete</v>
      </c>
      <c r="I162" s="39" t="s">
        <v>515</v>
      </c>
    </row>
    <row r="163" spans="2:9" ht="15" customHeight="1" x14ac:dyDescent="0.25">
      <c r="B163" s="37" t="s">
        <v>508</v>
      </c>
      <c r="C163" s="26">
        <v>8</v>
      </c>
      <c r="D163" s="38" t="s">
        <v>2649</v>
      </c>
      <c r="E163" s="59"/>
      <c r="F163" s="59" t="str">
        <f>IF(INDEX(I.Production.P3C2,8)="","",INDEX(I.Production.P3C2,8))</f>
        <v/>
      </c>
      <c r="G163" s="59"/>
      <c r="H163" s="26" t="str">
        <f t="shared" si="3"/>
        <v>Complete</v>
      </c>
      <c r="I163" s="39" t="s">
        <v>516</v>
      </c>
    </row>
    <row r="164" spans="2:9" ht="15" customHeight="1" x14ac:dyDescent="0.25">
      <c r="B164" s="37" t="s">
        <v>508</v>
      </c>
      <c r="C164" s="26">
        <v>9</v>
      </c>
      <c r="D164" s="38" t="s">
        <v>2649</v>
      </c>
      <c r="E164" s="59"/>
      <c r="F164" s="59" t="str">
        <f>IF(INDEX(I.Production.P3C2,9)="","",INDEX(I.Production.P3C2,9))</f>
        <v/>
      </c>
      <c r="G164" s="59"/>
      <c r="H164" s="26" t="str">
        <f t="shared" si="3"/>
        <v>Complete</v>
      </c>
      <c r="I164" s="39" t="s">
        <v>517</v>
      </c>
    </row>
    <row r="165" spans="2:9" ht="15" customHeight="1" x14ac:dyDescent="0.25">
      <c r="B165" s="37" t="s">
        <v>508</v>
      </c>
      <c r="C165" s="26">
        <v>10</v>
      </c>
      <c r="D165" s="38" t="s">
        <v>2649</v>
      </c>
      <c r="E165" s="59"/>
      <c r="F165" s="59" t="str">
        <f>IF(INDEX(I.Production.P3C2,10)="","",INDEX(I.Production.P3C2,10))</f>
        <v/>
      </c>
      <c r="G165" s="59"/>
      <c r="H165" s="26" t="str">
        <f t="shared" si="3"/>
        <v>Complete</v>
      </c>
      <c r="I165" s="39" t="s">
        <v>518</v>
      </c>
    </row>
    <row r="166" spans="2:9" ht="15" customHeight="1" x14ac:dyDescent="0.25">
      <c r="B166" s="37" t="s">
        <v>508</v>
      </c>
      <c r="C166" s="26">
        <v>11</v>
      </c>
      <c r="D166" s="38" t="s">
        <v>2649</v>
      </c>
      <c r="E166" s="59"/>
      <c r="F166" s="59" t="str">
        <f>IF(INDEX(I.Production.P3C2,11)="","",INDEX(I.Production.P3C2,11))</f>
        <v/>
      </c>
      <c r="G166" s="59"/>
      <c r="H166" s="26" t="str">
        <f t="shared" si="3"/>
        <v>Complete</v>
      </c>
      <c r="I166" s="39" t="s">
        <v>519</v>
      </c>
    </row>
    <row r="167" spans="2:9" ht="15" customHeight="1" x14ac:dyDescent="0.25">
      <c r="B167" s="37" t="s">
        <v>508</v>
      </c>
      <c r="C167" s="26">
        <v>12</v>
      </c>
      <c r="D167" s="38" t="s">
        <v>2649</v>
      </c>
      <c r="E167" s="59"/>
      <c r="F167" s="59" t="str">
        <f>IF(INDEX(I.Production.P3C2,12)="","",INDEX(I.Production.P3C2,12))</f>
        <v/>
      </c>
      <c r="G167" s="59"/>
      <c r="H167" s="26" t="str">
        <f t="shared" si="3"/>
        <v>Complete</v>
      </c>
      <c r="I167" s="39" t="s">
        <v>520</v>
      </c>
    </row>
    <row r="168" spans="2:9" ht="15" customHeight="1" x14ac:dyDescent="0.25">
      <c r="B168" s="37" t="s">
        <v>508</v>
      </c>
      <c r="C168" s="26">
        <v>13</v>
      </c>
      <c r="D168" s="38" t="s">
        <v>2649</v>
      </c>
      <c r="E168" s="59"/>
      <c r="F168" s="59" t="str">
        <f>IF(INDEX(I.Production.P3C2,13)="","",INDEX(I.Production.P3C2,13))</f>
        <v/>
      </c>
      <c r="G168" s="59"/>
      <c r="H168" s="26" t="str">
        <f t="shared" si="3"/>
        <v>Complete</v>
      </c>
      <c r="I168" s="39" t="s">
        <v>521</v>
      </c>
    </row>
    <row r="169" spans="2:9" ht="15" customHeight="1" x14ac:dyDescent="0.25">
      <c r="B169" s="37" t="s">
        <v>508</v>
      </c>
      <c r="C169" s="26">
        <v>14</v>
      </c>
      <c r="D169" s="38" t="s">
        <v>2649</v>
      </c>
      <c r="E169" s="59"/>
      <c r="F169" s="59" t="str">
        <f>IF(INDEX(I.Production.P3C2,14)="","",INDEX(I.Production.P3C2,14))</f>
        <v/>
      </c>
      <c r="G169" s="59"/>
      <c r="H169" s="26" t="str">
        <f t="shared" si="3"/>
        <v>Complete</v>
      </c>
      <c r="I169" s="39" t="s">
        <v>522</v>
      </c>
    </row>
    <row r="170" spans="2:9" ht="15" customHeight="1" x14ac:dyDescent="0.25">
      <c r="B170" s="37" t="s">
        <v>508</v>
      </c>
      <c r="C170" s="26">
        <v>15</v>
      </c>
      <c r="D170" s="38" t="s">
        <v>2649</v>
      </c>
      <c r="E170" s="59"/>
      <c r="F170" s="59" t="str">
        <f>IF(INDEX(I.Production.P3C2,15)="","",INDEX(I.Production.P3C2,15))</f>
        <v/>
      </c>
      <c r="G170" s="59"/>
      <c r="H170" s="26" t="str">
        <f t="shared" si="3"/>
        <v>Complete</v>
      </c>
      <c r="I170" s="39" t="s">
        <v>523</v>
      </c>
    </row>
    <row r="171" spans="2:9" ht="15" customHeight="1" x14ac:dyDescent="0.25">
      <c r="B171" s="37" t="s">
        <v>508</v>
      </c>
      <c r="C171" s="26">
        <v>16</v>
      </c>
      <c r="D171" s="38" t="s">
        <v>2649</v>
      </c>
      <c r="E171" s="59"/>
      <c r="F171" s="59" t="str">
        <f>IF(INDEX(I.Production.P3C2,16)="","",INDEX(I.Production.P3C2,16))</f>
        <v/>
      </c>
      <c r="G171" s="59"/>
      <c r="H171" s="26" t="str">
        <f t="shared" si="3"/>
        <v>Complete</v>
      </c>
      <c r="I171" s="39" t="s">
        <v>524</v>
      </c>
    </row>
    <row r="172" spans="2:9" ht="15" customHeight="1" x14ac:dyDescent="0.25">
      <c r="B172" s="37" t="s">
        <v>508</v>
      </c>
      <c r="C172" s="26">
        <v>17</v>
      </c>
      <c r="D172" s="38" t="s">
        <v>2649</v>
      </c>
      <c r="E172" s="59"/>
      <c r="F172" s="59" t="str">
        <f>IF(INDEX(I.Production.P3C2,17)="","",INDEX(I.Production.P3C2,17))</f>
        <v/>
      </c>
      <c r="G172" s="59"/>
      <c r="H172" s="26" t="str">
        <f t="shared" si="3"/>
        <v>Complete</v>
      </c>
      <c r="I172" s="39" t="s">
        <v>525</v>
      </c>
    </row>
    <row r="173" spans="2:9" ht="15" customHeight="1" x14ac:dyDescent="0.25">
      <c r="B173" s="37" t="s">
        <v>508</v>
      </c>
      <c r="C173" s="26">
        <v>18</v>
      </c>
      <c r="D173" s="38" t="s">
        <v>2649</v>
      </c>
      <c r="E173" s="59"/>
      <c r="F173" s="59" t="str">
        <f>IF(INDEX(I.Production.P3C2,18)="","",INDEX(I.Production.P3C2,18))</f>
        <v/>
      </c>
      <c r="G173" s="59"/>
      <c r="H173" s="26" t="str">
        <f t="shared" si="3"/>
        <v>Complete</v>
      </c>
      <c r="I173" s="39" t="s">
        <v>526</v>
      </c>
    </row>
    <row r="174" spans="2:9" ht="15" customHeight="1" x14ac:dyDescent="0.25">
      <c r="B174" s="37" t="s">
        <v>508</v>
      </c>
      <c r="C174" s="26">
        <v>19</v>
      </c>
      <c r="D174" s="38" t="s">
        <v>2649</v>
      </c>
      <c r="E174" s="59"/>
      <c r="F174" s="59" t="str">
        <f>IF(INDEX(I.Production.P3C2,19)="","",INDEX(I.Production.P3C2,19))</f>
        <v/>
      </c>
      <c r="G174" s="59"/>
      <c r="H174" s="26" t="str">
        <f t="shared" si="3"/>
        <v>Complete</v>
      </c>
      <c r="I174" s="39" t="s">
        <v>527</v>
      </c>
    </row>
    <row r="175" spans="2:9" ht="15" customHeight="1" x14ac:dyDescent="0.25">
      <c r="B175" s="37" t="s">
        <v>508</v>
      </c>
      <c r="C175" s="26">
        <v>20</v>
      </c>
      <c r="D175" s="38" t="s">
        <v>2649</v>
      </c>
      <c r="E175" s="59"/>
      <c r="F175" s="59" t="str">
        <f>IF(INDEX(I.Production.P3C2,20)="","",INDEX(I.Production.P3C2,20))</f>
        <v/>
      </c>
      <c r="G175" s="59"/>
      <c r="H175" s="26" t="str">
        <f t="shared" si="3"/>
        <v>Complete</v>
      </c>
      <c r="I175" s="39" t="s">
        <v>528</v>
      </c>
    </row>
    <row r="176" spans="2:9" ht="15" customHeight="1" x14ac:dyDescent="0.25">
      <c r="B176" s="40" t="s">
        <v>508</v>
      </c>
      <c r="C176" s="46">
        <v>21</v>
      </c>
      <c r="D176" s="44" t="s">
        <v>2649</v>
      </c>
      <c r="E176" s="63"/>
      <c r="F176" s="63" t="str">
        <f>IF(INDEX(I.Production.P3C2,21)="","",INDEX(I.Production.P3C2,21))</f>
        <v/>
      </c>
      <c r="G176" s="63"/>
      <c r="H176" s="46" t="str">
        <f t="shared" si="3"/>
        <v>Complete</v>
      </c>
      <c r="I176" s="47" t="s">
        <v>529</v>
      </c>
    </row>
    <row r="177" spans="2:9" ht="15" customHeight="1" x14ac:dyDescent="0.25">
      <c r="B177" s="37" t="s">
        <v>530</v>
      </c>
      <c r="C177" s="26">
        <v>1</v>
      </c>
      <c r="D177" s="38" t="s">
        <v>2650</v>
      </c>
      <c r="E177" s="59"/>
      <c r="F177" s="59" t="str">
        <f>IF(INDEX(I.Production.P3C3,1)="","",INDEX(I.Production.P3C3,1))</f>
        <v/>
      </c>
      <c r="G177" s="59"/>
      <c r="H177" s="26" t="str">
        <f>IF(I.Developer.P3=FALSE,"Complete",IF(I.Developer.P3C3=FALSE,"Complete",IF(I.Facility.StandardPart&lt;&gt;"Part 2","Complete",IF(F177="","Incomplete","Complete"))))</f>
        <v>Complete</v>
      </c>
      <c r="I177" s="39" t="s">
        <v>531</v>
      </c>
    </row>
    <row r="178" spans="2:9" ht="15" customHeight="1" x14ac:dyDescent="0.25">
      <c r="B178" s="37" t="s">
        <v>530</v>
      </c>
      <c r="C178" s="26">
        <v>2</v>
      </c>
      <c r="D178" s="38" t="s">
        <v>2650</v>
      </c>
      <c r="E178" s="59"/>
      <c r="F178" s="59" t="str">
        <f>IF(INDEX(I.Production.P3C3,2)="","",INDEX(I.Production.P3C3,2))</f>
        <v/>
      </c>
      <c r="G178" s="59"/>
      <c r="H178" s="26" t="str">
        <f>IF(I.Developer.P3=FALSE,"Complete",IF(I.Developer.P3C3=FALSE,"Complete",IF(I.Facility.StandardPart&lt;&gt;"Part 2","Complete",IF(F178="","Incomplete","Complete"))))</f>
        <v>Complete</v>
      </c>
      <c r="I178" s="39" t="s">
        <v>532</v>
      </c>
    </row>
    <row r="179" spans="2:9" ht="15" customHeight="1" x14ac:dyDescent="0.25">
      <c r="B179" s="37" t="s">
        <v>530</v>
      </c>
      <c r="C179" s="26">
        <v>3</v>
      </c>
      <c r="D179" s="38" t="s">
        <v>2650</v>
      </c>
      <c r="E179" s="59"/>
      <c r="F179" s="59" t="str">
        <f>IF(INDEX(I.Production.P3C3,3)="","",INDEX(I.Production.P3C3,3))</f>
        <v/>
      </c>
      <c r="G179" s="59"/>
      <c r="H179" s="26" t="str">
        <f>IF(I.Developer.P3=FALSE,"Complete",IF(I.Developer.P3C3=FALSE,"Complete",IF(I.Facility.StandardPart="Part 2","Complete",IF(F179="","Incomplete","Complete"))))</f>
        <v>Complete</v>
      </c>
      <c r="I179" s="39" t="s">
        <v>533</v>
      </c>
    </row>
    <row r="180" spans="2:9" ht="15" customHeight="1" x14ac:dyDescent="0.25">
      <c r="B180" s="37" t="s">
        <v>530</v>
      </c>
      <c r="C180" s="26">
        <v>4</v>
      </c>
      <c r="D180" s="38" t="s">
        <v>2650</v>
      </c>
      <c r="E180" s="59"/>
      <c r="F180" s="59" t="str">
        <f>IF(INDEX(I.Production.P3C3,4)="","",INDEX(I.Production.P3C3,4))</f>
        <v/>
      </c>
      <c r="G180" s="59"/>
      <c r="H180" s="26" t="str">
        <f>IF(I.Developer.P3=FALSE,"Complete",IF(I.Developer.P3C3=FALSE,"Complete",IF(I.Facility.StandardPart="Part 2","Complete",IF(F180="","Incomplete","Complete"))))</f>
        <v>Complete</v>
      </c>
      <c r="I180" s="39" t="s">
        <v>534</v>
      </c>
    </row>
    <row r="181" spans="2:9" ht="15" customHeight="1" x14ac:dyDescent="0.25">
      <c r="B181" s="40" t="s">
        <v>530</v>
      </c>
      <c r="C181" s="46">
        <v>5</v>
      </c>
      <c r="D181" s="44" t="s">
        <v>2650</v>
      </c>
      <c r="E181" s="63"/>
      <c r="F181" s="63" t="str">
        <f>IF(INDEX(I.Production.P3C3,5)="","",INDEX(I.Production.P3C3,5))</f>
        <v/>
      </c>
      <c r="G181" s="63"/>
      <c r="H181" s="46" t="str">
        <f>IF(I.Developer.P3=FALSE,"Complete",IF(I.Developer.P3C3=FALSE,"Complete",IF(I.Facility.StandardPart="Part 2","Complete",IF(F181="","Incomplete","Complete"))))</f>
        <v>Complete</v>
      </c>
      <c r="I181" s="47" t="s">
        <v>535</v>
      </c>
    </row>
    <row r="182" spans="2:9" ht="15" customHeight="1" x14ac:dyDescent="0.25">
      <c r="B182" s="37" t="s">
        <v>536</v>
      </c>
      <c r="C182" s="26">
        <v>1</v>
      </c>
      <c r="D182" s="38" t="s">
        <v>2651</v>
      </c>
      <c r="E182" s="59"/>
      <c r="F182" s="59" t="str">
        <f>IF(INDEX(I.Production.P3C4,1)="","",INDEX(I.Production.P3C4,1))</f>
        <v/>
      </c>
      <c r="G182" s="59"/>
      <c r="H182" s="26" t="str">
        <f>IF(I.Developer.P3=FALSE,"Complete",IF(I.Developer.P3C4=FALSE,"Complete",IF(F182="","Incomplete","Complete")))</f>
        <v>Complete</v>
      </c>
      <c r="I182" s="39" t="s">
        <v>537</v>
      </c>
    </row>
    <row r="183" spans="2:9" ht="15" customHeight="1" x14ac:dyDescent="0.25">
      <c r="B183" s="37" t="s">
        <v>536</v>
      </c>
      <c r="C183" s="26">
        <v>2</v>
      </c>
      <c r="D183" s="38" t="s">
        <v>2651</v>
      </c>
      <c r="E183" s="59"/>
      <c r="F183" s="59" t="str">
        <f>IF(INDEX(I.Production.P3C4,2)="","",INDEX(I.Production.P3C4,2))</f>
        <v/>
      </c>
      <c r="G183" s="59"/>
      <c r="H183" s="26" t="str">
        <f>IF(I.Developer.P3=FALSE,"Complete",IF(I.Developer.P3C4=FALSE,"Complete",IF(F183="","Incomplete","Complete")))</f>
        <v>Complete</v>
      </c>
      <c r="I183" s="39" t="s">
        <v>538</v>
      </c>
    </row>
    <row r="184" spans="2:9" ht="15" customHeight="1" x14ac:dyDescent="0.25">
      <c r="B184" s="40" t="s">
        <v>536</v>
      </c>
      <c r="C184" s="46">
        <v>3</v>
      </c>
      <c r="D184" s="44" t="s">
        <v>2651</v>
      </c>
      <c r="E184" s="63"/>
      <c r="F184" s="63" t="str">
        <f>IF(INDEX(I.Production.P3C4,3)="","",INDEX(I.Production.P3C4,3))</f>
        <v/>
      </c>
      <c r="G184" s="63"/>
      <c r="H184" s="46" t="str">
        <f>IF(I.Developer.P3=FALSE,"Complete",IF(I.Developer.P3C4=FALSE,"Complete",IF(F184="","Incomplete","Complete")))</f>
        <v>Complete</v>
      </c>
      <c r="I184" s="47" t="s">
        <v>539</v>
      </c>
    </row>
    <row r="185" spans="2:9" ht="15" customHeight="1" x14ac:dyDescent="0.25">
      <c r="B185" s="55" t="s">
        <v>540</v>
      </c>
      <c r="C185" s="56">
        <v>1</v>
      </c>
      <c r="D185" s="53" t="s">
        <v>2652</v>
      </c>
      <c r="E185" s="57"/>
      <c r="F185" s="57" t="str">
        <f>IF(I.Production.P4Quantity="","",I.Production.P4Quantity)</f>
        <v/>
      </c>
      <c r="G185" s="57"/>
      <c r="H185" s="56" t="str">
        <f>IF(I.Developer.P4=FALSE,"Complete",IF(I.Production.P4Quantity="","Incomplete","Complete"))</f>
        <v>Complete</v>
      </c>
      <c r="I185" s="58" t="s">
        <v>541</v>
      </c>
    </row>
    <row r="186" spans="2:9" ht="15" customHeight="1" x14ac:dyDescent="0.25">
      <c r="B186" s="37" t="s">
        <v>542</v>
      </c>
      <c r="C186" s="26">
        <v>1</v>
      </c>
      <c r="D186" s="38" t="s">
        <v>2653</v>
      </c>
      <c r="E186" s="59"/>
      <c r="F186" s="59" t="str">
        <f>IF(INDEX(I.Production.P4C1,1)="","",INDEX(I.Production.P4C1,1))</f>
        <v/>
      </c>
      <c r="G186" s="59"/>
      <c r="H186" s="26" t="str">
        <f>IF(I.Developer.P4=FALSE,"Complete",IF(I.Developer.P4C1=FALSE,"Complete",IF(I.Facility.StandardPart&lt;&gt;"Part 2","Complete",IF(F186="","Incomplete","Complete"))))</f>
        <v>Complete</v>
      </c>
      <c r="I186" s="39" t="s">
        <v>543</v>
      </c>
    </row>
    <row r="187" spans="2:9" ht="15" customHeight="1" x14ac:dyDescent="0.25">
      <c r="B187" s="37" t="s">
        <v>542</v>
      </c>
      <c r="C187" s="26">
        <v>2</v>
      </c>
      <c r="D187" s="38" t="s">
        <v>2653</v>
      </c>
      <c r="E187" s="59"/>
      <c r="F187" s="59" t="str">
        <f>IF(INDEX(I.Production.P4C1,2)="","",INDEX(I.Production.P4C1,2))</f>
        <v/>
      </c>
      <c r="G187" s="59"/>
      <c r="H187" s="26" t="str">
        <f>IF(I.Developer.P4=FALSE,"Complete",IF(I.Developer.P4C1=FALSE,"Complete",IF(I.Facility.StandardPart&lt;&gt;"Part 2","Complete",IF(I.Developer.P4C1V2=FALSE,"Complete",IF(F187="","Incomplete","Complete")))))</f>
        <v>Complete</v>
      </c>
      <c r="I187" s="39" t="s">
        <v>544</v>
      </c>
    </row>
    <row r="188" spans="2:9" ht="15" customHeight="1" x14ac:dyDescent="0.25">
      <c r="B188" s="37" t="s">
        <v>542</v>
      </c>
      <c r="C188" s="26">
        <v>3</v>
      </c>
      <c r="D188" s="38" t="s">
        <v>2653</v>
      </c>
      <c r="E188" s="59"/>
      <c r="F188" s="59" t="str">
        <f>IF(INDEX(I.Production.P4C1,3)="","",INDEX(I.Production.P4C1,3))</f>
        <v/>
      </c>
      <c r="G188" s="59"/>
      <c r="H188" s="26" t="str">
        <f>IF(I.Developer.P4=FALSE,"Complete",IF(I.Developer.P4C1=FALSE,"Complete",IF(I.Facility.StandardPart&lt;&gt;"Part 2","Complete",IF(I.Developer.P4C1V3=FALSE,"Complete",IF(F188="","Incomplete","Complete")))))</f>
        <v>Complete</v>
      </c>
      <c r="I188" s="39" t="s">
        <v>545</v>
      </c>
    </row>
    <row r="189" spans="2:9" ht="15" customHeight="1" x14ac:dyDescent="0.25">
      <c r="B189" s="37" t="s">
        <v>542</v>
      </c>
      <c r="C189" s="26">
        <v>4</v>
      </c>
      <c r="D189" s="38" t="s">
        <v>2653</v>
      </c>
      <c r="E189" s="59"/>
      <c r="F189" s="59" t="str">
        <f>IF(INDEX(I.Production.P4C1,4)="","",INDEX(I.Production.P4C1,4))</f>
        <v/>
      </c>
      <c r="G189" s="59"/>
      <c r="H189" s="26" t="str">
        <f>IF(I.Developer.P4=FALSE,"Complete",IF(I.Developer.P4C1=FALSE,"Complete",IF(I.Facility.StandardPart&lt;&gt;"Part 2","Complete",IF(I.Developer.P4C1V4=FALSE,"Complete",IF(F189="","Incomplete","Complete")))))</f>
        <v>Complete</v>
      </c>
      <c r="I189" s="39" t="s">
        <v>546</v>
      </c>
    </row>
    <row r="190" spans="2:9" ht="15" customHeight="1" x14ac:dyDescent="0.25">
      <c r="B190" s="37" t="s">
        <v>542</v>
      </c>
      <c r="C190" s="26">
        <v>5</v>
      </c>
      <c r="D190" s="38" t="s">
        <v>2653</v>
      </c>
      <c r="E190" s="59"/>
      <c r="F190" s="59" t="str">
        <f>IF(INDEX(I.Production.P4C1,5)="","",INDEX(I.Production.P4C1,5))</f>
        <v/>
      </c>
      <c r="G190" s="59"/>
      <c r="H190" s="26" t="str">
        <f>IF(I.Developer.P4=FALSE,"Complete",IF(I.Developer.P4C1=FALSE,"Complete",IF(I.Facility.StandardPart&lt;&gt;"Part 2","Complete",IF(I.Developer.P4C1V5=FALSE,"Complete",IF(F190="","Incomplete","Complete")))))</f>
        <v>Complete</v>
      </c>
      <c r="I190" s="39" t="s">
        <v>547</v>
      </c>
    </row>
    <row r="191" spans="2:9" ht="15" customHeight="1" x14ac:dyDescent="0.25">
      <c r="B191" s="37" t="s">
        <v>542</v>
      </c>
      <c r="C191" s="26">
        <v>6</v>
      </c>
      <c r="D191" s="38" t="s">
        <v>2653</v>
      </c>
      <c r="E191" s="59"/>
      <c r="F191" s="59" t="str">
        <f>IF(INDEX(I.Production.P4C1,6)="","",INDEX(I.Production.P4C1,6))</f>
        <v/>
      </c>
      <c r="G191" s="59"/>
      <c r="H191" s="26" t="str">
        <f>IF(I.Developer.P4=FALSE,"Complete",IF(I.Developer.P4C1=FALSE,"Complete",IF(I.Facility.StandardPart&lt;&gt;"Part 2","Complete",IF(I.Developer.P4C1V6=FALSE,"Complete",IF(F191="","Incomplete","Complete")))))</f>
        <v>Complete</v>
      </c>
      <c r="I191" s="39" t="s">
        <v>548</v>
      </c>
    </row>
    <row r="192" spans="2:9" ht="15" customHeight="1" x14ac:dyDescent="0.25">
      <c r="B192" s="37" t="s">
        <v>542</v>
      </c>
      <c r="C192" s="26">
        <v>7</v>
      </c>
      <c r="D192" s="38" t="s">
        <v>2653</v>
      </c>
      <c r="E192" s="59"/>
      <c r="F192" s="59" t="str">
        <f>IF(INDEX(I.Production.P4C1,7)="","",INDEX(I.Production.P4C1,7))</f>
        <v/>
      </c>
      <c r="G192" s="59"/>
      <c r="H192" s="26" t="str">
        <f>IF(I.Developer.P4=FALSE,"Complete",IF(I.Developer.P4C1=FALSE,"Complete",IF(I.Facility.StandardPart="Part 2","Complete",IF(F192="","Incomplete","Complete"))))</f>
        <v>Complete</v>
      </c>
      <c r="I192" s="39" t="s">
        <v>549</v>
      </c>
    </row>
    <row r="193" spans="2:9" ht="15" customHeight="1" x14ac:dyDescent="0.25">
      <c r="B193" s="37" t="s">
        <v>542</v>
      </c>
      <c r="C193" s="26">
        <v>8</v>
      </c>
      <c r="D193" s="38" t="s">
        <v>2653</v>
      </c>
      <c r="E193" s="59"/>
      <c r="F193" s="59" t="str">
        <f>IF(INDEX(I.Production.P4C1,8)="","",INDEX(I.Production.P4C1,8))</f>
        <v/>
      </c>
      <c r="G193" s="59"/>
      <c r="H193" s="26" t="str">
        <f>IF(I.Developer.P4=FALSE,"Complete",IF(I.Developer.P4C1=FALSE,"Complete",IF(I.Facility.StandardPart="Part 2","Complete",IF(F193="","Incomplete","Complete"))))</f>
        <v>Complete</v>
      </c>
      <c r="I193" s="39" t="s">
        <v>550</v>
      </c>
    </row>
    <row r="194" spans="2:9" ht="15" customHeight="1" x14ac:dyDescent="0.25">
      <c r="B194" s="40" t="s">
        <v>542</v>
      </c>
      <c r="C194" s="46">
        <v>9</v>
      </c>
      <c r="D194" s="44" t="s">
        <v>2653</v>
      </c>
      <c r="E194" s="63"/>
      <c r="F194" s="63" t="str">
        <f>IF(INDEX(I.Production.P4C1,9)="","",INDEX(I.Production.P4C1,9))</f>
        <v/>
      </c>
      <c r="G194" s="63"/>
      <c r="H194" s="46" t="str">
        <f>IF(I.Developer.P4=FALSE,"Complete",IF(I.Developer.P4C1=FALSE,"Complete",IF(I.Facility.StandardPart="Part 2","Complete",IF(F194="","Incomplete","Complete"))))</f>
        <v>Complete</v>
      </c>
      <c r="I194" s="47" t="s">
        <v>551</v>
      </c>
    </row>
    <row r="195" spans="2:9" ht="15" customHeight="1" x14ac:dyDescent="0.25">
      <c r="B195" s="37" t="s">
        <v>552</v>
      </c>
      <c r="C195" s="26">
        <v>1</v>
      </c>
      <c r="D195" s="38" t="s">
        <v>2654</v>
      </c>
      <c r="E195" s="59"/>
      <c r="F195" s="59" t="str">
        <f>IF(INDEX(I.Production.P4C2,1)="","",INDEX(I.Production.P4C2,1))</f>
        <v/>
      </c>
      <c r="G195" s="59"/>
      <c r="H195" s="26" t="str">
        <f t="shared" ref="H195:H215" si="4">IF(I.Developer.P4=FALSE,"Complete",IF(I.Developer.P4C2=FALSE,"Complete",IF(F195="","Incomplete","Complete")))</f>
        <v>Complete</v>
      </c>
      <c r="I195" s="39" t="s">
        <v>553</v>
      </c>
    </row>
    <row r="196" spans="2:9" ht="15" customHeight="1" x14ac:dyDescent="0.25">
      <c r="B196" s="37" t="s">
        <v>552</v>
      </c>
      <c r="C196" s="26">
        <v>2</v>
      </c>
      <c r="D196" s="38" t="s">
        <v>2654</v>
      </c>
      <c r="E196" s="59"/>
      <c r="F196" s="59" t="str">
        <f>IF(INDEX(I.Production.P4C2,2)="","",INDEX(I.Production.P4C2,2))</f>
        <v/>
      </c>
      <c r="G196" s="59"/>
      <c r="H196" s="26" t="str">
        <f t="shared" si="4"/>
        <v>Complete</v>
      </c>
      <c r="I196" s="39" t="s">
        <v>554</v>
      </c>
    </row>
    <row r="197" spans="2:9" ht="15" customHeight="1" x14ac:dyDescent="0.25">
      <c r="B197" s="37" t="s">
        <v>552</v>
      </c>
      <c r="C197" s="26">
        <v>3</v>
      </c>
      <c r="D197" s="38" t="s">
        <v>2654</v>
      </c>
      <c r="E197" s="59"/>
      <c r="F197" s="59" t="str">
        <f>IF(INDEX(I.Production.P4C2,3)="","",INDEX(I.Production.P4C2,3))</f>
        <v/>
      </c>
      <c r="G197" s="59"/>
      <c r="H197" s="26" t="str">
        <f t="shared" si="4"/>
        <v>Complete</v>
      </c>
      <c r="I197" s="39" t="s">
        <v>555</v>
      </c>
    </row>
    <row r="198" spans="2:9" ht="15" customHeight="1" x14ac:dyDescent="0.25">
      <c r="B198" s="37" t="s">
        <v>552</v>
      </c>
      <c r="C198" s="26">
        <v>4</v>
      </c>
      <c r="D198" s="38" t="s">
        <v>2654</v>
      </c>
      <c r="E198" s="59"/>
      <c r="F198" s="59" t="str">
        <f>IF(INDEX(I.Production.P4C2,4)="","",INDEX(I.Production.P4C2,4))</f>
        <v/>
      </c>
      <c r="G198" s="59"/>
      <c r="H198" s="26" t="str">
        <f t="shared" si="4"/>
        <v>Complete</v>
      </c>
      <c r="I198" s="39" t="s">
        <v>556</v>
      </c>
    </row>
    <row r="199" spans="2:9" ht="15" customHeight="1" x14ac:dyDescent="0.25">
      <c r="B199" s="37" t="s">
        <v>552</v>
      </c>
      <c r="C199" s="26">
        <v>5</v>
      </c>
      <c r="D199" s="38" t="s">
        <v>2654</v>
      </c>
      <c r="E199" s="59"/>
      <c r="F199" s="59" t="str">
        <f>IF(INDEX(I.Production.P4C2,5)="","",INDEX(I.Production.P4C2,5))</f>
        <v/>
      </c>
      <c r="G199" s="59"/>
      <c r="H199" s="26" t="str">
        <f t="shared" si="4"/>
        <v>Complete</v>
      </c>
      <c r="I199" s="39" t="s">
        <v>557</v>
      </c>
    </row>
    <row r="200" spans="2:9" ht="15" customHeight="1" x14ac:dyDescent="0.25">
      <c r="B200" s="37" t="s">
        <v>552</v>
      </c>
      <c r="C200" s="26">
        <v>6</v>
      </c>
      <c r="D200" s="38" t="s">
        <v>2654</v>
      </c>
      <c r="E200" s="59"/>
      <c r="F200" s="59" t="str">
        <f>IF(INDEX(I.Production.P4C2,6)="","",INDEX(I.Production.P4C2,6))</f>
        <v/>
      </c>
      <c r="G200" s="59"/>
      <c r="H200" s="26" t="str">
        <f t="shared" si="4"/>
        <v>Complete</v>
      </c>
      <c r="I200" s="39" t="s">
        <v>558</v>
      </c>
    </row>
    <row r="201" spans="2:9" ht="15" customHeight="1" x14ac:dyDescent="0.25">
      <c r="B201" s="37" t="s">
        <v>552</v>
      </c>
      <c r="C201" s="26">
        <v>7</v>
      </c>
      <c r="D201" s="38" t="s">
        <v>2654</v>
      </c>
      <c r="E201" s="59"/>
      <c r="F201" s="59" t="str">
        <f>IF(INDEX(I.Production.P4C2,7)="","",INDEX(I.Production.P4C2,7))</f>
        <v/>
      </c>
      <c r="G201" s="59"/>
      <c r="H201" s="26" t="str">
        <f t="shared" si="4"/>
        <v>Complete</v>
      </c>
      <c r="I201" s="39" t="s">
        <v>559</v>
      </c>
    </row>
    <row r="202" spans="2:9" ht="15" customHeight="1" x14ac:dyDescent="0.25">
      <c r="B202" s="37" t="s">
        <v>552</v>
      </c>
      <c r="C202" s="26">
        <v>8</v>
      </c>
      <c r="D202" s="38" t="s">
        <v>2654</v>
      </c>
      <c r="E202" s="59"/>
      <c r="F202" s="59" t="str">
        <f>IF(INDEX(I.Production.P4C2,8)="","",INDEX(I.Production.P4C2,8))</f>
        <v/>
      </c>
      <c r="G202" s="59"/>
      <c r="H202" s="26" t="str">
        <f t="shared" si="4"/>
        <v>Complete</v>
      </c>
      <c r="I202" s="39" t="s">
        <v>560</v>
      </c>
    </row>
    <row r="203" spans="2:9" ht="15" customHeight="1" x14ac:dyDescent="0.25">
      <c r="B203" s="37" t="s">
        <v>552</v>
      </c>
      <c r="C203" s="26">
        <v>9</v>
      </c>
      <c r="D203" s="38" t="s">
        <v>2654</v>
      </c>
      <c r="E203" s="59"/>
      <c r="F203" s="59" t="str">
        <f>IF(INDEX(I.Production.P4C2,9)="","",INDEX(I.Production.P4C2,9))</f>
        <v/>
      </c>
      <c r="G203" s="59"/>
      <c r="H203" s="26" t="str">
        <f t="shared" si="4"/>
        <v>Complete</v>
      </c>
      <c r="I203" s="39" t="s">
        <v>561</v>
      </c>
    </row>
    <row r="204" spans="2:9" ht="15" customHeight="1" x14ac:dyDescent="0.25">
      <c r="B204" s="37" t="s">
        <v>552</v>
      </c>
      <c r="C204" s="26">
        <v>10</v>
      </c>
      <c r="D204" s="38" t="s">
        <v>2654</v>
      </c>
      <c r="E204" s="59"/>
      <c r="F204" s="59" t="str">
        <f>IF(INDEX(I.Production.P4C2,10)="","",INDEX(I.Production.P4C2,10))</f>
        <v/>
      </c>
      <c r="G204" s="59"/>
      <c r="H204" s="26" t="str">
        <f t="shared" si="4"/>
        <v>Complete</v>
      </c>
      <c r="I204" s="39" t="s">
        <v>562</v>
      </c>
    </row>
    <row r="205" spans="2:9" ht="15" customHeight="1" x14ac:dyDescent="0.25">
      <c r="B205" s="37" t="s">
        <v>552</v>
      </c>
      <c r="C205" s="26">
        <v>11</v>
      </c>
      <c r="D205" s="38" t="s">
        <v>2654</v>
      </c>
      <c r="E205" s="59"/>
      <c r="F205" s="59" t="str">
        <f>IF(INDEX(I.Production.P4C2,11)="","",INDEX(I.Production.P4C2,11))</f>
        <v/>
      </c>
      <c r="G205" s="59"/>
      <c r="H205" s="26" t="str">
        <f t="shared" si="4"/>
        <v>Complete</v>
      </c>
      <c r="I205" s="39" t="s">
        <v>563</v>
      </c>
    </row>
    <row r="206" spans="2:9" ht="15" customHeight="1" x14ac:dyDescent="0.25">
      <c r="B206" s="37" t="s">
        <v>552</v>
      </c>
      <c r="C206" s="26">
        <v>12</v>
      </c>
      <c r="D206" s="38" t="s">
        <v>2654</v>
      </c>
      <c r="E206" s="59"/>
      <c r="F206" s="59" t="str">
        <f>IF(INDEX(I.Production.P4C2,12)="","",INDEX(I.Production.P4C2,12))</f>
        <v/>
      </c>
      <c r="G206" s="59"/>
      <c r="H206" s="26" t="str">
        <f t="shared" si="4"/>
        <v>Complete</v>
      </c>
      <c r="I206" s="39" t="s">
        <v>564</v>
      </c>
    </row>
    <row r="207" spans="2:9" ht="15" customHeight="1" x14ac:dyDescent="0.25">
      <c r="B207" s="37" t="s">
        <v>552</v>
      </c>
      <c r="C207" s="26">
        <v>13</v>
      </c>
      <c r="D207" s="38" t="s">
        <v>2654</v>
      </c>
      <c r="E207" s="59"/>
      <c r="F207" s="59" t="str">
        <f>IF(INDEX(I.Production.P4C2,13)="","",INDEX(I.Production.P4C2,13))</f>
        <v/>
      </c>
      <c r="G207" s="59"/>
      <c r="H207" s="26" t="str">
        <f t="shared" si="4"/>
        <v>Complete</v>
      </c>
      <c r="I207" s="39" t="s">
        <v>565</v>
      </c>
    </row>
    <row r="208" spans="2:9" ht="15" customHeight="1" x14ac:dyDescent="0.25">
      <c r="B208" s="37" t="s">
        <v>552</v>
      </c>
      <c r="C208" s="26">
        <v>14</v>
      </c>
      <c r="D208" s="38" t="s">
        <v>2654</v>
      </c>
      <c r="E208" s="59"/>
      <c r="F208" s="59" t="str">
        <f>IF(INDEX(I.Production.P4C2,14)="","",INDEX(I.Production.P4C2,14))</f>
        <v/>
      </c>
      <c r="G208" s="59"/>
      <c r="H208" s="26" t="str">
        <f t="shared" si="4"/>
        <v>Complete</v>
      </c>
      <c r="I208" s="39" t="s">
        <v>566</v>
      </c>
    </row>
    <row r="209" spans="2:9" ht="15" customHeight="1" x14ac:dyDescent="0.25">
      <c r="B209" s="37" t="s">
        <v>552</v>
      </c>
      <c r="C209" s="26">
        <v>15</v>
      </c>
      <c r="D209" s="38" t="s">
        <v>2654</v>
      </c>
      <c r="E209" s="59"/>
      <c r="F209" s="59" t="str">
        <f>IF(INDEX(I.Production.P4C2,15)="","",INDEX(I.Production.P4C2,15))</f>
        <v/>
      </c>
      <c r="G209" s="59"/>
      <c r="H209" s="26" t="str">
        <f t="shared" si="4"/>
        <v>Complete</v>
      </c>
      <c r="I209" s="39" t="s">
        <v>567</v>
      </c>
    </row>
    <row r="210" spans="2:9" ht="15" customHeight="1" x14ac:dyDescent="0.25">
      <c r="B210" s="37" t="s">
        <v>552</v>
      </c>
      <c r="C210" s="26">
        <v>16</v>
      </c>
      <c r="D210" s="38" t="s">
        <v>2654</v>
      </c>
      <c r="E210" s="59"/>
      <c r="F210" s="59" t="str">
        <f>IF(INDEX(I.Production.P4C2,16)="","",INDEX(I.Production.P4C2,16))</f>
        <v/>
      </c>
      <c r="G210" s="59"/>
      <c r="H210" s="26" t="str">
        <f t="shared" si="4"/>
        <v>Complete</v>
      </c>
      <c r="I210" s="39" t="s">
        <v>568</v>
      </c>
    </row>
    <row r="211" spans="2:9" ht="15" customHeight="1" x14ac:dyDescent="0.25">
      <c r="B211" s="37" t="s">
        <v>552</v>
      </c>
      <c r="C211" s="26">
        <v>17</v>
      </c>
      <c r="D211" s="38" t="s">
        <v>2654</v>
      </c>
      <c r="E211" s="59"/>
      <c r="F211" s="59" t="str">
        <f>IF(INDEX(I.Production.P4C2,17)="","",INDEX(I.Production.P4C2,17))</f>
        <v/>
      </c>
      <c r="G211" s="59"/>
      <c r="H211" s="26" t="str">
        <f t="shared" si="4"/>
        <v>Complete</v>
      </c>
      <c r="I211" s="39" t="s">
        <v>569</v>
      </c>
    </row>
    <row r="212" spans="2:9" ht="15" customHeight="1" x14ac:dyDescent="0.25">
      <c r="B212" s="37" t="s">
        <v>552</v>
      </c>
      <c r="C212" s="26">
        <v>18</v>
      </c>
      <c r="D212" s="38" t="s">
        <v>2654</v>
      </c>
      <c r="E212" s="59"/>
      <c r="F212" s="59" t="str">
        <f>IF(INDEX(I.Production.P4C2,18)="","",INDEX(I.Production.P4C2,18))</f>
        <v/>
      </c>
      <c r="G212" s="59"/>
      <c r="H212" s="26" t="str">
        <f t="shared" si="4"/>
        <v>Complete</v>
      </c>
      <c r="I212" s="39" t="s">
        <v>570</v>
      </c>
    </row>
    <row r="213" spans="2:9" ht="15" customHeight="1" x14ac:dyDescent="0.25">
      <c r="B213" s="37" t="s">
        <v>552</v>
      </c>
      <c r="C213" s="26">
        <v>19</v>
      </c>
      <c r="D213" s="38" t="s">
        <v>2654</v>
      </c>
      <c r="E213" s="59"/>
      <c r="F213" s="59" t="str">
        <f>IF(INDEX(I.Production.P4C2,19)="","",INDEX(I.Production.P4C2,19))</f>
        <v/>
      </c>
      <c r="G213" s="59"/>
      <c r="H213" s="26" t="str">
        <f t="shared" si="4"/>
        <v>Complete</v>
      </c>
      <c r="I213" s="39" t="s">
        <v>571</v>
      </c>
    </row>
    <row r="214" spans="2:9" ht="15" customHeight="1" x14ac:dyDescent="0.25">
      <c r="B214" s="37" t="s">
        <v>552</v>
      </c>
      <c r="C214" s="26">
        <v>20</v>
      </c>
      <c r="D214" s="38" t="s">
        <v>2654</v>
      </c>
      <c r="E214" s="59"/>
      <c r="F214" s="59" t="str">
        <f>IF(INDEX(I.Production.P4C2,20)="","",INDEX(I.Production.P4C2,20))</f>
        <v/>
      </c>
      <c r="G214" s="59"/>
      <c r="H214" s="26" t="str">
        <f t="shared" si="4"/>
        <v>Complete</v>
      </c>
      <c r="I214" s="39" t="s">
        <v>572</v>
      </c>
    </row>
    <row r="215" spans="2:9" ht="15" customHeight="1" x14ac:dyDescent="0.25">
      <c r="B215" s="40" t="s">
        <v>552</v>
      </c>
      <c r="C215" s="46">
        <v>21</v>
      </c>
      <c r="D215" s="44" t="s">
        <v>2654</v>
      </c>
      <c r="E215" s="63"/>
      <c r="F215" s="63" t="str">
        <f>IF(INDEX(I.Production.P4C2,21)="","",INDEX(I.Production.P4C2,21))</f>
        <v/>
      </c>
      <c r="G215" s="63"/>
      <c r="H215" s="46" t="str">
        <f t="shared" si="4"/>
        <v>Complete</v>
      </c>
      <c r="I215" s="47" t="s">
        <v>573</v>
      </c>
    </row>
    <row r="216" spans="2:9" ht="15" customHeight="1" x14ac:dyDescent="0.25">
      <c r="B216" s="37" t="s">
        <v>574</v>
      </c>
      <c r="C216" s="26">
        <v>1</v>
      </c>
      <c r="D216" s="38" t="s">
        <v>2655</v>
      </c>
      <c r="E216" s="59"/>
      <c r="F216" s="59" t="str">
        <f>IF(INDEX(I.Production.P4C3,1)="","",INDEX(I.Production.P4C3,1))</f>
        <v/>
      </c>
      <c r="G216" s="59"/>
      <c r="H216" s="26" t="str">
        <f>IF(I.Developer.P4=FALSE,"Complete",IF(I.Developer.P4C3=FALSE,"Complete",IF(I.Facility.StandardPart&lt;&gt;"Part 2","Complete",IF(F216="","Incomplete","Complete"))))</f>
        <v>Complete</v>
      </c>
      <c r="I216" s="39" t="s">
        <v>575</v>
      </c>
    </row>
    <row r="217" spans="2:9" ht="15" customHeight="1" x14ac:dyDescent="0.25">
      <c r="B217" s="37" t="s">
        <v>574</v>
      </c>
      <c r="C217" s="26">
        <v>2</v>
      </c>
      <c r="D217" s="38" t="s">
        <v>2655</v>
      </c>
      <c r="E217" s="59"/>
      <c r="F217" s="59" t="str">
        <f>IF(INDEX(I.Production.P4C3,2)="","",INDEX(I.Production.P4C3,2))</f>
        <v/>
      </c>
      <c r="G217" s="59"/>
      <c r="H217" s="26" t="str">
        <f>IF(I.Developer.P4=FALSE,"Complete",IF(I.Developer.P4C3=FALSE,"Complete",IF(I.Facility.StandardPart&lt;&gt;"Part 2","Complete",IF(F217="","Incomplete","Complete"))))</f>
        <v>Complete</v>
      </c>
      <c r="I217" s="39" t="s">
        <v>576</v>
      </c>
    </row>
    <row r="218" spans="2:9" ht="15" customHeight="1" x14ac:dyDescent="0.25">
      <c r="B218" s="37" t="s">
        <v>574</v>
      </c>
      <c r="C218" s="26">
        <v>3</v>
      </c>
      <c r="D218" s="38" t="s">
        <v>2655</v>
      </c>
      <c r="E218" s="59"/>
      <c r="F218" s="59" t="str">
        <f>IF(INDEX(I.Production.P4C3,3)="","",INDEX(I.Production.P4C3,3))</f>
        <v/>
      </c>
      <c r="G218" s="59"/>
      <c r="H218" s="26" t="str">
        <f>IF(I.Developer.P4=FALSE,"Complete",IF(I.Developer.P4C3=FALSE,"Complete",IF(I.Facility.StandardPart="Part 2","Complete",IF(F218="","Incomplete","Complete"))))</f>
        <v>Complete</v>
      </c>
      <c r="I218" s="39" t="s">
        <v>577</v>
      </c>
    </row>
    <row r="219" spans="2:9" ht="15" customHeight="1" x14ac:dyDescent="0.25">
      <c r="B219" s="37" t="s">
        <v>574</v>
      </c>
      <c r="C219" s="26">
        <v>4</v>
      </c>
      <c r="D219" s="38" t="s">
        <v>2655</v>
      </c>
      <c r="E219" s="59"/>
      <c r="F219" s="59" t="str">
        <f>IF(INDEX(I.Production.P4C3,4)="","",INDEX(I.Production.P4C3,4))</f>
        <v/>
      </c>
      <c r="G219" s="59"/>
      <c r="H219" s="26" t="str">
        <f>IF(I.Developer.P4=FALSE,"Complete",IF(I.Developer.P4C3=FALSE,"Complete",IF(I.Facility.StandardPart="Part 2","Complete",IF(F219="","Incomplete","Complete"))))</f>
        <v>Complete</v>
      </c>
      <c r="I219" s="39" t="s">
        <v>578</v>
      </c>
    </row>
    <row r="220" spans="2:9" ht="15" customHeight="1" x14ac:dyDescent="0.25">
      <c r="B220" s="40" t="s">
        <v>574</v>
      </c>
      <c r="C220" s="46">
        <v>5</v>
      </c>
      <c r="D220" s="44" t="s">
        <v>2655</v>
      </c>
      <c r="E220" s="63"/>
      <c r="F220" s="63" t="str">
        <f>IF(INDEX(I.Production.P4C3,5)="","",INDEX(I.Production.P4C3,5))</f>
        <v/>
      </c>
      <c r="G220" s="63"/>
      <c r="H220" s="46" t="str">
        <f>IF(I.Developer.P4=FALSE,"Complete",IF(I.Developer.P4C3=FALSE,"Complete",IF(I.Facility.StandardPart="Part 2","Complete",IF(F220="","Incomplete","Complete"))))</f>
        <v>Complete</v>
      </c>
      <c r="I220" s="47" t="s">
        <v>579</v>
      </c>
    </row>
    <row r="221" spans="2:9" ht="15" customHeight="1" x14ac:dyDescent="0.25">
      <c r="B221" s="37" t="s">
        <v>580</v>
      </c>
      <c r="C221" s="26">
        <v>1</v>
      </c>
      <c r="D221" s="38" t="s">
        <v>2656</v>
      </c>
      <c r="E221" s="59"/>
      <c r="F221" s="59" t="str">
        <f>IF(INDEX(I.Production.P4C4,1)="","",INDEX(I.Production.P4C4,1))</f>
        <v/>
      </c>
      <c r="G221" s="59"/>
      <c r="H221" s="26" t="str">
        <f>IF(I.Developer.P4=FALSE,"Complete",IF(I.Developer.P4C4=FALSE,"Complete",IF(F221="","Incomplete","Complete")))</f>
        <v>Complete</v>
      </c>
      <c r="I221" s="39" t="s">
        <v>581</v>
      </c>
    </row>
    <row r="222" spans="2:9" ht="15" customHeight="1" x14ac:dyDescent="0.25">
      <c r="B222" s="37" t="s">
        <v>580</v>
      </c>
      <c r="C222" s="26">
        <v>2</v>
      </c>
      <c r="D222" s="38" t="s">
        <v>2656</v>
      </c>
      <c r="E222" s="59"/>
      <c r="F222" s="59" t="str">
        <f>IF(INDEX(I.Production.P4C4,2)="","",INDEX(I.Production.P4C4,2))</f>
        <v/>
      </c>
      <c r="G222" s="59"/>
      <c r="H222" s="26" t="str">
        <f>IF(I.Developer.P4=FALSE,"Complete",IF(I.Developer.P4C4=FALSE,"Complete",IF(F222="","Incomplete","Complete")))</f>
        <v>Complete</v>
      </c>
      <c r="I222" s="39" t="s">
        <v>582</v>
      </c>
    </row>
    <row r="223" spans="2:9" ht="15" customHeight="1" x14ac:dyDescent="0.25">
      <c r="B223" s="40" t="s">
        <v>580</v>
      </c>
      <c r="C223" s="46">
        <v>3</v>
      </c>
      <c r="D223" s="44" t="s">
        <v>2656</v>
      </c>
      <c r="E223" s="63"/>
      <c r="F223" s="63" t="str">
        <f>IF(INDEX(I.Production.P4C4,3)="","",INDEX(I.Production.P4C4,3))</f>
        <v/>
      </c>
      <c r="G223" s="63"/>
      <c r="H223" s="46" t="str">
        <f>IF(I.Developer.P4=FALSE,"Complete",IF(I.Developer.P4C4=FALSE,"Complete",IF(F223="","Incomplete","Complete")))</f>
        <v>Complete</v>
      </c>
      <c r="I223" s="47" t="s">
        <v>583</v>
      </c>
    </row>
    <row r="224" spans="2:9" ht="15" customHeight="1" x14ac:dyDescent="0.25">
      <c r="B224" s="37" t="s">
        <v>584</v>
      </c>
      <c r="C224" s="26">
        <v>1</v>
      </c>
      <c r="D224" s="38" t="s">
        <v>2657</v>
      </c>
      <c r="E224" s="59"/>
      <c r="F224" s="59" t="str">
        <f>IF(INDEX(I.Electricity.P1C1,1)="","",INDEX(I.Electricity.P1C1,1))</f>
        <v/>
      </c>
      <c r="G224" s="59"/>
      <c r="H224" s="26" t="str">
        <f>IF(I.Developer.P1=FALSE,"Complete",IF(I.Product.P1Electricity&lt;&gt;"Yes","Complete",IF(I.Developer.P1C1=FALSE,"Complete",IF(I.Facility.StandardPart&lt;&gt;"Part 2","Complete",IF(F224="","Incomplete","Complete")))))</f>
        <v>Complete</v>
      </c>
      <c r="I224" s="39" t="s">
        <v>301</v>
      </c>
    </row>
    <row r="225" spans="2:9" ht="15" customHeight="1" x14ac:dyDescent="0.25">
      <c r="B225" s="37" t="s">
        <v>584</v>
      </c>
      <c r="C225" s="26">
        <v>2</v>
      </c>
      <c r="D225" s="38" t="s">
        <v>2657</v>
      </c>
      <c r="E225" s="59"/>
      <c r="F225" s="59" t="str">
        <f>IF(INDEX(I.Electricity.P1C1,2)="","",INDEX(I.Electricity.P1C1,2))</f>
        <v/>
      </c>
      <c r="G225" s="59"/>
      <c r="H225" s="26" t="str">
        <f>IF(I.Developer.P1=FALSE,"Complete",IF(I.Product.P1Electricity&lt;&gt;"Yes","Complete",IF(I.Developer.P1C1=FALSE,"Complete",IF(I.Facility.StandardPart&lt;&gt;"Part 2","Complete",IF(I.Developer.P1C1V2=FALSE,"Complete",IF(F225="","Incomplete","Complete"))))))</f>
        <v>Complete</v>
      </c>
      <c r="I225" s="39" t="s">
        <v>304</v>
      </c>
    </row>
    <row r="226" spans="2:9" ht="15" customHeight="1" x14ac:dyDescent="0.25">
      <c r="B226" s="37" t="s">
        <v>584</v>
      </c>
      <c r="C226" s="26">
        <v>3</v>
      </c>
      <c r="D226" s="38" t="s">
        <v>2657</v>
      </c>
      <c r="E226" s="59"/>
      <c r="F226" s="59" t="str">
        <f>IF(INDEX(I.Electricity.P1C1,3)="","",INDEX(I.Electricity.P1C1,3))</f>
        <v/>
      </c>
      <c r="G226" s="59"/>
      <c r="H226" s="26" t="str">
        <f>IF(I.Developer.P1=FALSE,"Complete",IF(I.Product.P1Electricity&lt;&gt;"Yes","Complete",IF(I.Developer.P1C1=FALSE,"Complete",IF(I.Facility.StandardPart&lt;&gt;"Part 2","Complete",IF(I.Developer.P1C1V3=FALSE,"Complete",IF(F226="","Incomplete","Complete"))))))</f>
        <v>Complete</v>
      </c>
      <c r="I226" s="39" t="s">
        <v>307</v>
      </c>
    </row>
    <row r="227" spans="2:9" ht="15" customHeight="1" x14ac:dyDescent="0.25">
      <c r="B227" s="37" t="s">
        <v>584</v>
      </c>
      <c r="C227" s="26">
        <v>4</v>
      </c>
      <c r="D227" s="38" t="s">
        <v>2657</v>
      </c>
      <c r="E227" s="59"/>
      <c r="F227" s="59" t="str">
        <f>IF(INDEX(I.Electricity.P1C1,4)="","",INDEX(I.Electricity.P1C1,4))</f>
        <v/>
      </c>
      <c r="G227" s="59"/>
      <c r="H227" s="26" t="str">
        <f>IF(I.Developer.P1=FALSE,"Complete",IF(I.Product.P1Electricity&lt;&gt;"Yes","Complete",IF(I.Developer.P1C1=FALSE,"Complete",IF(I.Facility.StandardPart&lt;&gt;"Part 2","Complete",IF(I.Developer.P1C1V4=FALSE,"Complete",IF(F227="","Incomplete","Complete"))))))</f>
        <v>Complete</v>
      </c>
      <c r="I227" s="39" t="s">
        <v>310</v>
      </c>
    </row>
    <row r="228" spans="2:9" ht="15" customHeight="1" x14ac:dyDescent="0.25">
      <c r="B228" s="37" t="s">
        <v>584</v>
      </c>
      <c r="C228" s="26">
        <v>5</v>
      </c>
      <c r="D228" s="38" t="s">
        <v>2657</v>
      </c>
      <c r="E228" s="59"/>
      <c r="F228" s="59" t="str">
        <f>IF(INDEX(I.Electricity.P1C1,5)="","",INDEX(I.Electricity.P1C1,5))</f>
        <v/>
      </c>
      <c r="G228" s="59"/>
      <c r="H228" s="26" t="str">
        <f>IF(I.Developer.P1=FALSE,"Complete",IF(I.Product.P1Electricity&lt;&gt;"Yes","Complete",IF(I.Developer.P1C1=FALSE,"Complete",IF(I.Facility.StandardPart&lt;&gt;"Part 2","Complete",IF(I.Developer.P1C1V5=FALSE,"Complete",IF(F228="","Incomplete","Complete"))))))</f>
        <v>Complete</v>
      </c>
      <c r="I228" s="39" t="s">
        <v>313</v>
      </c>
    </row>
    <row r="229" spans="2:9" ht="15" customHeight="1" x14ac:dyDescent="0.25">
      <c r="B229" s="37" t="s">
        <v>584</v>
      </c>
      <c r="C229" s="26">
        <v>6</v>
      </c>
      <c r="D229" s="38" t="s">
        <v>2657</v>
      </c>
      <c r="E229" s="59"/>
      <c r="F229" s="59" t="str">
        <f>IF(INDEX(I.Electricity.P1C1,6)="","",INDEX(I.Electricity.P1C1,6))</f>
        <v/>
      </c>
      <c r="G229" s="59"/>
      <c r="H229" s="26" t="str">
        <f>IF(I.Developer.P1=FALSE,"Complete",IF(I.Product.P1Electricity&lt;&gt;"Yes","Complete",IF(I.Developer.P1C1=FALSE,"Complete",IF(I.Facility.StandardPart&lt;&gt;"Part 2","Complete",IF(I.Developer.P1C1V6=FALSE,"Complete",IF(F229="","Incomplete","Complete"))))))</f>
        <v>Complete</v>
      </c>
      <c r="I229" s="39" t="s">
        <v>316</v>
      </c>
    </row>
    <row r="230" spans="2:9" ht="15" customHeight="1" x14ac:dyDescent="0.25">
      <c r="B230" s="37" t="s">
        <v>584</v>
      </c>
      <c r="C230" s="26">
        <v>7</v>
      </c>
      <c r="D230" s="38" t="s">
        <v>2657</v>
      </c>
      <c r="E230" s="59"/>
      <c r="F230" s="59" t="str">
        <f>IF(INDEX(I.Electricity.P1C1,7)="","",INDEX(I.Electricity.P1C1,7))</f>
        <v/>
      </c>
      <c r="G230" s="59"/>
      <c r="H230" s="26" t="str">
        <f>IF(I.Developer.P1=FALSE,"Complete",IF(I.Product.P1Electricity&lt;&gt;"Yes","Complete",IF(I.Developer.P1C1=FALSE,"Complete",IF(I.Facility.StandardPart="Part 2","Complete",IF(F230="","Incomplete","Complete")))))</f>
        <v>Complete</v>
      </c>
      <c r="I230" s="39" t="s">
        <v>319</v>
      </c>
    </row>
    <row r="231" spans="2:9" ht="15" customHeight="1" x14ac:dyDescent="0.25">
      <c r="B231" s="37" t="s">
        <v>584</v>
      </c>
      <c r="C231" s="26">
        <v>8</v>
      </c>
      <c r="D231" s="38" t="s">
        <v>2657</v>
      </c>
      <c r="E231" s="59"/>
      <c r="F231" s="59" t="str">
        <f>IF(INDEX(I.Electricity.P1C1,8)="","",INDEX(I.Electricity.P1C1,8))</f>
        <v/>
      </c>
      <c r="G231" s="59"/>
      <c r="H231" s="26" t="str">
        <f>IF(I.Developer.P1=FALSE,"Complete",IF(I.Product.P1Electricity&lt;&gt;"Yes","Complete",IF(I.Developer.P1C1=FALSE,"Complete",IF(I.Facility.StandardPart="Part 2","Complete",IF(F231="","Incomplete","Complete")))))</f>
        <v>Complete</v>
      </c>
      <c r="I231" s="39" t="s">
        <v>322</v>
      </c>
    </row>
    <row r="232" spans="2:9" ht="15" customHeight="1" x14ac:dyDescent="0.25">
      <c r="B232" s="40" t="s">
        <v>584</v>
      </c>
      <c r="C232" s="46">
        <v>9</v>
      </c>
      <c r="D232" s="44" t="s">
        <v>2657</v>
      </c>
      <c r="E232" s="63"/>
      <c r="F232" s="63" t="str">
        <f>IF(INDEX(I.Electricity.P1C1,9)="","",INDEX(I.Electricity.P1C1,9))</f>
        <v/>
      </c>
      <c r="G232" s="63"/>
      <c r="H232" s="46" t="str">
        <f>IF(I.Developer.P1=FALSE,"Complete",IF(I.Product.P1Electricity&lt;&gt;"Yes","Complete",IF(I.Developer.P1C1=FALSE,"Complete",IF(I.Facility.StandardPart="Part 2","Complete",IF(F232="","Incomplete","Complete")))))</f>
        <v>Complete</v>
      </c>
      <c r="I232" s="47" t="s">
        <v>325</v>
      </c>
    </row>
    <row r="233" spans="2:9" ht="15" customHeight="1" x14ac:dyDescent="0.25">
      <c r="B233" s="37" t="s">
        <v>585</v>
      </c>
      <c r="C233" s="26">
        <v>1</v>
      </c>
      <c r="D233" s="38" t="s">
        <v>2658</v>
      </c>
      <c r="E233" s="59"/>
      <c r="F233" s="59" t="str">
        <f>IF(INDEX(I.Electricity.P1C2,1)="","",INDEX(I.Electricity.P1C2,1))</f>
        <v/>
      </c>
      <c r="G233" s="59"/>
      <c r="H233" s="26" t="str">
        <f t="shared" ref="H233:H253" si="5">IF(I.Developer.P1=FALSE,"Complete",IF(I.Product.P1Electricity&lt;&gt;"Yes","Complete",IF(I.Developer.P1C2=FALSE,"Complete",IF(F233="","Incomplete","Complete"))))</f>
        <v>Complete</v>
      </c>
      <c r="I233" s="39" t="s">
        <v>329</v>
      </c>
    </row>
    <row r="234" spans="2:9" ht="15" customHeight="1" x14ac:dyDescent="0.25">
      <c r="B234" s="37" t="s">
        <v>585</v>
      </c>
      <c r="C234" s="26">
        <v>2</v>
      </c>
      <c r="D234" s="38" t="s">
        <v>2658</v>
      </c>
      <c r="E234" s="59"/>
      <c r="F234" s="59" t="str">
        <f>IF(INDEX(I.Electricity.P1C2,2)="","",INDEX(I.Electricity.P1C2,2))</f>
        <v/>
      </c>
      <c r="G234" s="59"/>
      <c r="H234" s="26" t="str">
        <f t="shared" si="5"/>
        <v>Complete</v>
      </c>
      <c r="I234" s="39" t="s">
        <v>332</v>
      </c>
    </row>
    <row r="235" spans="2:9" ht="15" customHeight="1" x14ac:dyDescent="0.25">
      <c r="B235" s="37" t="s">
        <v>585</v>
      </c>
      <c r="C235" s="26">
        <v>3</v>
      </c>
      <c r="D235" s="38" t="s">
        <v>2658</v>
      </c>
      <c r="E235" s="59"/>
      <c r="F235" s="59" t="str">
        <f>IF(INDEX(I.Electricity.P1C2,3)="","",INDEX(I.Electricity.P1C2,3))</f>
        <v/>
      </c>
      <c r="G235" s="59"/>
      <c r="H235" s="26" t="str">
        <f t="shared" si="5"/>
        <v>Complete</v>
      </c>
      <c r="I235" s="39" t="s">
        <v>335</v>
      </c>
    </row>
    <row r="236" spans="2:9" ht="15" customHeight="1" x14ac:dyDescent="0.25">
      <c r="B236" s="37" t="s">
        <v>585</v>
      </c>
      <c r="C236" s="26">
        <v>4</v>
      </c>
      <c r="D236" s="38" t="s">
        <v>2658</v>
      </c>
      <c r="E236" s="59"/>
      <c r="F236" s="59" t="str">
        <f>IF(INDEX(I.Electricity.P1C2,4)="","",INDEX(I.Electricity.P1C2,4))</f>
        <v/>
      </c>
      <c r="G236" s="59"/>
      <c r="H236" s="26" t="str">
        <f t="shared" si="5"/>
        <v>Complete</v>
      </c>
      <c r="I236" s="39" t="s">
        <v>338</v>
      </c>
    </row>
    <row r="237" spans="2:9" ht="15" customHeight="1" x14ac:dyDescent="0.25">
      <c r="B237" s="37" t="s">
        <v>585</v>
      </c>
      <c r="C237" s="26">
        <v>5</v>
      </c>
      <c r="D237" s="38" t="s">
        <v>2658</v>
      </c>
      <c r="E237" s="59"/>
      <c r="F237" s="59" t="str">
        <f>IF(INDEX(I.Electricity.P1C2,5)="","",INDEX(I.Electricity.P1C2,5))</f>
        <v/>
      </c>
      <c r="G237" s="59"/>
      <c r="H237" s="26" t="str">
        <f t="shared" si="5"/>
        <v>Complete</v>
      </c>
      <c r="I237" s="39" t="s">
        <v>341</v>
      </c>
    </row>
    <row r="238" spans="2:9" ht="15" customHeight="1" x14ac:dyDescent="0.25">
      <c r="B238" s="37" t="s">
        <v>585</v>
      </c>
      <c r="C238" s="26">
        <v>6</v>
      </c>
      <c r="D238" s="38" t="s">
        <v>2658</v>
      </c>
      <c r="E238" s="59"/>
      <c r="F238" s="59" t="str">
        <f>IF(INDEX(I.Electricity.P1C2,6)="","",INDEX(I.Electricity.P1C2,6))</f>
        <v/>
      </c>
      <c r="G238" s="59"/>
      <c r="H238" s="26" t="str">
        <f t="shared" si="5"/>
        <v>Complete</v>
      </c>
      <c r="I238" s="39" t="s">
        <v>343</v>
      </c>
    </row>
    <row r="239" spans="2:9" ht="15" customHeight="1" x14ac:dyDescent="0.25">
      <c r="B239" s="37" t="s">
        <v>585</v>
      </c>
      <c r="C239" s="26">
        <v>7</v>
      </c>
      <c r="D239" s="38" t="s">
        <v>2658</v>
      </c>
      <c r="E239" s="59"/>
      <c r="F239" s="59" t="str">
        <f>IF(INDEX(I.Electricity.P1C2,7)="","",INDEX(I.Electricity.P1C2,7))</f>
        <v/>
      </c>
      <c r="G239" s="59"/>
      <c r="H239" s="26" t="str">
        <f t="shared" si="5"/>
        <v>Complete</v>
      </c>
      <c r="I239" s="39" t="s">
        <v>345</v>
      </c>
    </row>
    <row r="240" spans="2:9" ht="15" customHeight="1" x14ac:dyDescent="0.25">
      <c r="B240" s="37" t="s">
        <v>585</v>
      </c>
      <c r="C240" s="26">
        <v>8</v>
      </c>
      <c r="D240" s="38" t="s">
        <v>2658</v>
      </c>
      <c r="E240" s="59"/>
      <c r="F240" s="59" t="str">
        <f>IF(INDEX(I.Electricity.P1C2,8)="","",INDEX(I.Electricity.P1C2,8))</f>
        <v/>
      </c>
      <c r="G240" s="59"/>
      <c r="H240" s="26" t="str">
        <f t="shared" si="5"/>
        <v>Complete</v>
      </c>
      <c r="I240" s="39" t="s">
        <v>347</v>
      </c>
    </row>
    <row r="241" spans="2:9" ht="15" customHeight="1" x14ac:dyDescent="0.25">
      <c r="B241" s="37" t="s">
        <v>585</v>
      </c>
      <c r="C241" s="26">
        <v>9</v>
      </c>
      <c r="D241" s="38" t="s">
        <v>2658</v>
      </c>
      <c r="E241" s="59"/>
      <c r="F241" s="59" t="str">
        <f>IF(INDEX(I.Electricity.P1C2,9)="","",INDEX(I.Electricity.P1C2,9))</f>
        <v/>
      </c>
      <c r="G241" s="59"/>
      <c r="H241" s="26" t="str">
        <f t="shared" si="5"/>
        <v>Complete</v>
      </c>
      <c r="I241" s="39" t="s">
        <v>349</v>
      </c>
    </row>
    <row r="242" spans="2:9" ht="15" customHeight="1" x14ac:dyDescent="0.25">
      <c r="B242" s="37" t="s">
        <v>585</v>
      </c>
      <c r="C242" s="26">
        <v>10</v>
      </c>
      <c r="D242" s="38" t="s">
        <v>2658</v>
      </c>
      <c r="E242" s="59"/>
      <c r="F242" s="59" t="str">
        <f>IF(INDEX(I.Electricity.P1C2,10)="","",INDEX(I.Electricity.P1C2,10))</f>
        <v/>
      </c>
      <c r="G242" s="59"/>
      <c r="H242" s="26" t="str">
        <f t="shared" si="5"/>
        <v>Complete</v>
      </c>
      <c r="I242" s="39" t="s">
        <v>351</v>
      </c>
    </row>
    <row r="243" spans="2:9" ht="15" customHeight="1" x14ac:dyDescent="0.25">
      <c r="B243" s="37" t="s">
        <v>585</v>
      </c>
      <c r="C243" s="26">
        <v>11</v>
      </c>
      <c r="D243" s="38" t="s">
        <v>2658</v>
      </c>
      <c r="E243" s="59"/>
      <c r="F243" s="59" t="str">
        <f>IF(INDEX(I.Electricity.P1C2,11)="","",INDEX(I.Electricity.P1C2,11))</f>
        <v/>
      </c>
      <c r="G243" s="59"/>
      <c r="H243" s="26" t="str">
        <f t="shared" si="5"/>
        <v>Complete</v>
      </c>
      <c r="I243" s="39" t="s">
        <v>353</v>
      </c>
    </row>
    <row r="244" spans="2:9" ht="15" customHeight="1" x14ac:dyDescent="0.25">
      <c r="B244" s="37" t="s">
        <v>585</v>
      </c>
      <c r="C244" s="26">
        <v>12</v>
      </c>
      <c r="D244" s="38" t="s">
        <v>2658</v>
      </c>
      <c r="E244" s="59"/>
      <c r="F244" s="59" t="str">
        <f>IF(INDEX(I.Electricity.P1C2,12)="","",INDEX(I.Electricity.P1C2,12))</f>
        <v/>
      </c>
      <c r="G244" s="59"/>
      <c r="H244" s="26" t="str">
        <f t="shared" si="5"/>
        <v>Complete</v>
      </c>
      <c r="I244" s="39" t="s">
        <v>355</v>
      </c>
    </row>
    <row r="245" spans="2:9" ht="15" customHeight="1" x14ac:dyDescent="0.25">
      <c r="B245" s="37" t="s">
        <v>585</v>
      </c>
      <c r="C245" s="26">
        <v>13</v>
      </c>
      <c r="D245" s="38" t="s">
        <v>2658</v>
      </c>
      <c r="E245" s="59"/>
      <c r="F245" s="59" t="str">
        <f>IF(INDEX(I.Electricity.P1C2,13)="","",INDEX(I.Electricity.P1C2,13))</f>
        <v/>
      </c>
      <c r="G245" s="59"/>
      <c r="H245" s="26" t="str">
        <f t="shared" si="5"/>
        <v>Complete</v>
      </c>
      <c r="I245" s="39" t="s">
        <v>357</v>
      </c>
    </row>
    <row r="246" spans="2:9" ht="15" customHeight="1" x14ac:dyDescent="0.25">
      <c r="B246" s="37" t="s">
        <v>585</v>
      </c>
      <c r="C246" s="26">
        <v>14</v>
      </c>
      <c r="D246" s="38" t="s">
        <v>2658</v>
      </c>
      <c r="E246" s="59"/>
      <c r="F246" s="59" t="str">
        <f>IF(INDEX(I.Electricity.P1C2,14)="","",INDEX(I.Electricity.P1C2,14))</f>
        <v/>
      </c>
      <c r="G246" s="59"/>
      <c r="H246" s="26" t="str">
        <f t="shared" si="5"/>
        <v>Complete</v>
      </c>
      <c r="I246" s="39" t="s">
        <v>359</v>
      </c>
    </row>
    <row r="247" spans="2:9" ht="15" customHeight="1" x14ac:dyDescent="0.25">
      <c r="B247" s="37" t="s">
        <v>585</v>
      </c>
      <c r="C247" s="26">
        <v>15</v>
      </c>
      <c r="D247" s="38" t="s">
        <v>2658</v>
      </c>
      <c r="E247" s="59"/>
      <c r="F247" s="59" t="str">
        <f>IF(INDEX(I.Electricity.P1C2,15)="","",INDEX(I.Electricity.P1C2,15))</f>
        <v/>
      </c>
      <c r="G247" s="59"/>
      <c r="H247" s="26" t="str">
        <f t="shared" si="5"/>
        <v>Complete</v>
      </c>
      <c r="I247" s="39" t="s">
        <v>361</v>
      </c>
    </row>
    <row r="248" spans="2:9" ht="15" customHeight="1" x14ac:dyDescent="0.25">
      <c r="B248" s="37" t="s">
        <v>585</v>
      </c>
      <c r="C248" s="26">
        <v>16</v>
      </c>
      <c r="D248" s="38" t="s">
        <v>2658</v>
      </c>
      <c r="E248" s="59"/>
      <c r="F248" s="59" t="str">
        <f>IF(INDEX(I.Electricity.P1C2,16)="","",INDEX(I.Electricity.P1C2,16))</f>
        <v/>
      </c>
      <c r="G248" s="59"/>
      <c r="H248" s="26" t="str">
        <f t="shared" si="5"/>
        <v>Complete</v>
      </c>
      <c r="I248" s="39" t="s">
        <v>363</v>
      </c>
    </row>
    <row r="249" spans="2:9" ht="15" customHeight="1" x14ac:dyDescent="0.25">
      <c r="B249" s="37" t="s">
        <v>585</v>
      </c>
      <c r="C249" s="26">
        <v>17</v>
      </c>
      <c r="D249" s="38" t="s">
        <v>2658</v>
      </c>
      <c r="E249" s="59"/>
      <c r="F249" s="59" t="str">
        <f>IF(INDEX(I.Electricity.P1C2,17)="","",INDEX(I.Electricity.P1C2,17))</f>
        <v/>
      </c>
      <c r="G249" s="59"/>
      <c r="H249" s="26" t="str">
        <f t="shared" si="5"/>
        <v>Complete</v>
      </c>
      <c r="I249" s="39" t="s">
        <v>365</v>
      </c>
    </row>
    <row r="250" spans="2:9" ht="15" customHeight="1" x14ac:dyDescent="0.25">
      <c r="B250" s="37" t="s">
        <v>585</v>
      </c>
      <c r="C250" s="26">
        <v>18</v>
      </c>
      <c r="D250" s="38" t="s">
        <v>2658</v>
      </c>
      <c r="E250" s="59"/>
      <c r="F250" s="59" t="str">
        <f>IF(INDEX(I.Electricity.P1C2,18)="","",INDEX(I.Electricity.P1C2,18))</f>
        <v/>
      </c>
      <c r="G250" s="59"/>
      <c r="H250" s="26" t="str">
        <f t="shared" si="5"/>
        <v>Complete</v>
      </c>
      <c r="I250" s="39" t="s">
        <v>367</v>
      </c>
    </row>
    <row r="251" spans="2:9" ht="15" customHeight="1" x14ac:dyDescent="0.25">
      <c r="B251" s="37" t="s">
        <v>585</v>
      </c>
      <c r="C251" s="26">
        <v>19</v>
      </c>
      <c r="D251" s="38" t="s">
        <v>2658</v>
      </c>
      <c r="E251" s="59"/>
      <c r="F251" s="59" t="str">
        <f>IF(INDEX(I.Electricity.P1C2,19)="","",INDEX(I.Electricity.P1C2,19))</f>
        <v/>
      </c>
      <c r="G251" s="59"/>
      <c r="H251" s="26" t="str">
        <f t="shared" si="5"/>
        <v>Complete</v>
      </c>
      <c r="I251" s="39" t="s">
        <v>369</v>
      </c>
    </row>
    <row r="252" spans="2:9" ht="15" customHeight="1" x14ac:dyDescent="0.25">
      <c r="B252" s="37" t="s">
        <v>585</v>
      </c>
      <c r="C252" s="26">
        <v>20</v>
      </c>
      <c r="D252" s="38" t="s">
        <v>2658</v>
      </c>
      <c r="E252" s="59"/>
      <c r="F252" s="59" t="str">
        <f>IF(INDEX(I.Electricity.P1C2,20)="","",INDEX(I.Electricity.P1C2,20))</f>
        <v/>
      </c>
      <c r="G252" s="59"/>
      <c r="H252" s="26" t="str">
        <f t="shared" si="5"/>
        <v>Complete</v>
      </c>
      <c r="I252" s="39" t="s">
        <v>371</v>
      </c>
    </row>
    <row r="253" spans="2:9" ht="15" customHeight="1" x14ac:dyDescent="0.25">
      <c r="B253" s="40" t="s">
        <v>585</v>
      </c>
      <c r="C253" s="46">
        <v>21</v>
      </c>
      <c r="D253" s="44" t="s">
        <v>2658</v>
      </c>
      <c r="E253" s="63"/>
      <c r="F253" s="63" t="str">
        <f>IF(INDEX(I.Electricity.P1C2,21)="","",INDEX(I.Electricity.P1C2,21))</f>
        <v/>
      </c>
      <c r="G253" s="63"/>
      <c r="H253" s="46" t="str">
        <f t="shared" si="5"/>
        <v>Complete</v>
      </c>
      <c r="I253" s="47" t="s">
        <v>373</v>
      </c>
    </row>
    <row r="254" spans="2:9" ht="15" customHeight="1" x14ac:dyDescent="0.25">
      <c r="B254" s="37" t="s">
        <v>586</v>
      </c>
      <c r="C254" s="26">
        <v>1</v>
      </c>
      <c r="D254" s="38" t="s">
        <v>2659</v>
      </c>
      <c r="E254" s="59"/>
      <c r="F254" s="59" t="str">
        <f>IF(INDEX(I.Electricity.P1C3,1)="","",INDEX(I.Electricity.P1C3,1))</f>
        <v/>
      </c>
      <c r="G254" s="59"/>
      <c r="H254" s="26" t="str">
        <f>IF(I.Developer.P1=FALSE,"Complete",IF(I.Product.P1Electricity&lt;&gt;"Yes","Complete",IF(I.Developer.P1C3=FALSE,"Complete",IF(I.Facility.StandardPart&lt;&gt;"Part 2","Complete",IF(F254="","Incomplete","Complete")))))</f>
        <v>Complete</v>
      </c>
      <c r="I254" s="39" t="s">
        <v>376</v>
      </c>
    </row>
    <row r="255" spans="2:9" ht="15" customHeight="1" x14ac:dyDescent="0.25">
      <c r="B255" s="37" t="s">
        <v>586</v>
      </c>
      <c r="C255" s="26">
        <v>2</v>
      </c>
      <c r="D255" s="38" t="s">
        <v>2659</v>
      </c>
      <c r="E255" s="59"/>
      <c r="F255" s="59" t="str">
        <f>IF(INDEX(I.Electricity.P1C3,2)="","",INDEX(I.Electricity.P1C3,2))</f>
        <v/>
      </c>
      <c r="G255" s="59"/>
      <c r="H255" s="26" t="str">
        <f>IF(I.Developer.P1=FALSE,"Complete",IF(I.Product.P1Electricity&lt;&gt;"Yes","Complete",IF(I.Developer.P1C3=FALSE,"Complete",IF(I.Facility.StandardPart&lt;&gt;"Part 2","Complete",IF(F255="","Incomplete","Complete")))))</f>
        <v>Complete</v>
      </c>
      <c r="I255" s="39" t="s">
        <v>378</v>
      </c>
    </row>
    <row r="256" spans="2:9" ht="15" customHeight="1" x14ac:dyDescent="0.25">
      <c r="B256" s="37" t="s">
        <v>586</v>
      </c>
      <c r="C256" s="26">
        <v>3</v>
      </c>
      <c r="D256" s="38" t="s">
        <v>2659</v>
      </c>
      <c r="E256" s="59"/>
      <c r="F256" s="59" t="str">
        <f>IF(INDEX(I.Electricity.P1C3,3)="","",INDEX(I.Electricity.P1C3,3))</f>
        <v/>
      </c>
      <c r="G256" s="59"/>
      <c r="H256" s="26" t="str">
        <f>IF(I.Developer.P1=FALSE,"Complete",IF(I.Product.P1Electricity&lt;&gt;"Yes","Complete",IF(I.Developer.P1C3=FALSE,"Complete",IF(I.Facility.StandardPart="Part 2","Complete",IF(F256="","Incomplete","Complete")))))</f>
        <v>Complete</v>
      </c>
      <c r="I256" s="39" t="s">
        <v>380</v>
      </c>
    </row>
    <row r="257" spans="2:9" ht="15" customHeight="1" x14ac:dyDescent="0.25">
      <c r="B257" s="37" t="s">
        <v>586</v>
      </c>
      <c r="C257" s="26">
        <v>4</v>
      </c>
      <c r="D257" s="38" t="s">
        <v>2659</v>
      </c>
      <c r="E257" s="59"/>
      <c r="F257" s="59" t="str">
        <f>IF(INDEX(I.Electricity.P1C3,4)="","",INDEX(I.Electricity.P1C3,4))</f>
        <v/>
      </c>
      <c r="G257" s="59"/>
      <c r="H257" s="26" t="str">
        <f>IF(I.Developer.P1=FALSE,"Complete",IF(I.Product.P1Electricity&lt;&gt;"Yes","Complete",IF(I.Developer.P1C3=FALSE,"Complete",IF(I.Facility.StandardPart="Part 2","Complete",IF(F257="","Incomplete","Complete")))))</f>
        <v>Complete</v>
      </c>
      <c r="I257" s="39" t="s">
        <v>382</v>
      </c>
    </row>
    <row r="258" spans="2:9" ht="15" customHeight="1" x14ac:dyDescent="0.25">
      <c r="B258" s="40" t="s">
        <v>586</v>
      </c>
      <c r="C258" s="46">
        <v>5</v>
      </c>
      <c r="D258" s="44" t="s">
        <v>2659</v>
      </c>
      <c r="E258" s="63"/>
      <c r="F258" s="63" t="str">
        <f>IF(INDEX(I.Electricity.P1C3,5)="","",INDEX(I.Electricity.P1C3,5))</f>
        <v/>
      </c>
      <c r="G258" s="63"/>
      <c r="H258" s="46" t="str">
        <f>IF(I.Developer.P1=FALSE,"Complete",IF(I.Product.P1Electricity&lt;&gt;"Yes","Complete",IF(I.Developer.P1C3=FALSE,"Complete",IF(I.Facility.StandardPart="Part 2","Complete",IF(F258="","Incomplete","Complete")))))</f>
        <v>Complete</v>
      </c>
      <c r="I258" s="47" t="s">
        <v>384</v>
      </c>
    </row>
    <row r="259" spans="2:9" ht="15" customHeight="1" x14ac:dyDescent="0.25">
      <c r="B259" s="37" t="s">
        <v>587</v>
      </c>
      <c r="C259" s="26">
        <v>1</v>
      </c>
      <c r="D259" s="38" t="s">
        <v>2660</v>
      </c>
      <c r="E259" s="59"/>
      <c r="F259" s="59" t="str">
        <f>IF(INDEX(I.Electricity.P1C4,1)="","",INDEX(I.Electricity.P1C4,1))</f>
        <v/>
      </c>
      <c r="G259" s="59"/>
      <c r="H259" s="26" t="str">
        <f>IF(I.Developer.P1=FALSE,"Complete",IF(I.Product.P1Electricity&lt;&gt;"Yes","Complete",IF(I.Developer.P1C4=FALSE,"Complete",IF(F259="","Incomplete","Complete"))))</f>
        <v>Complete</v>
      </c>
      <c r="I259" s="39" t="s">
        <v>387</v>
      </c>
    </row>
    <row r="260" spans="2:9" ht="15" customHeight="1" x14ac:dyDescent="0.25">
      <c r="B260" s="37" t="s">
        <v>587</v>
      </c>
      <c r="C260" s="26">
        <v>2</v>
      </c>
      <c r="D260" s="38" t="s">
        <v>2660</v>
      </c>
      <c r="E260" s="59"/>
      <c r="F260" s="59" t="str">
        <f>IF(INDEX(I.Electricity.P1C4,2)="","",INDEX(I.Electricity.P1C4,2))</f>
        <v/>
      </c>
      <c r="G260" s="59"/>
      <c r="H260" s="26" t="str">
        <f>IF(I.Developer.P1=FALSE,"Complete",IF(I.Product.P1Electricity&lt;&gt;"Yes","Complete",IF(I.Developer.P1C4=FALSE,"Complete",IF(F260="","Incomplete","Complete"))))</f>
        <v>Complete</v>
      </c>
      <c r="I260" s="39" t="s">
        <v>389</v>
      </c>
    </row>
    <row r="261" spans="2:9" ht="15" customHeight="1" x14ac:dyDescent="0.25">
      <c r="B261" s="40" t="s">
        <v>587</v>
      </c>
      <c r="C261" s="46">
        <v>3</v>
      </c>
      <c r="D261" s="44" t="s">
        <v>2660</v>
      </c>
      <c r="E261" s="63"/>
      <c r="F261" s="63" t="str">
        <f>IF(INDEX(I.Electricity.P1C4,3)="","",INDEX(I.Electricity.P1C4,3))</f>
        <v/>
      </c>
      <c r="G261" s="63"/>
      <c r="H261" s="46" t="str">
        <f>IF(I.Developer.P1=FALSE,"Complete",IF(I.Product.P1Electricity&lt;&gt;"Yes","Complete",IF(I.Developer.P1C4=FALSE,"Complete",IF(F261="","Incomplete","Complete"))))</f>
        <v>Complete</v>
      </c>
      <c r="I261" s="47" t="s">
        <v>391</v>
      </c>
    </row>
    <row r="262" spans="2:9" ht="15" customHeight="1" x14ac:dyDescent="0.25">
      <c r="B262" s="37" t="s">
        <v>588</v>
      </c>
      <c r="C262" s="26">
        <v>1</v>
      </c>
      <c r="D262" s="38" t="s">
        <v>2661</v>
      </c>
      <c r="E262" s="59"/>
      <c r="F262" s="59" t="str">
        <f>IF(INDEX(I.Electricity.P2aC1,1)="","",INDEX(I.Electricity.P2aC1,1))</f>
        <v/>
      </c>
      <c r="G262" s="59"/>
      <c r="H262" s="26" t="str">
        <f>IF(I.Developer.P2a=FALSE,"Complete",IF(I.Product.P2aElectricity&lt;&gt;"Yes","Complete",IF(I.Developer.P2aC1=FALSE,"Complete",IF(I.Facility.StandardPart&lt;&gt;"Part 2","Complete",IF(F262="","Incomplete","Complete")))))</f>
        <v>Complete</v>
      </c>
      <c r="I262" s="39" t="s">
        <v>397</v>
      </c>
    </row>
    <row r="263" spans="2:9" ht="15" customHeight="1" x14ac:dyDescent="0.25">
      <c r="B263" s="37" t="s">
        <v>588</v>
      </c>
      <c r="C263" s="26">
        <v>2</v>
      </c>
      <c r="D263" s="38" t="s">
        <v>2661</v>
      </c>
      <c r="E263" s="59"/>
      <c r="F263" s="59" t="str">
        <f>IF(INDEX(I.Electricity.P2aC1,2)="","",INDEX(I.Electricity.P2aC1,2))</f>
        <v/>
      </c>
      <c r="G263" s="59"/>
      <c r="H263" s="26" t="str">
        <f>IF(I.Developer.P2a=FALSE,"Complete",IF(I.Product.P2aElectricity&lt;&gt;"Yes","Complete",IF(I.Developer.P2aC1=FALSE,"Complete",IF(I.Facility.StandardPart&lt;&gt;"Part 2","Complete",IF(I.Developer.P2aC1V2=FALSE,"Complete",IF(F263="","Incomplete","Complete"))))))</f>
        <v>Complete</v>
      </c>
      <c r="I263" s="39" t="s">
        <v>399</v>
      </c>
    </row>
    <row r="264" spans="2:9" ht="15" customHeight="1" x14ac:dyDescent="0.25">
      <c r="B264" s="37" t="s">
        <v>588</v>
      </c>
      <c r="C264" s="26">
        <v>3</v>
      </c>
      <c r="D264" s="38" t="s">
        <v>2661</v>
      </c>
      <c r="E264" s="59"/>
      <c r="F264" s="59" t="str">
        <f>IF(INDEX(I.Electricity.P2aC1,3)="","",INDEX(I.Electricity.P2aC1,3))</f>
        <v/>
      </c>
      <c r="G264" s="59"/>
      <c r="H264" s="26" t="str">
        <f>IF(I.Developer.P2a=FALSE,"Complete",IF(I.Product.P2aElectricity&lt;&gt;"Yes","Complete",IF(I.Developer.P2aC1=FALSE,"Complete",IF(I.Facility.StandardPart&lt;&gt;"Part 2","Complete",IF(I.Developer.P2aC1V3=FALSE,"Complete",IF(F264="","Incomplete","Complete"))))))</f>
        <v>Complete</v>
      </c>
      <c r="I264" s="39" t="s">
        <v>401</v>
      </c>
    </row>
    <row r="265" spans="2:9" ht="15" customHeight="1" x14ac:dyDescent="0.25">
      <c r="B265" s="37" t="s">
        <v>588</v>
      </c>
      <c r="C265" s="26">
        <v>4</v>
      </c>
      <c r="D265" s="38" t="s">
        <v>2661</v>
      </c>
      <c r="E265" s="59"/>
      <c r="F265" s="59" t="str">
        <f>IF(INDEX(I.Electricity.P2aC1,4)="","",INDEX(I.Electricity.P2aC1,4))</f>
        <v/>
      </c>
      <c r="G265" s="59"/>
      <c r="H265" s="26" t="str">
        <f>IF(I.Developer.P2a=FALSE,"Complete",IF(I.Product.P2aElectricity&lt;&gt;"Yes","Complete",IF(I.Developer.P2aC1=FALSE,"Complete",IF(I.Facility.StandardPart&lt;&gt;"Part 2","Complete",IF(I.Developer.P2aC1V4=FALSE,"Complete",IF(F265="","Incomplete","Complete"))))))</f>
        <v>Complete</v>
      </c>
      <c r="I265" s="39" t="s">
        <v>403</v>
      </c>
    </row>
    <row r="266" spans="2:9" ht="15" customHeight="1" x14ac:dyDescent="0.25">
      <c r="B266" s="37" t="s">
        <v>588</v>
      </c>
      <c r="C266" s="26">
        <v>5</v>
      </c>
      <c r="D266" s="38" t="s">
        <v>2661</v>
      </c>
      <c r="E266" s="59"/>
      <c r="F266" s="59" t="str">
        <f>IF(INDEX(I.Electricity.P2aC1,5)="","",INDEX(I.Electricity.P2aC1,5))</f>
        <v/>
      </c>
      <c r="G266" s="59"/>
      <c r="H266" s="26" t="str">
        <f>IF(I.Developer.P2a=FALSE,"Complete",IF(I.Product.P2aElectricity&lt;&gt;"Yes","Complete",IF(I.Developer.P2aC1=FALSE,"Complete",IF(I.Facility.StandardPart&lt;&gt;"Part 2","Complete",IF(I.Developer.P2aC1V5=FALSE,"Complete",IF(F266="","Incomplete","Complete"))))))</f>
        <v>Complete</v>
      </c>
      <c r="I266" s="39" t="s">
        <v>405</v>
      </c>
    </row>
    <row r="267" spans="2:9" ht="15" customHeight="1" x14ac:dyDescent="0.25">
      <c r="B267" s="37" t="s">
        <v>588</v>
      </c>
      <c r="C267" s="26">
        <v>6</v>
      </c>
      <c r="D267" s="38" t="s">
        <v>2661</v>
      </c>
      <c r="E267" s="59"/>
      <c r="F267" s="59" t="str">
        <f>IF(INDEX(I.Electricity.P2aC1,6)="","",INDEX(I.Electricity.P2aC1,6))</f>
        <v/>
      </c>
      <c r="G267" s="59"/>
      <c r="H267" s="26" t="str">
        <f>IF(I.Developer.P2a=FALSE,"Complete",IF(I.Product.P2aElectricity&lt;&gt;"Yes","Complete",IF(I.Developer.P2aC1=FALSE,"Complete",IF(I.Facility.StandardPart&lt;&gt;"Part 2","Complete",IF(I.Developer.P2aC1V6=FALSE,"Complete",IF(F267="","Incomplete","Complete"))))))</f>
        <v>Complete</v>
      </c>
      <c r="I267" s="39" t="s">
        <v>407</v>
      </c>
    </row>
    <row r="268" spans="2:9" ht="15" customHeight="1" x14ac:dyDescent="0.25">
      <c r="B268" s="37" t="s">
        <v>588</v>
      </c>
      <c r="C268" s="26">
        <v>7</v>
      </c>
      <c r="D268" s="38" t="s">
        <v>2661</v>
      </c>
      <c r="E268" s="59"/>
      <c r="F268" s="59" t="str">
        <f>IF(INDEX(I.Electricity.P2aC1,7)="","",INDEX(I.Electricity.P2aC1,7))</f>
        <v/>
      </c>
      <c r="G268" s="59"/>
      <c r="H268" s="26" t="str">
        <f>IF(I.Developer.P2a=FALSE,"Complete",IF(I.Product.P2aElectricity&lt;&gt;"Yes","Complete",IF(I.Developer.P2aC1=FALSE,"Complete",IF(I.Facility.StandardPart="Part 2","Complete",IF(F268="","Incomplete","Complete")))))</f>
        <v>Complete</v>
      </c>
      <c r="I268" s="39" t="s">
        <v>409</v>
      </c>
    </row>
    <row r="269" spans="2:9" ht="15" customHeight="1" x14ac:dyDescent="0.25">
      <c r="B269" s="37" t="s">
        <v>588</v>
      </c>
      <c r="C269" s="26">
        <v>8</v>
      </c>
      <c r="D269" s="38" t="s">
        <v>2661</v>
      </c>
      <c r="E269" s="59"/>
      <c r="F269" s="59" t="str">
        <f>IF(INDEX(I.Electricity.P2aC1,8)="","",INDEX(I.Electricity.P2aC1,8))</f>
        <v/>
      </c>
      <c r="G269" s="59"/>
      <c r="H269" s="26" t="str">
        <f>IF(I.Developer.P2a=FALSE,"Complete",IF(I.Product.P2aElectricity&lt;&gt;"Yes","Complete",IF(I.Developer.P2aC1=FALSE,"Complete",IF(I.Facility.StandardPart="Part 2","Complete",IF(F269="","Incomplete","Complete")))))</f>
        <v>Complete</v>
      </c>
      <c r="I269" s="39" t="s">
        <v>411</v>
      </c>
    </row>
    <row r="270" spans="2:9" ht="15" customHeight="1" x14ac:dyDescent="0.25">
      <c r="B270" s="40" t="s">
        <v>588</v>
      </c>
      <c r="C270" s="46">
        <v>9</v>
      </c>
      <c r="D270" s="44" t="s">
        <v>2661</v>
      </c>
      <c r="E270" s="63"/>
      <c r="F270" s="63" t="str">
        <f>IF(INDEX(I.Electricity.P2aC1,9)="","",INDEX(I.Electricity.P2aC1,9))</f>
        <v/>
      </c>
      <c r="G270" s="63"/>
      <c r="H270" s="46" t="str">
        <f>IF(I.Developer.P2a=FALSE,"Complete",IF(I.Product.P2aElectricity&lt;&gt;"Yes","Complete",IF(I.Developer.P2aC1=FALSE,"Complete",IF(I.Facility.StandardPart="Part 2","Complete",IF(F270="","Incomplete","Complete")))))</f>
        <v>Complete</v>
      </c>
      <c r="I270" s="47" t="s">
        <v>413</v>
      </c>
    </row>
    <row r="271" spans="2:9" ht="15" customHeight="1" x14ac:dyDescent="0.25">
      <c r="B271" s="37" t="s">
        <v>589</v>
      </c>
      <c r="C271" s="26">
        <v>1</v>
      </c>
      <c r="D271" s="38" t="s">
        <v>2662</v>
      </c>
      <c r="E271" s="59"/>
      <c r="F271" s="59" t="str">
        <f>IF(INDEX(I.Electricity.P2aC2,1)="","",INDEX(I.Electricity.P2aC2,1))</f>
        <v/>
      </c>
      <c r="G271" s="59"/>
      <c r="H271" s="26" t="str">
        <f t="shared" ref="H271:H291" si="6">IF(I.Developer.P2a=FALSE,"Complete",IF(I.Product.P2aElectricity&lt;&gt;"Yes","Complete",IF(I.Developer.P2aC2=FALSE,"Complete",IF(F271="","Incomplete","Complete"))))</f>
        <v>Complete</v>
      </c>
      <c r="I271" s="39" t="s">
        <v>416</v>
      </c>
    </row>
    <row r="272" spans="2:9" ht="15" customHeight="1" x14ac:dyDescent="0.25">
      <c r="B272" s="37" t="s">
        <v>589</v>
      </c>
      <c r="C272" s="26">
        <v>2</v>
      </c>
      <c r="D272" s="38" t="s">
        <v>2662</v>
      </c>
      <c r="E272" s="59"/>
      <c r="F272" s="59" t="str">
        <f>IF(INDEX(I.Electricity.P2aC2,2)="","",INDEX(I.Electricity.P2aC2,2))</f>
        <v/>
      </c>
      <c r="G272" s="59"/>
      <c r="H272" s="26" t="str">
        <f t="shared" si="6"/>
        <v>Complete</v>
      </c>
      <c r="I272" s="39" t="s">
        <v>418</v>
      </c>
    </row>
    <row r="273" spans="2:9" ht="15" customHeight="1" x14ac:dyDescent="0.25">
      <c r="B273" s="37" t="s">
        <v>589</v>
      </c>
      <c r="C273" s="26">
        <v>3</v>
      </c>
      <c r="D273" s="38" t="s">
        <v>2662</v>
      </c>
      <c r="E273" s="59"/>
      <c r="F273" s="59" t="str">
        <f>IF(INDEX(I.Electricity.P2aC2,3)="","",INDEX(I.Electricity.P2aC2,3))</f>
        <v/>
      </c>
      <c r="G273" s="59"/>
      <c r="H273" s="26" t="str">
        <f t="shared" si="6"/>
        <v>Complete</v>
      </c>
      <c r="I273" s="39" t="s">
        <v>419</v>
      </c>
    </row>
    <row r="274" spans="2:9" ht="15" customHeight="1" x14ac:dyDescent="0.25">
      <c r="B274" s="37" t="s">
        <v>589</v>
      </c>
      <c r="C274" s="26">
        <v>4</v>
      </c>
      <c r="D274" s="38" t="s">
        <v>2662</v>
      </c>
      <c r="E274" s="59"/>
      <c r="F274" s="59" t="str">
        <f>IF(INDEX(I.Electricity.P2aC2,4)="","",INDEX(I.Electricity.P2aC2,4))</f>
        <v/>
      </c>
      <c r="G274" s="59"/>
      <c r="H274" s="26" t="str">
        <f t="shared" si="6"/>
        <v>Complete</v>
      </c>
      <c r="I274" s="39" t="s">
        <v>420</v>
      </c>
    </row>
    <row r="275" spans="2:9" ht="15" customHeight="1" x14ac:dyDescent="0.25">
      <c r="B275" s="37" t="s">
        <v>589</v>
      </c>
      <c r="C275" s="26">
        <v>5</v>
      </c>
      <c r="D275" s="38" t="s">
        <v>2662</v>
      </c>
      <c r="E275" s="59"/>
      <c r="F275" s="59" t="str">
        <f>IF(INDEX(I.Electricity.P2aC2,5)="","",INDEX(I.Electricity.P2aC2,5))</f>
        <v/>
      </c>
      <c r="G275" s="59"/>
      <c r="H275" s="26" t="str">
        <f t="shared" si="6"/>
        <v>Complete</v>
      </c>
      <c r="I275" s="39" t="s">
        <v>421</v>
      </c>
    </row>
    <row r="276" spans="2:9" ht="15" customHeight="1" x14ac:dyDescent="0.25">
      <c r="B276" s="37" t="s">
        <v>589</v>
      </c>
      <c r="C276" s="26">
        <v>6</v>
      </c>
      <c r="D276" s="38" t="s">
        <v>2662</v>
      </c>
      <c r="E276" s="59"/>
      <c r="F276" s="59" t="str">
        <f>IF(INDEX(I.Electricity.P2aC2,6)="","",INDEX(I.Electricity.P2aC2,6))</f>
        <v/>
      </c>
      <c r="G276" s="59"/>
      <c r="H276" s="26" t="str">
        <f t="shared" si="6"/>
        <v>Complete</v>
      </c>
      <c r="I276" s="39" t="s">
        <v>422</v>
      </c>
    </row>
    <row r="277" spans="2:9" ht="15" customHeight="1" x14ac:dyDescent="0.25">
      <c r="B277" s="37" t="s">
        <v>589</v>
      </c>
      <c r="C277" s="26">
        <v>7</v>
      </c>
      <c r="D277" s="38" t="s">
        <v>2662</v>
      </c>
      <c r="E277" s="59"/>
      <c r="F277" s="59" t="str">
        <f>IF(INDEX(I.Electricity.P2aC2,7)="","",INDEX(I.Electricity.P2aC2,7))</f>
        <v/>
      </c>
      <c r="G277" s="59"/>
      <c r="H277" s="26" t="str">
        <f t="shared" si="6"/>
        <v>Complete</v>
      </c>
      <c r="I277" s="39" t="s">
        <v>423</v>
      </c>
    </row>
    <row r="278" spans="2:9" ht="15" customHeight="1" x14ac:dyDescent="0.25">
      <c r="B278" s="37" t="s">
        <v>589</v>
      </c>
      <c r="C278" s="26">
        <v>8</v>
      </c>
      <c r="D278" s="38" t="s">
        <v>2662</v>
      </c>
      <c r="E278" s="59"/>
      <c r="F278" s="59" t="str">
        <f>IF(INDEX(I.Electricity.P2aC2,8)="","",INDEX(I.Electricity.P2aC2,8))</f>
        <v/>
      </c>
      <c r="G278" s="59"/>
      <c r="H278" s="26" t="str">
        <f t="shared" si="6"/>
        <v>Complete</v>
      </c>
      <c r="I278" s="39" t="s">
        <v>424</v>
      </c>
    </row>
    <row r="279" spans="2:9" ht="15" customHeight="1" x14ac:dyDescent="0.25">
      <c r="B279" s="37" t="s">
        <v>589</v>
      </c>
      <c r="C279" s="26">
        <v>9</v>
      </c>
      <c r="D279" s="38" t="s">
        <v>2662</v>
      </c>
      <c r="E279" s="59"/>
      <c r="F279" s="59" t="str">
        <f>IF(INDEX(I.Electricity.P2aC2,9)="","",INDEX(I.Electricity.P2aC2,9))</f>
        <v/>
      </c>
      <c r="G279" s="59"/>
      <c r="H279" s="26" t="str">
        <f t="shared" si="6"/>
        <v>Complete</v>
      </c>
      <c r="I279" s="39" t="s">
        <v>425</v>
      </c>
    </row>
    <row r="280" spans="2:9" ht="15" customHeight="1" x14ac:dyDescent="0.25">
      <c r="B280" s="37" t="s">
        <v>589</v>
      </c>
      <c r="C280" s="26">
        <v>10</v>
      </c>
      <c r="D280" s="38" t="s">
        <v>2662</v>
      </c>
      <c r="E280" s="59"/>
      <c r="F280" s="59" t="str">
        <f>IF(INDEX(I.Electricity.P2aC2,10)="","",INDEX(I.Electricity.P2aC2,10))</f>
        <v/>
      </c>
      <c r="G280" s="59"/>
      <c r="H280" s="26" t="str">
        <f t="shared" si="6"/>
        <v>Complete</v>
      </c>
      <c r="I280" s="39" t="s">
        <v>426</v>
      </c>
    </row>
    <row r="281" spans="2:9" ht="15" customHeight="1" x14ac:dyDescent="0.25">
      <c r="B281" s="37" t="s">
        <v>589</v>
      </c>
      <c r="C281" s="26">
        <v>11</v>
      </c>
      <c r="D281" s="38" t="s">
        <v>2662</v>
      </c>
      <c r="E281" s="59"/>
      <c r="F281" s="59" t="str">
        <f>IF(INDEX(I.Electricity.P2aC2,11)="","",INDEX(I.Electricity.P2aC2,11))</f>
        <v/>
      </c>
      <c r="G281" s="59"/>
      <c r="H281" s="26" t="str">
        <f t="shared" si="6"/>
        <v>Complete</v>
      </c>
      <c r="I281" s="39" t="s">
        <v>427</v>
      </c>
    </row>
    <row r="282" spans="2:9" ht="15" customHeight="1" x14ac:dyDescent="0.25">
      <c r="B282" s="37" t="s">
        <v>589</v>
      </c>
      <c r="C282" s="26">
        <v>12</v>
      </c>
      <c r="D282" s="38" t="s">
        <v>2662</v>
      </c>
      <c r="E282" s="59"/>
      <c r="F282" s="59" t="str">
        <f>IF(INDEX(I.Electricity.P2aC2,12)="","",INDEX(I.Electricity.P2aC2,12))</f>
        <v/>
      </c>
      <c r="G282" s="59"/>
      <c r="H282" s="26" t="str">
        <f t="shared" si="6"/>
        <v>Complete</v>
      </c>
      <c r="I282" s="39" t="s">
        <v>428</v>
      </c>
    </row>
    <row r="283" spans="2:9" ht="15" customHeight="1" x14ac:dyDescent="0.25">
      <c r="B283" s="37" t="s">
        <v>589</v>
      </c>
      <c r="C283" s="26">
        <v>13</v>
      </c>
      <c r="D283" s="38" t="s">
        <v>2662</v>
      </c>
      <c r="E283" s="59"/>
      <c r="F283" s="59" t="str">
        <f>IF(INDEX(I.Electricity.P2aC2,13)="","",INDEX(I.Electricity.P2aC2,13))</f>
        <v/>
      </c>
      <c r="G283" s="59"/>
      <c r="H283" s="26" t="str">
        <f t="shared" si="6"/>
        <v>Complete</v>
      </c>
      <c r="I283" s="39" t="s">
        <v>429</v>
      </c>
    </row>
    <row r="284" spans="2:9" ht="15" customHeight="1" x14ac:dyDescent="0.25">
      <c r="B284" s="37" t="s">
        <v>589</v>
      </c>
      <c r="C284" s="26">
        <v>14</v>
      </c>
      <c r="D284" s="38" t="s">
        <v>2662</v>
      </c>
      <c r="E284" s="59"/>
      <c r="F284" s="59" t="str">
        <f>IF(INDEX(I.Electricity.P2aC2,14)="","",INDEX(I.Electricity.P2aC2,14))</f>
        <v/>
      </c>
      <c r="G284" s="59"/>
      <c r="H284" s="26" t="str">
        <f t="shared" si="6"/>
        <v>Complete</v>
      </c>
      <c r="I284" s="39" t="s">
        <v>431</v>
      </c>
    </row>
    <row r="285" spans="2:9" ht="15" customHeight="1" x14ac:dyDescent="0.25">
      <c r="B285" s="37" t="s">
        <v>589</v>
      </c>
      <c r="C285" s="26">
        <v>15</v>
      </c>
      <c r="D285" s="38" t="s">
        <v>2662</v>
      </c>
      <c r="E285" s="59"/>
      <c r="F285" s="59" t="str">
        <f>IF(INDEX(I.Electricity.P2aC2,15)="","",INDEX(I.Electricity.P2aC2,15))</f>
        <v/>
      </c>
      <c r="G285" s="59"/>
      <c r="H285" s="26" t="str">
        <f t="shared" si="6"/>
        <v>Complete</v>
      </c>
      <c r="I285" s="39" t="s">
        <v>433</v>
      </c>
    </row>
    <row r="286" spans="2:9" ht="15" customHeight="1" x14ac:dyDescent="0.25">
      <c r="B286" s="37" t="s">
        <v>589</v>
      </c>
      <c r="C286" s="26">
        <v>16</v>
      </c>
      <c r="D286" s="38" t="s">
        <v>2662</v>
      </c>
      <c r="E286" s="59"/>
      <c r="F286" s="59" t="str">
        <f>IF(INDEX(I.Electricity.P2aC2,16)="","",INDEX(I.Electricity.P2aC2,16))</f>
        <v/>
      </c>
      <c r="G286" s="59"/>
      <c r="H286" s="26" t="str">
        <f t="shared" si="6"/>
        <v>Complete</v>
      </c>
      <c r="I286" s="39" t="s">
        <v>435</v>
      </c>
    </row>
    <row r="287" spans="2:9" ht="15" customHeight="1" x14ac:dyDescent="0.25">
      <c r="B287" s="37" t="s">
        <v>589</v>
      </c>
      <c r="C287" s="26">
        <v>17</v>
      </c>
      <c r="D287" s="38" t="s">
        <v>2662</v>
      </c>
      <c r="E287" s="59"/>
      <c r="F287" s="59" t="str">
        <f>IF(INDEX(I.Electricity.P2aC2,17)="","",INDEX(I.Electricity.P2aC2,17))</f>
        <v/>
      </c>
      <c r="G287" s="59"/>
      <c r="H287" s="26" t="str">
        <f t="shared" si="6"/>
        <v>Complete</v>
      </c>
      <c r="I287" s="39" t="s">
        <v>437</v>
      </c>
    </row>
    <row r="288" spans="2:9" ht="15" customHeight="1" x14ac:dyDescent="0.25">
      <c r="B288" s="37" t="s">
        <v>589</v>
      </c>
      <c r="C288" s="26">
        <v>18</v>
      </c>
      <c r="D288" s="38" t="s">
        <v>2662</v>
      </c>
      <c r="E288" s="59"/>
      <c r="F288" s="59" t="str">
        <f>IF(INDEX(I.Electricity.P2aC2,18)="","",INDEX(I.Electricity.P2aC2,18))</f>
        <v/>
      </c>
      <c r="G288" s="59"/>
      <c r="H288" s="26" t="str">
        <f t="shared" si="6"/>
        <v>Complete</v>
      </c>
      <c r="I288" s="39" t="s">
        <v>438</v>
      </c>
    </row>
    <row r="289" spans="2:9" ht="15" customHeight="1" x14ac:dyDescent="0.25">
      <c r="B289" s="37" t="s">
        <v>589</v>
      </c>
      <c r="C289" s="26">
        <v>19</v>
      </c>
      <c r="D289" s="38" t="s">
        <v>2662</v>
      </c>
      <c r="E289" s="59"/>
      <c r="F289" s="59" t="str">
        <f>IF(INDEX(I.Electricity.P2aC2,19)="","",INDEX(I.Electricity.P2aC2,19))</f>
        <v/>
      </c>
      <c r="G289" s="59"/>
      <c r="H289" s="26" t="str">
        <f t="shared" si="6"/>
        <v>Complete</v>
      </c>
      <c r="I289" s="39" t="s">
        <v>439</v>
      </c>
    </row>
    <row r="290" spans="2:9" ht="15" customHeight="1" x14ac:dyDescent="0.25">
      <c r="B290" s="37" t="s">
        <v>589</v>
      </c>
      <c r="C290" s="26">
        <v>20</v>
      </c>
      <c r="D290" s="38" t="s">
        <v>2662</v>
      </c>
      <c r="E290" s="59"/>
      <c r="F290" s="59" t="str">
        <f>IF(INDEX(I.Electricity.P2aC2,20)="","",INDEX(I.Electricity.P2aC2,20))</f>
        <v/>
      </c>
      <c r="G290" s="59"/>
      <c r="H290" s="26" t="str">
        <f t="shared" si="6"/>
        <v>Complete</v>
      </c>
      <c r="I290" s="39" t="s">
        <v>440</v>
      </c>
    </row>
    <row r="291" spans="2:9" ht="15" customHeight="1" x14ac:dyDescent="0.25">
      <c r="B291" s="40" t="s">
        <v>589</v>
      </c>
      <c r="C291" s="46">
        <v>21</v>
      </c>
      <c r="D291" s="44" t="s">
        <v>2662</v>
      </c>
      <c r="E291" s="63"/>
      <c r="F291" s="63" t="str">
        <f>IF(INDEX(I.Electricity.P2aC2,21)="","",INDEX(I.Electricity.P2aC2,21))</f>
        <v/>
      </c>
      <c r="G291" s="63"/>
      <c r="H291" s="46" t="str">
        <f t="shared" si="6"/>
        <v>Complete</v>
      </c>
      <c r="I291" s="47" t="s">
        <v>441</v>
      </c>
    </row>
    <row r="292" spans="2:9" ht="15" customHeight="1" x14ac:dyDescent="0.25">
      <c r="B292" s="37" t="s">
        <v>590</v>
      </c>
      <c r="C292" s="26">
        <v>1</v>
      </c>
      <c r="D292" s="38" t="s">
        <v>2663</v>
      </c>
      <c r="E292" s="59"/>
      <c r="F292" s="59" t="str">
        <f>IF(INDEX(I.Electricity.P2aC3,1)="","",INDEX(I.Electricity.P2aC3,1))</f>
        <v/>
      </c>
      <c r="G292" s="59"/>
      <c r="H292" s="26" t="str">
        <f>IF(I.Developer.P2a=FALSE,"Complete",IF(I.Product.P2aElectricity&lt;&gt;"Yes","Complete",IF(I.Developer.P2aC3=FALSE,"Complete",IF(I.Facility.StandardPart&lt;&gt;"Part 2","Complete",IF(F292="","Incomplete","Complete")))))</f>
        <v>Complete</v>
      </c>
      <c r="I292" s="39" t="s">
        <v>443</v>
      </c>
    </row>
    <row r="293" spans="2:9" ht="15" customHeight="1" x14ac:dyDescent="0.25">
      <c r="B293" s="37" t="s">
        <v>590</v>
      </c>
      <c r="C293" s="26">
        <v>2</v>
      </c>
      <c r="D293" s="38" t="s">
        <v>2663</v>
      </c>
      <c r="E293" s="59"/>
      <c r="F293" s="59" t="str">
        <f>IF(INDEX(I.Electricity.P2aC3,2)="","",INDEX(I.Electricity.P2aC3,2))</f>
        <v/>
      </c>
      <c r="G293" s="59"/>
      <c r="H293" s="26" t="str">
        <f>IF(I.Developer.P2a=FALSE,"Complete",IF(I.Product.P2aElectricity&lt;&gt;"Yes","Complete",IF(I.Developer.P2aC3=FALSE,"Complete",IF(I.Facility.StandardPart&lt;&gt;"Part 2","Complete",IF(F293="","Incomplete","Complete")))))</f>
        <v>Complete</v>
      </c>
      <c r="I293" s="39" t="s">
        <v>444</v>
      </c>
    </row>
    <row r="294" spans="2:9" ht="15" customHeight="1" x14ac:dyDescent="0.25">
      <c r="B294" s="37" t="s">
        <v>590</v>
      </c>
      <c r="C294" s="26">
        <v>3</v>
      </c>
      <c r="D294" s="38" t="s">
        <v>2663</v>
      </c>
      <c r="E294" s="59"/>
      <c r="F294" s="59" t="str">
        <f>IF(INDEX(I.Electricity.P2aC3,3)="","",INDEX(I.Electricity.P2aC3,3))</f>
        <v/>
      </c>
      <c r="G294" s="59"/>
      <c r="H294" s="26" t="str">
        <f>IF(I.Developer.P2a=FALSE,"Complete",IF(I.Product.P2aElectricity&lt;&gt;"Yes","Complete",IF(I.Developer.P2aC3=FALSE,"Complete",IF(I.Facility.StandardPart="Part 2","Complete",IF(F294="","Incomplete","Complete")))))</f>
        <v>Complete</v>
      </c>
      <c r="I294" s="39" t="s">
        <v>445</v>
      </c>
    </row>
    <row r="295" spans="2:9" ht="15" customHeight="1" x14ac:dyDescent="0.25">
      <c r="B295" s="37" t="s">
        <v>590</v>
      </c>
      <c r="C295" s="26">
        <v>4</v>
      </c>
      <c r="D295" s="38" t="s">
        <v>2663</v>
      </c>
      <c r="E295" s="59"/>
      <c r="F295" s="59" t="str">
        <f>IF(INDEX(I.Electricity.P2aC3,4)="","",INDEX(I.Electricity.P2aC3,4))</f>
        <v/>
      </c>
      <c r="G295" s="59"/>
      <c r="H295" s="26" t="str">
        <f>IF(I.Developer.P2a=FALSE,"Complete",IF(I.Product.P2aElectricity&lt;&gt;"Yes","Complete",IF(I.Developer.P2aC3=FALSE,"Complete",IF(I.Facility.StandardPart="Part 2","Complete",IF(F295="","Incomplete","Complete")))))</f>
        <v>Complete</v>
      </c>
      <c r="I295" s="39" t="s">
        <v>446</v>
      </c>
    </row>
    <row r="296" spans="2:9" ht="15" customHeight="1" x14ac:dyDescent="0.25">
      <c r="B296" s="40" t="s">
        <v>590</v>
      </c>
      <c r="C296" s="46">
        <v>5</v>
      </c>
      <c r="D296" s="44" t="s">
        <v>2663</v>
      </c>
      <c r="E296" s="63"/>
      <c r="F296" s="63" t="str">
        <f>IF(INDEX(I.Electricity.P2aC3,5)="","",INDEX(I.Electricity.P2aC3,5))</f>
        <v/>
      </c>
      <c r="G296" s="63"/>
      <c r="H296" s="46" t="str">
        <f>IF(I.Developer.P2a=FALSE,"Complete",IF(I.Product.P2aElectricity&lt;&gt;"Yes","Complete",IF(I.Developer.P2aC3=FALSE,"Complete",IF(I.Facility.StandardPart="Part 2","Complete",IF(F296="","Incomplete","Complete")))))</f>
        <v>Complete</v>
      </c>
      <c r="I296" s="47" t="s">
        <v>447</v>
      </c>
    </row>
    <row r="297" spans="2:9" ht="15" customHeight="1" x14ac:dyDescent="0.25">
      <c r="B297" s="37" t="s">
        <v>591</v>
      </c>
      <c r="C297" s="26">
        <v>1</v>
      </c>
      <c r="D297" s="38" t="s">
        <v>2664</v>
      </c>
      <c r="E297" s="59"/>
      <c r="F297" s="59" t="str">
        <f>IF(INDEX(I.Electricity.P2aC4,1)="","",INDEX(I.Electricity.P2aC4,1))</f>
        <v/>
      </c>
      <c r="G297" s="59"/>
      <c r="H297" s="26" t="str">
        <f>IF(I.Developer.P2a=FALSE,"Complete",IF(I.Product.P2aElectricity&lt;&gt;"Yes","Complete",IF(I.Developer.P2aC4=FALSE,"Complete",IF(F297="","Incomplete","Complete"))))</f>
        <v>Complete</v>
      </c>
      <c r="I297" s="39" t="s">
        <v>449</v>
      </c>
    </row>
    <row r="298" spans="2:9" ht="15" customHeight="1" x14ac:dyDescent="0.25">
      <c r="B298" s="37" t="s">
        <v>591</v>
      </c>
      <c r="C298" s="26">
        <v>2</v>
      </c>
      <c r="D298" s="38" t="s">
        <v>2664</v>
      </c>
      <c r="E298" s="59"/>
      <c r="F298" s="59" t="str">
        <f>IF(INDEX(I.Electricity.P2aC4,2)="","",INDEX(I.Electricity.P2aC4,2))</f>
        <v/>
      </c>
      <c r="G298" s="59"/>
      <c r="H298" s="26" t="str">
        <f>IF(I.Developer.P2a=FALSE,"Complete",IF(I.Product.P2aElectricity&lt;&gt;"Yes","Complete",IF(I.Developer.P2aC4=FALSE,"Complete",IF(F298="","Incomplete","Complete"))))</f>
        <v>Complete</v>
      </c>
      <c r="I298" s="39" t="s">
        <v>450</v>
      </c>
    </row>
    <row r="299" spans="2:9" ht="15" customHeight="1" x14ac:dyDescent="0.25">
      <c r="B299" s="40" t="s">
        <v>591</v>
      </c>
      <c r="C299" s="46">
        <v>3</v>
      </c>
      <c r="D299" s="44" t="s">
        <v>2664</v>
      </c>
      <c r="E299" s="63"/>
      <c r="F299" s="63" t="str">
        <f>IF(INDEX(I.Electricity.P2aC4,3)="","",INDEX(I.Electricity.P2aC4,3))</f>
        <v/>
      </c>
      <c r="G299" s="63"/>
      <c r="H299" s="46" t="str">
        <f>IF(I.Developer.P2a=FALSE,"Complete",IF(I.Product.P2aElectricity&lt;&gt;"Yes","Complete",IF(I.Developer.P2aC4=FALSE,"Complete",IF(F299="","Incomplete","Complete"))))</f>
        <v>Complete</v>
      </c>
      <c r="I299" s="47" t="s">
        <v>451</v>
      </c>
    </row>
    <row r="300" spans="2:9" ht="15" customHeight="1" x14ac:dyDescent="0.25">
      <c r="B300" s="37" t="s">
        <v>592</v>
      </c>
      <c r="C300" s="26">
        <v>1</v>
      </c>
      <c r="D300" s="38" t="s">
        <v>2665</v>
      </c>
      <c r="E300" s="59"/>
      <c r="F300" s="59" t="str">
        <f>IF(INDEX(I.Electricity.P2bC1,1)="","",INDEX(I.Electricity.P2bC1,1))</f>
        <v/>
      </c>
      <c r="G300" s="59"/>
      <c r="H300" s="26" t="str">
        <f>IF(I.Developer.P2b=FALSE,"Complete",IF(I.Product.P2bElectricity&lt;&gt;"Yes","Complete",IF(I.Developer.P2bC1=FALSE,"Complete",IF(I.Facility.StandardPart&lt;&gt;"Part 2","Complete",IF(F300="","Incomplete","Complete")))))</f>
        <v>Complete</v>
      </c>
      <c r="I300" s="39" t="s">
        <v>455</v>
      </c>
    </row>
    <row r="301" spans="2:9" ht="15" customHeight="1" x14ac:dyDescent="0.25">
      <c r="B301" s="37" t="s">
        <v>592</v>
      </c>
      <c r="C301" s="26">
        <v>2</v>
      </c>
      <c r="D301" s="38" t="s">
        <v>2665</v>
      </c>
      <c r="E301" s="59"/>
      <c r="F301" s="59" t="str">
        <f>IF(INDEX(I.Electricity.P2bC1,2)="","",INDEX(I.Electricity.P2bC1,2))</f>
        <v/>
      </c>
      <c r="G301" s="59"/>
      <c r="H301" s="26" t="str">
        <f>IF(I.Developer.P2b=FALSE,"Complete",IF(I.Product.P2bElectricity&lt;&gt;"Yes","Complete",IF(I.Developer.P2bC1=FALSE,"Complete",IF(I.Facility.StandardPart&lt;&gt;"Part 2","Complete",IF(I.Developer.P2bC1V2=FALSE,"Complete",IF(F301="","Incomplete","Complete"))))))</f>
        <v>Complete</v>
      </c>
      <c r="I301" s="39" t="s">
        <v>456</v>
      </c>
    </row>
    <row r="302" spans="2:9" ht="15" customHeight="1" x14ac:dyDescent="0.25">
      <c r="B302" s="37" t="s">
        <v>592</v>
      </c>
      <c r="C302" s="26">
        <v>3</v>
      </c>
      <c r="D302" s="38" t="s">
        <v>2665</v>
      </c>
      <c r="E302" s="59"/>
      <c r="F302" s="59" t="str">
        <f>IF(INDEX(I.Electricity.P2bC1,3)="","",INDEX(I.Electricity.P2bC1,3))</f>
        <v/>
      </c>
      <c r="G302" s="59"/>
      <c r="H302" s="26" t="str">
        <f>IF(I.Developer.P2b=FALSE,"Complete",IF(I.Product.P2bElectricity&lt;&gt;"Yes","Complete",IF(I.Developer.P2bC1=FALSE,"Complete",IF(I.Facility.StandardPart&lt;&gt;"Part 2","Complete",IF(I.Developer.P2bC1V3=FALSE,"Complete",IF(F302="","Incomplete","Complete"))))))</f>
        <v>Complete</v>
      </c>
      <c r="I302" s="39" t="s">
        <v>457</v>
      </c>
    </row>
    <row r="303" spans="2:9" ht="15" customHeight="1" x14ac:dyDescent="0.25">
      <c r="B303" s="37" t="s">
        <v>592</v>
      </c>
      <c r="C303" s="26">
        <v>4</v>
      </c>
      <c r="D303" s="38" t="s">
        <v>2665</v>
      </c>
      <c r="E303" s="59"/>
      <c r="F303" s="59" t="str">
        <f>IF(INDEX(I.Electricity.P2bC1,4)="","",INDEX(I.Electricity.P2bC1,4))</f>
        <v/>
      </c>
      <c r="G303" s="59"/>
      <c r="H303" s="26" t="str">
        <f>IF(I.Developer.P2b=FALSE,"Complete",IF(I.Product.P2bElectricity&lt;&gt;"Yes","Complete",IF(I.Developer.P2bC1=FALSE,"Complete",IF(I.Facility.StandardPart&lt;&gt;"Part 2","Complete",IF(I.Developer.P2bC1V4=FALSE,"Complete",IF(F303="","Incomplete","Complete"))))))</f>
        <v>Complete</v>
      </c>
      <c r="I303" s="39" t="s">
        <v>458</v>
      </c>
    </row>
    <row r="304" spans="2:9" ht="15" customHeight="1" x14ac:dyDescent="0.25">
      <c r="B304" s="37" t="s">
        <v>592</v>
      </c>
      <c r="C304" s="26">
        <v>5</v>
      </c>
      <c r="D304" s="38" t="s">
        <v>2665</v>
      </c>
      <c r="E304" s="59"/>
      <c r="F304" s="59" t="str">
        <f>IF(INDEX(I.Electricity.P2bC1,5)="","",INDEX(I.Electricity.P2bC1,5))</f>
        <v/>
      </c>
      <c r="G304" s="59"/>
      <c r="H304" s="26" t="str">
        <f>IF(I.Developer.P2b=FALSE,"Complete",IF(I.Product.P2bElectricity&lt;&gt;"Yes","Complete",IF(I.Developer.P2bC1=FALSE,"Complete",IF(I.Facility.StandardPart&lt;&gt;"Part 2","Complete",IF(I.Developer.P2bC1V5=FALSE,"Complete",IF(F304="","Incomplete","Complete"))))))</f>
        <v>Complete</v>
      </c>
      <c r="I304" s="39" t="s">
        <v>459</v>
      </c>
    </row>
    <row r="305" spans="2:9" ht="15" customHeight="1" x14ac:dyDescent="0.25">
      <c r="B305" s="37" t="s">
        <v>592</v>
      </c>
      <c r="C305" s="26">
        <v>6</v>
      </c>
      <c r="D305" s="38" t="s">
        <v>2665</v>
      </c>
      <c r="E305" s="59"/>
      <c r="F305" s="59" t="str">
        <f>IF(INDEX(I.Electricity.P2bC1,6)="","",INDEX(I.Electricity.P2bC1,6))</f>
        <v/>
      </c>
      <c r="G305" s="59"/>
      <c r="H305" s="26" t="str">
        <f>IF(I.Developer.P2b=FALSE,"Complete",IF(I.Product.P2bElectricity&lt;&gt;"Yes","Complete",IF(I.Developer.P2bC1=FALSE,"Complete",IF(I.Facility.StandardPart&lt;&gt;"Part 2","Complete",IF(I.Developer.P2bC1V6=FALSE,"Complete",IF(F305="","Incomplete","Complete"))))))</f>
        <v>Complete</v>
      </c>
      <c r="I305" s="39" t="s">
        <v>460</v>
      </c>
    </row>
    <row r="306" spans="2:9" ht="15" customHeight="1" x14ac:dyDescent="0.25">
      <c r="B306" s="37" t="s">
        <v>592</v>
      </c>
      <c r="C306" s="26">
        <v>7</v>
      </c>
      <c r="D306" s="38" t="s">
        <v>2665</v>
      </c>
      <c r="E306" s="59"/>
      <c r="F306" s="59" t="str">
        <f>IF(INDEX(I.Electricity.P2bC1,7)="","",INDEX(I.Electricity.P2bC1,7))</f>
        <v/>
      </c>
      <c r="G306" s="59"/>
      <c r="H306" s="26" t="str">
        <f>IF(I.Developer.P2b=FALSE,"Complete",IF(I.Product.P2bElectricity&lt;&gt;"Yes","Complete",IF(I.Developer.P2bC1=FALSE,"Complete",IF(I.Facility.StandardPart="Part 2","Complete",IF(F306="","Incomplete","Complete")))))</f>
        <v>Complete</v>
      </c>
      <c r="I306" s="39" t="s">
        <v>461</v>
      </c>
    </row>
    <row r="307" spans="2:9" ht="15" customHeight="1" x14ac:dyDescent="0.25">
      <c r="B307" s="37" t="s">
        <v>592</v>
      </c>
      <c r="C307" s="26">
        <v>8</v>
      </c>
      <c r="D307" s="38" t="s">
        <v>2665</v>
      </c>
      <c r="E307" s="59"/>
      <c r="F307" s="59" t="str">
        <f>IF(INDEX(I.Electricity.P2bC1,8)="","",INDEX(I.Electricity.P2bC1,8))</f>
        <v/>
      </c>
      <c r="G307" s="59"/>
      <c r="H307" s="26" t="str">
        <f>IF(I.Developer.P2b=FALSE,"Complete",IF(I.Product.P2bElectricity&lt;&gt;"Yes","Complete",IF(I.Developer.P2bC1=FALSE,"Complete",IF(I.Facility.StandardPart="Part 2","Complete",IF(F307="","Incomplete","Complete")))))</f>
        <v>Complete</v>
      </c>
      <c r="I307" s="39" t="s">
        <v>462</v>
      </c>
    </row>
    <row r="308" spans="2:9" ht="15" customHeight="1" x14ac:dyDescent="0.25">
      <c r="B308" s="40" t="s">
        <v>592</v>
      </c>
      <c r="C308" s="46">
        <v>9</v>
      </c>
      <c r="D308" s="44" t="s">
        <v>2665</v>
      </c>
      <c r="E308" s="63"/>
      <c r="F308" s="63" t="str">
        <f>IF(INDEX(I.Electricity.P2bC1,9)="","",INDEX(I.Electricity.P2bC1,9))</f>
        <v/>
      </c>
      <c r="G308" s="63"/>
      <c r="H308" s="46" t="str">
        <f>IF(I.Developer.P2b=FALSE,"Complete",IF(I.Product.P2bElectricity&lt;&gt;"Yes","Complete",IF(I.Developer.P2bC1=FALSE,"Complete",IF(I.Facility.StandardPart="Part 2","Complete",IF(F308="","Incomplete","Complete")))))</f>
        <v>Complete</v>
      </c>
      <c r="I308" s="47" t="s">
        <v>463</v>
      </c>
    </row>
    <row r="309" spans="2:9" ht="15" customHeight="1" x14ac:dyDescent="0.25">
      <c r="B309" s="37" t="s">
        <v>593</v>
      </c>
      <c r="C309" s="26">
        <v>1</v>
      </c>
      <c r="D309" s="38" t="s">
        <v>2666</v>
      </c>
      <c r="E309" s="59"/>
      <c r="F309" s="59" t="str">
        <f>IF(INDEX(I.Electricity.P2bC2,1)="","",INDEX(I.Electricity.P2bC2,1))</f>
        <v/>
      </c>
      <c r="G309" s="59"/>
      <c r="H309" s="26" t="str">
        <f t="shared" ref="H309:H329" si="7">IF(I.Developer.P2b=FALSE,"Complete",IF(I.Product.P2bElectricity&lt;&gt;"Yes","Complete",IF(I.Developer.P2bC2=FALSE,"Complete",IF(F309="","Incomplete","Complete"))))</f>
        <v>Complete</v>
      </c>
      <c r="I309" s="39" t="s">
        <v>465</v>
      </c>
    </row>
    <row r="310" spans="2:9" ht="15" customHeight="1" x14ac:dyDescent="0.25">
      <c r="B310" s="37" t="s">
        <v>593</v>
      </c>
      <c r="C310" s="26">
        <v>2</v>
      </c>
      <c r="D310" s="38" t="s">
        <v>2666</v>
      </c>
      <c r="E310" s="59"/>
      <c r="F310" s="59" t="str">
        <f>IF(INDEX(I.Electricity.P2bC2,2)="","",INDEX(I.Electricity.P2bC2,2))</f>
        <v/>
      </c>
      <c r="G310" s="59"/>
      <c r="H310" s="26" t="str">
        <f t="shared" si="7"/>
        <v>Complete</v>
      </c>
      <c r="I310" s="39" t="s">
        <v>466</v>
      </c>
    </row>
    <row r="311" spans="2:9" ht="15" customHeight="1" x14ac:dyDescent="0.25">
      <c r="B311" s="37" t="s">
        <v>593</v>
      </c>
      <c r="C311" s="26">
        <v>3</v>
      </c>
      <c r="D311" s="38" t="s">
        <v>2666</v>
      </c>
      <c r="E311" s="59"/>
      <c r="F311" s="59" t="str">
        <f>IF(INDEX(I.Electricity.P2bC2,3)="","",INDEX(I.Electricity.P2bC2,3))</f>
        <v/>
      </c>
      <c r="G311" s="59"/>
      <c r="H311" s="26" t="str">
        <f t="shared" si="7"/>
        <v>Complete</v>
      </c>
      <c r="I311" s="39" t="s">
        <v>467</v>
      </c>
    </row>
    <row r="312" spans="2:9" ht="15" customHeight="1" x14ac:dyDescent="0.25">
      <c r="B312" s="37" t="s">
        <v>593</v>
      </c>
      <c r="C312" s="26">
        <v>4</v>
      </c>
      <c r="D312" s="38" t="s">
        <v>2666</v>
      </c>
      <c r="E312" s="59"/>
      <c r="F312" s="59" t="str">
        <f>IF(INDEX(I.Electricity.P2bC2,4)="","",INDEX(I.Electricity.P2bC2,4))</f>
        <v/>
      </c>
      <c r="G312" s="59"/>
      <c r="H312" s="26" t="str">
        <f t="shared" si="7"/>
        <v>Complete</v>
      </c>
      <c r="I312" s="39" t="s">
        <v>468</v>
      </c>
    </row>
    <row r="313" spans="2:9" ht="15" customHeight="1" x14ac:dyDescent="0.25">
      <c r="B313" s="37" t="s">
        <v>593</v>
      </c>
      <c r="C313" s="26">
        <v>5</v>
      </c>
      <c r="D313" s="38" t="s">
        <v>2666</v>
      </c>
      <c r="E313" s="59"/>
      <c r="F313" s="59" t="str">
        <f>IF(INDEX(I.Electricity.P2bC2,5)="","",INDEX(I.Electricity.P2bC2,5))</f>
        <v/>
      </c>
      <c r="G313" s="59"/>
      <c r="H313" s="26" t="str">
        <f t="shared" si="7"/>
        <v>Complete</v>
      </c>
      <c r="I313" s="39" t="s">
        <v>469</v>
      </c>
    </row>
    <row r="314" spans="2:9" ht="15" customHeight="1" x14ac:dyDescent="0.25">
      <c r="B314" s="37" t="s">
        <v>593</v>
      </c>
      <c r="C314" s="26">
        <v>6</v>
      </c>
      <c r="D314" s="38" t="s">
        <v>2666</v>
      </c>
      <c r="E314" s="59"/>
      <c r="F314" s="59" t="str">
        <f>IF(INDEX(I.Electricity.P2bC2,6)="","",INDEX(I.Electricity.P2bC2,6))</f>
        <v/>
      </c>
      <c r="G314" s="59"/>
      <c r="H314" s="26" t="str">
        <f t="shared" si="7"/>
        <v>Complete</v>
      </c>
      <c r="I314" s="39" t="s">
        <v>470</v>
      </c>
    </row>
    <row r="315" spans="2:9" ht="15" customHeight="1" x14ac:dyDescent="0.25">
      <c r="B315" s="37" t="s">
        <v>593</v>
      </c>
      <c r="C315" s="26">
        <v>7</v>
      </c>
      <c r="D315" s="38" t="s">
        <v>2666</v>
      </c>
      <c r="E315" s="59"/>
      <c r="F315" s="59" t="str">
        <f>IF(INDEX(I.Electricity.P2bC2,7)="","",INDEX(I.Electricity.P2bC2,7))</f>
        <v/>
      </c>
      <c r="G315" s="59"/>
      <c r="H315" s="26" t="str">
        <f t="shared" si="7"/>
        <v>Complete</v>
      </c>
      <c r="I315" s="39" t="s">
        <v>471</v>
      </c>
    </row>
    <row r="316" spans="2:9" ht="15" customHeight="1" x14ac:dyDescent="0.25">
      <c r="B316" s="37" t="s">
        <v>593</v>
      </c>
      <c r="C316" s="26">
        <v>8</v>
      </c>
      <c r="D316" s="38" t="s">
        <v>2666</v>
      </c>
      <c r="E316" s="59"/>
      <c r="F316" s="59" t="str">
        <f>IF(INDEX(I.Electricity.P2bC2,8)="","",INDEX(I.Electricity.P2bC2,8))</f>
        <v/>
      </c>
      <c r="G316" s="59"/>
      <c r="H316" s="26" t="str">
        <f t="shared" si="7"/>
        <v>Complete</v>
      </c>
      <c r="I316" s="39" t="s">
        <v>472</v>
      </c>
    </row>
    <row r="317" spans="2:9" ht="15" customHeight="1" x14ac:dyDescent="0.25">
      <c r="B317" s="37" t="s">
        <v>593</v>
      </c>
      <c r="C317" s="26">
        <v>9</v>
      </c>
      <c r="D317" s="38" t="s">
        <v>2666</v>
      </c>
      <c r="E317" s="59"/>
      <c r="F317" s="59" t="str">
        <f>IF(INDEX(I.Electricity.P2bC2,9)="","",INDEX(I.Electricity.P2bC2,9))</f>
        <v/>
      </c>
      <c r="G317" s="59"/>
      <c r="H317" s="26" t="str">
        <f t="shared" si="7"/>
        <v>Complete</v>
      </c>
      <c r="I317" s="39" t="s">
        <v>473</v>
      </c>
    </row>
    <row r="318" spans="2:9" ht="15" customHeight="1" x14ac:dyDescent="0.25">
      <c r="B318" s="37" t="s">
        <v>593</v>
      </c>
      <c r="C318" s="26">
        <v>10</v>
      </c>
      <c r="D318" s="38" t="s">
        <v>2666</v>
      </c>
      <c r="E318" s="59"/>
      <c r="F318" s="59" t="str">
        <f>IF(INDEX(I.Electricity.P2bC2,10)="","",INDEX(I.Electricity.P2bC2,10))</f>
        <v/>
      </c>
      <c r="G318" s="59"/>
      <c r="H318" s="26" t="str">
        <f t="shared" si="7"/>
        <v>Complete</v>
      </c>
      <c r="I318" s="39" t="s">
        <v>474</v>
      </c>
    </row>
    <row r="319" spans="2:9" ht="15" customHeight="1" x14ac:dyDescent="0.25">
      <c r="B319" s="37" t="s">
        <v>593</v>
      </c>
      <c r="C319" s="26">
        <v>11</v>
      </c>
      <c r="D319" s="38" t="s">
        <v>2666</v>
      </c>
      <c r="E319" s="59"/>
      <c r="F319" s="59" t="str">
        <f>IF(INDEX(I.Electricity.P2bC2,11)="","",INDEX(I.Electricity.P2bC2,11))</f>
        <v/>
      </c>
      <c r="G319" s="59"/>
      <c r="H319" s="26" t="str">
        <f t="shared" si="7"/>
        <v>Complete</v>
      </c>
      <c r="I319" s="39" t="s">
        <v>475</v>
      </c>
    </row>
    <row r="320" spans="2:9" ht="15" customHeight="1" x14ac:dyDescent="0.25">
      <c r="B320" s="37" t="s">
        <v>593</v>
      </c>
      <c r="C320" s="26">
        <v>12</v>
      </c>
      <c r="D320" s="38" t="s">
        <v>2666</v>
      </c>
      <c r="E320" s="59"/>
      <c r="F320" s="59" t="str">
        <f>IF(INDEX(I.Electricity.P2bC2,12)="","",INDEX(I.Electricity.P2bC2,12))</f>
        <v/>
      </c>
      <c r="G320" s="59"/>
      <c r="H320" s="26" t="str">
        <f t="shared" si="7"/>
        <v>Complete</v>
      </c>
      <c r="I320" s="39" t="s">
        <v>476</v>
      </c>
    </row>
    <row r="321" spans="2:9" ht="15" customHeight="1" x14ac:dyDescent="0.25">
      <c r="B321" s="37" t="s">
        <v>593</v>
      </c>
      <c r="C321" s="26">
        <v>13</v>
      </c>
      <c r="D321" s="38" t="s">
        <v>2666</v>
      </c>
      <c r="E321" s="59"/>
      <c r="F321" s="59" t="str">
        <f>IF(INDEX(I.Electricity.P2bC2,13)="","",INDEX(I.Electricity.P2bC2,13))</f>
        <v/>
      </c>
      <c r="G321" s="59"/>
      <c r="H321" s="26" t="str">
        <f t="shared" si="7"/>
        <v>Complete</v>
      </c>
      <c r="I321" s="39" t="s">
        <v>477</v>
      </c>
    </row>
    <row r="322" spans="2:9" ht="15" customHeight="1" x14ac:dyDescent="0.25">
      <c r="B322" s="37" t="s">
        <v>593</v>
      </c>
      <c r="C322" s="26">
        <v>14</v>
      </c>
      <c r="D322" s="38" t="s">
        <v>2666</v>
      </c>
      <c r="E322" s="59"/>
      <c r="F322" s="59" t="str">
        <f>IF(INDEX(I.Electricity.P2bC2,14)="","",INDEX(I.Electricity.P2bC2,14))</f>
        <v/>
      </c>
      <c r="G322" s="59"/>
      <c r="H322" s="26" t="str">
        <f t="shared" si="7"/>
        <v>Complete</v>
      </c>
      <c r="I322" s="39" t="s">
        <v>478</v>
      </c>
    </row>
    <row r="323" spans="2:9" ht="15" customHeight="1" x14ac:dyDescent="0.25">
      <c r="B323" s="37" t="s">
        <v>593</v>
      </c>
      <c r="C323" s="26">
        <v>15</v>
      </c>
      <c r="D323" s="38" t="s">
        <v>2666</v>
      </c>
      <c r="E323" s="59"/>
      <c r="F323" s="59" t="str">
        <f>IF(INDEX(I.Electricity.P2bC2,15)="","",INDEX(I.Electricity.P2bC2,15))</f>
        <v/>
      </c>
      <c r="G323" s="59"/>
      <c r="H323" s="26" t="str">
        <f t="shared" si="7"/>
        <v>Complete</v>
      </c>
      <c r="I323" s="39" t="s">
        <v>479</v>
      </c>
    </row>
    <row r="324" spans="2:9" ht="15" customHeight="1" x14ac:dyDescent="0.25">
      <c r="B324" s="37" t="s">
        <v>593</v>
      </c>
      <c r="C324" s="26">
        <v>16</v>
      </c>
      <c r="D324" s="38" t="s">
        <v>2666</v>
      </c>
      <c r="E324" s="59"/>
      <c r="F324" s="59" t="str">
        <f>IF(INDEX(I.Electricity.P2bC2,16)="","",INDEX(I.Electricity.P2bC2,16))</f>
        <v/>
      </c>
      <c r="G324" s="59"/>
      <c r="H324" s="26" t="str">
        <f t="shared" si="7"/>
        <v>Complete</v>
      </c>
      <c r="I324" s="39" t="s">
        <v>480</v>
      </c>
    </row>
    <row r="325" spans="2:9" ht="15" customHeight="1" x14ac:dyDescent="0.25">
      <c r="B325" s="37" t="s">
        <v>593</v>
      </c>
      <c r="C325" s="26">
        <v>17</v>
      </c>
      <c r="D325" s="38" t="s">
        <v>2666</v>
      </c>
      <c r="E325" s="59"/>
      <c r="F325" s="59" t="str">
        <f>IF(INDEX(I.Electricity.P2bC2,17)="","",INDEX(I.Electricity.P2bC2,17))</f>
        <v/>
      </c>
      <c r="G325" s="59"/>
      <c r="H325" s="26" t="str">
        <f t="shared" si="7"/>
        <v>Complete</v>
      </c>
      <c r="I325" s="39" t="s">
        <v>481</v>
      </c>
    </row>
    <row r="326" spans="2:9" ht="15" customHeight="1" x14ac:dyDescent="0.25">
      <c r="B326" s="37" t="s">
        <v>593</v>
      </c>
      <c r="C326" s="26">
        <v>18</v>
      </c>
      <c r="D326" s="38" t="s">
        <v>2666</v>
      </c>
      <c r="E326" s="59"/>
      <c r="F326" s="59" t="str">
        <f>IF(INDEX(I.Electricity.P2bC2,18)="","",INDEX(I.Electricity.P2bC2,18))</f>
        <v/>
      </c>
      <c r="G326" s="59"/>
      <c r="H326" s="26" t="str">
        <f t="shared" si="7"/>
        <v>Complete</v>
      </c>
      <c r="I326" s="39" t="s">
        <v>482</v>
      </c>
    </row>
    <row r="327" spans="2:9" ht="15" customHeight="1" x14ac:dyDescent="0.25">
      <c r="B327" s="37" t="s">
        <v>593</v>
      </c>
      <c r="C327" s="26">
        <v>19</v>
      </c>
      <c r="D327" s="38" t="s">
        <v>2666</v>
      </c>
      <c r="E327" s="59"/>
      <c r="F327" s="59" t="str">
        <f>IF(INDEX(I.Electricity.P2bC2,19)="","",INDEX(I.Electricity.P2bC2,19))</f>
        <v/>
      </c>
      <c r="G327" s="59"/>
      <c r="H327" s="26" t="str">
        <f t="shared" si="7"/>
        <v>Complete</v>
      </c>
      <c r="I327" s="39" t="s">
        <v>483</v>
      </c>
    </row>
    <row r="328" spans="2:9" ht="15" customHeight="1" x14ac:dyDescent="0.25">
      <c r="B328" s="37" t="s">
        <v>593</v>
      </c>
      <c r="C328" s="26">
        <v>20</v>
      </c>
      <c r="D328" s="38" t="s">
        <v>2666</v>
      </c>
      <c r="E328" s="59"/>
      <c r="F328" s="59" t="str">
        <f>IF(INDEX(I.Electricity.P2bC2,20)="","",INDEX(I.Electricity.P2bC2,20))</f>
        <v/>
      </c>
      <c r="G328" s="59"/>
      <c r="H328" s="26" t="str">
        <f t="shared" si="7"/>
        <v>Complete</v>
      </c>
      <c r="I328" s="39" t="s">
        <v>484</v>
      </c>
    </row>
    <row r="329" spans="2:9" ht="15" customHeight="1" x14ac:dyDescent="0.25">
      <c r="B329" s="40" t="s">
        <v>593</v>
      </c>
      <c r="C329" s="46">
        <v>21</v>
      </c>
      <c r="D329" s="44" t="s">
        <v>2666</v>
      </c>
      <c r="E329" s="63"/>
      <c r="F329" s="63" t="str">
        <f>IF(INDEX(I.Electricity.P2bC2,21)="","",INDEX(I.Electricity.P2bC2,21))</f>
        <v/>
      </c>
      <c r="G329" s="63"/>
      <c r="H329" s="46" t="str">
        <f t="shared" si="7"/>
        <v>Complete</v>
      </c>
      <c r="I329" s="47" t="s">
        <v>485</v>
      </c>
    </row>
    <row r="330" spans="2:9" ht="15" customHeight="1" x14ac:dyDescent="0.25">
      <c r="B330" s="37" t="s">
        <v>594</v>
      </c>
      <c r="C330" s="26">
        <v>1</v>
      </c>
      <c r="D330" s="38" t="s">
        <v>2667</v>
      </c>
      <c r="E330" s="59"/>
      <c r="F330" s="59" t="str">
        <f>IF(INDEX(I.Electricity.P2bC3,1)="","",INDEX(I.Electricity.P2bC3,1))</f>
        <v/>
      </c>
      <c r="G330" s="59"/>
      <c r="H330" s="26" t="str">
        <f>IF(I.Developer.P2b=FALSE,"Complete",IF(I.Product.P2bElectricity&lt;&gt;"Yes","Complete",IF(I.Developer.P2bC3=FALSE,"Complete",IF(I.Facility.StandardPart&lt;&gt;"Part 2","Complete",IF(F330="","Incomplete","Complete")))))</f>
        <v>Complete</v>
      </c>
      <c r="I330" s="39" t="s">
        <v>487</v>
      </c>
    </row>
    <row r="331" spans="2:9" ht="15" customHeight="1" x14ac:dyDescent="0.25">
      <c r="B331" s="37" t="s">
        <v>594</v>
      </c>
      <c r="C331" s="26">
        <v>2</v>
      </c>
      <c r="D331" s="38" t="s">
        <v>2667</v>
      </c>
      <c r="E331" s="59"/>
      <c r="F331" s="59" t="str">
        <f>IF(INDEX(I.Electricity.P2bC3,2)="","",INDEX(I.Electricity.P2bC3,2))</f>
        <v/>
      </c>
      <c r="G331" s="59"/>
      <c r="H331" s="26" t="str">
        <f>IF(I.Developer.P2b=FALSE,"Complete",IF(I.Product.P2bElectricity&lt;&gt;"Yes","Complete",IF(I.Developer.P2bC3=FALSE,"Complete",IF(I.Facility.StandardPart&lt;&gt;"Part 2","Complete",IF(F331="","Incomplete","Complete")))))</f>
        <v>Complete</v>
      </c>
      <c r="I331" s="39" t="s">
        <v>488</v>
      </c>
    </row>
    <row r="332" spans="2:9" ht="15" customHeight="1" x14ac:dyDescent="0.25">
      <c r="B332" s="37" t="s">
        <v>594</v>
      </c>
      <c r="C332" s="26">
        <v>3</v>
      </c>
      <c r="D332" s="38" t="s">
        <v>2667</v>
      </c>
      <c r="E332" s="59"/>
      <c r="F332" s="59" t="str">
        <f>IF(INDEX(I.Electricity.P2bC3,3)="","",INDEX(I.Electricity.P2bC3,3))</f>
        <v/>
      </c>
      <c r="G332" s="59"/>
      <c r="H332" s="26" t="str">
        <f>IF(I.Developer.P2b=FALSE,"Complete",IF(I.Product.P2bElectricity&lt;&gt;"Yes","Complete",IF(I.Developer.P2bC3=FALSE,"Complete",IF(I.Facility.StandardPart="Part 2","Complete",IF(F332="","Incomplete","Complete")))))</f>
        <v>Complete</v>
      </c>
      <c r="I332" s="39" t="s">
        <v>489</v>
      </c>
    </row>
    <row r="333" spans="2:9" ht="15" customHeight="1" x14ac:dyDescent="0.25">
      <c r="B333" s="37" t="s">
        <v>594</v>
      </c>
      <c r="C333" s="26">
        <v>4</v>
      </c>
      <c r="D333" s="38" t="s">
        <v>2667</v>
      </c>
      <c r="E333" s="59"/>
      <c r="F333" s="59" t="str">
        <f>IF(INDEX(I.Electricity.P2bC3,4)="","",INDEX(I.Electricity.P2bC3,4))</f>
        <v/>
      </c>
      <c r="G333" s="59"/>
      <c r="H333" s="26" t="str">
        <f>IF(I.Developer.P2b=FALSE,"Complete",IF(I.Product.P2bElectricity&lt;&gt;"Yes","Complete",IF(I.Developer.P2bC3=FALSE,"Complete",IF(I.Facility.StandardPart="Part 2","Complete",IF(F333="","Incomplete","Complete")))))</f>
        <v>Complete</v>
      </c>
      <c r="I333" s="39" t="s">
        <v>490</v>
      </c>
    </row>
    <row r="334" spans="2:9" ht="15" customHeight="1" x14ac:dyDescent="0.25">
      <c r="B334" s="40" t="s">
        <v>594</v>
      </c>
      <c r="C334" s="46">
        <v>5</v>
      </c>
      <c r="D334" s="44" t="s">
        <v>2667</v>
      </c>
      <c r="E334" s="63"/>
      <c r="F334" s="63" t="str">
        <f>IF(INDEX(I.Electricity.P2bC3,5)="","",INDEX(I.Electricity.P2bC3,5))</f>
        <v/>
      </c>
      <c r="G334" s="63"/>
      <c r="H334" s="46" t="str">
        <f>IF(I.Developer.P2b=FALSE,"Complete",IF(I.Product.P2bElectricity&lt;&gt;"Yes","Complete",IF(I.Developer.P2bC3=FALSE,"Complete",IF(I.Facility.StandardPart="Part 2","Complete",IF(F334="","Incomplete","Complete")))))</f>
        <v>Complete</v>
      </c>
      <c r="I334" s="47" t="s">
        <v>491</v>
      </c>
    </row>
    <row r="335" spans="2:9" ht="15" customHeight="1" x14ac:dyDescent="0.25">
      <c r="B335" s="37" t="s">
        <v>595</v>
      </c>
      <c r="C335" s="26">
        <v>1</v>
      </c>
      <c r="D335" s="38" t="s">
        <v>2668</v>
      </c>
      <c r="E335" s="59"/>
      <c r="F335" s="59" t="str">
        <f>IF(INDEX(I.Electricity.P2bC4,1)="","",INDEX(I.Electricity.P2bC4,1))</f>
        <v/>
      </c>
      <c r="G335" s="59"/>
      <c r="H335" s="26" t="str">
        <f>IF(I.Developer.P2b=FALSE,"Complete",IF(I.Product.P2bElectricity&lt;&gt;"Yes","Complete",IF(I.Developer.P2bC4=FALSE,"Complete",IF(F335="","Incomplete","Complete"))))</f>
        <v>Complete</v>
      </c>
      <c r="I335" s="39" t="s">
        <v>493</v>
      </c>
    </row>
    <row r="336" spans="2:9" ht="15" customHeight="1" x14ac:dyDescent="0.25">
      <c r="B336" s="37" t="s">
        <v>595</v>
      </c>
      <c r="C336" s="26">
        <v>2</v>
      </c>
      <c r="D336" s="38" t="s">
        <v>2668</v>
      </c>
      <c r="E336" s="59"/>
      <c r="F336" s="59" t="str">
        <f>IF(INDEX(I.Electricity.P2bC4,2)="","",INDEX(I.Electricity.P2bC4,2))</f>
        <v/>
      </c>
      <c r="G336" s="59"/>
      <c r="H336" s="26" t="str">
        <f>IF(I.Developer.P2b=FALSE,"Complete",IF(I.Product.P2bElectricity&lt;&gt;"Yes","Complete",IF(I.Developer.P2bC4=FALSE,"Complete",IF(F336="","Incomplete","Complete"))))</f>
        <v>Complete</v>
      </c>
      <c r="I336" s="39" t="s">
        <v>494</v>
      </c>
    </row>
    <row r="337" spans="2:9" ht="15" customHeight="1" x14ac:dyDescent="0.25">
      <c r="B337" s="40" t="s">
        <v>595</v>
      </c>
      <c r="C337" s="46">
        <v>3</v>
      </c>
      <c r="D337" s="44" t="s">
        <v>2668</v>
      </c>
      <c r="E337" s="63"/>
      <c r="F337" s="63" t="str">
        <f>IF(INDEX(I.Electricity.P2bC4,3)="","",INDEX(I.Electricity.P2bC4,3))</f>
        <v/>
      </c>
      <c r="G337" s="63"/>
      <c r="H337" s="46" t="str">
        <f>IF(I.Developer.P2b=FALSE,"Complete",IF(I.Product.P2bElectricity&lt;&gt;"Yes","Complete",IF(I.Developer.P2bC4=FALSE,"Complete",IF(F337="","Incomplete","Complete"))))</f>
        <v>Complete</v>
      </c>
      <c r="I337" s="47" t="s">
        <v>495</v>
      </c>
    </row>
    <row r="338" spans="2:9" ht="15" customHeight="1" x14ac:dyDescent="0.25">
      <c r="B338" s="37" t="s">
        <v>596</v>
      </c>
      <c r="C338" s="26">
        <v>1</v>
      </c>
      <c r="D338" s="38" t="s">
        <v>2669</v>
      </c>
      <c r="E338" s="59"/>
      <c r="F338" s="59" t="str">
        <f>IF(INDEX(I.Electricity.P3C1,1)="","",INDEX(I.Electricity.P3C1,1))</f>
        <v/>
      </c>
      <c r="G338" s="59"/>
      <c r="H338" s="26" t="str">
        <f>IF(I.Developer.P3=FALSE,"Complete",IF(I.Product.P3Electricity&lt;&gt;"Yes","Complete",IF(I.Developer.P3C1=FALSE,"Complete",IF(I.Facility.StandardPart&lt;&gt;"Part 2","Complete",IF(F338="","Incomplete","Complete")))))</f>
        <v>Complete</v>
      </c>
      <c r="I338" s="39" t="s">
        <v>499</v>
      </c>
    </row>
    <row r="339" spans="2:9" ht="15" customHeight="1" x14ac:dyDescent="0.25">
      <c r="B339" s="37" t="s">
        <v>596</v>
      </c>
      <c r="C339" s="26">
        <v>2</v>
      </c>
      <c r="D339" s="38" t="s">
        <v>2669</v>
      </c>
      <c r="E339" s="59"/>
      <c r="F339" s="59" t="str">
        <f>IF(INDEX(I.Electricity.P3C1,2)="","",INDEX(I.Electricity.P3C1,2))</f>
        <v/>
      </c>
      <c r="G339" s="59"/>
      <c r="H339" s="26" t="str">
        <f>IF(I.Developer.P3=FALSE,"Complete",IF(I.Product.P3Electricity&lt;&gt;"Yes","Complete",IF(I.Developer.P3C1=FALSE,"Complete",IF(I.Facility.StandardPart&lt;&gt;"Part 2","Complete",IF(I.Developer.P3C1V2=FALSE,"Complete",IF(F339="","Incomplete","Complete"))))))</f>
        <v>Complete</v>
      </c>
      <c r="I339" s="39" t="s">
        <v>500</v>
      </c>
    </row>
    <row r="340" spans="2:9" ht="15" customHeight="1" x14ac:dyDescent="0.25">
      <c r="B340" s="37" t="s">
        <v>596</v>
      </c>
      <c r="C340" s="26">
        <v>3</v>
      </c>
      <c r="D340" s="38" t="s">
        <v>2669</v>
      </c>
      <c r="E340" s="59"/>
      <c r="F340" s="59" t="str">
        <f>IF(INDEX(I.Electricity.P3C1,3)="","",INDEX(I.Electricity.P3C1,3))</f>
        <v/>
      </c>
      <c r="G340" s="59"/>
      <c r="H340" s="26" t="str">
        <f>IF(I.Developer.P3=FALSE,"Complete",IF(I.Product.P3Electricity&lt;&gt;"Yes","Complete",IF(I.Developer.P3C1=FALSE,"Complete",IF(I.Facility.StandardPart&lt;&gt;"Part 2","Complete",IF(I.Developer.P3C1V3=FALSE,"Complete",IF(F340="","Incomplete","Complete"))))))</f>
        <v>Complete</v>
      </c>
      <c r="I340" s="39" t="s">
        <v>501</v>
      </c>
    </row>
    <row r="341" spans="2:9" ht="15" customHeight="1" x14ac:dyDescent="0.25">
      <c r="B341" s="37" t="s">
        <v>596</v>
      </c>
      <c r="C341" s="26">
        <v>4</v>
      </c>
      <c r="D341" s="38" t="s">
        <v>2669</v>
      </c>
      <c r="E341" s="59"/>
      <c r="F341" s="59" t="str">
        <f>IF(INDEX(I.Electricity.P3C1,4)="","",INDEX(I.Electricity.P3C1,4))</f>
        <v/>
      </c>
      <c r="G341" s="59"/>
      <c r="H341" s="26" t="str">
        <f>IF(I.Developer.P3=FALSE,"Complete",IF(I.Product.P3Electricity&lt;&gt;"Yes","Complete",IF(I.Developer.P3C1=FALSE,"Complete",IF(I.Facility.StandardPart&lt;&gt;"Part 2","Complete",IF(I.Developer.P3C1V4=FALSE,"Complete",IF(F341="","Incomplete","Complete"))))))</f>
        <v>Complete</v>
      </c>
      <c r="I341" s="39" t="s">
        <v>502</v>
      </c>
    </row>
    <row r="342" spans="2:9" ht="15" customHeight="1" x14ac:dyDescent="0.25">
      <c r="B342" s="37" t="s">
        <v>596</v>
      </c>
      <c r="C342" s="26">
        <v>5</v>
      </c>
      <c r="D342" s="38" t="s">
        <v>2669</v>
      </c>
      <c r="E342" s="59"/>
      <c r="F342" s="59" t="str">
        <f>IF(INDEX(I.Electricity.P3C1,5)="","",INDEX(I.Electricity.P3C1,5))</f>
        <v/>
      </c>
      <c r="G342" s="59"/>
      <c r="H342" s="26" t="str">
        <f>IF(I.Developer.P3=FALSE,"Complete",IF(I.Product.P3Electricity&lt;&gt;"Yes","Complete",IF(I.Developer.P3C1=FALSE,"Complete",IF(I.Facility.StandardPart&lt;&gt;"Part 2","Complete",IF(I.Developer.P3C1V5=FALSE,"Complete",IF(F342="","Incomplete","Complete"))))))</f>
        <v>Complete</v>
      </c>
      <c r="I342" s="39" t="s">
        <v>503</v>
      </c>
    </row>
    <row r="343" spans="2:9" ht="15" customHeight="1" x14ac:dyDescent="0.25">
      <c r="B343" s="37" t="s">
        <v>596</v>
      </c>
      <c r="C343" s="26">
        <v>6</v>
      </c>
      <c r="D343" s="38" t="s">
        <v>2669</v>
      </c>
      <c r="E343" s="59"/>
      <c r="F343" s="59" t="str">
        <f>IF(INDEX(I.Electricity.P3C1,6)="","",INDEX(I.Electricity.P3C1,6))</f>
        <v/>
      </c>
      <c r="G343" s="59"/>
      <c r="H343" s="26" t="str">
        <f>IF(I.Developer.P3=FALSE,"Complete",IF(I.Product.P3Electricity&lt;&gt;"Yes","Complete",IF(I.Developer.P3C1=FALSE,"Complete",IF(I.Facility.StandardPart&lt;&gt;"Part 2","Complete",IF(I.Developer.P3C1V6=FALSE,"Complete",IF(F343="","Incomplete","Complete"))))))</f>
        <v>Complete</v>
      </c>
      <c r="I343" s="39" t="s">
        <v>504</v>
      </c>
    </row>
    <row r="344" spans="2:9" ht="15" customHeight="1" x14ac:dyDescent="0.25">
      <c r="B344" s="37" t="s">
        <v>596</v>
      </c>
      <c r="C344" s="26">
        <v>7</v>
      </c>
      <c r="D344" s="38" t="s">
        <v>2669</v>
      </c>
      <c r="E344" s="59"/>
      <c r="F344" s="59" t="str">
        <f>IF(INDEX(I.Electricity.P3C1,7)="","",INDEX(I.Electricity.P3C1,7))</f>
        <v/>
      </c>
      <c r="G344" s="59"/>
      <c r="H344" s="26" t="str">
        <f>IF(I.Developer.P3=FALSE,"Complete",IF(I.Product.P3Electricity&lt;&gt;"Yes","Complete",IF(I.Developer.P3C1=FALSE,"Complete",IF(I.Facility.StandardPart="Part 2","Complete",IF(F344="","Incomplete","Complete")))))</f>
        <v>Complete</v>
      </c>
      <c r="I344" s="39" t="s">
        <v>505</v>
      </c>
    </row>
    <row r="345" spans="2:9" ht="15" customHeight="1" x14ac:dyDescent="0.25">
      <c r="B345" s="37" t="s">
        <v>596</v>
      </c>
      <c r="C345" s="26">
        <v>8</v>
      </c>
      <c r="D345" s="38" t="s">
        <v>2669</v>
      </c>
      <c r="E345" s="59"/>
      <c r="F345" s="59" t="str">
        <f>IF(INDEX(I.Electricity.P3C1,8)="","",INDEX(I.Electricity.P3C1,8))</f>
        <v/>
      </c>
      <c r="G345" s="59"/>
      <c r="H345" s="26" t="str">
        <f>IF(I.Developer.P3=FALSE,"Complete",IF(I.Product.P3Electricity&lt;&gt;"Yes","Complete",IF(I.Developer.P3C1=FALSE,"Complete",IF(I.Facility.StandardPart="Part 2","Complete",IF(F345="","Incomplete","Complete")))))</f>
        <v>Complete</v>
      </c>
      <c r="I345" s="39" t="s">
        <v>506</v>
      </c>
    </row>
    <row r="346" spans="2:9" ht="15" customHeight="1" x14ac:dyDescent="0.25">
      <c r="B346" s="40" t="s">
        <v>596</v>
      </c>
      <c r="C346" s="46">
        <v>9</v>
      </c>
      <c r="D346" s="44" t="s">
        <v>2669</v>
      </c>
      <c r="E346" s="63"/>
      <c r="F346" s="63" t="str">
        <f>IF(INDEX(I.Electricity.P3C1,9)="","",INDEX(I.Electricity.P3C1,9))</f>
        <v/>
      </c>
      <c r="G346" s="63"/>
      <c r="H346" s="46" t="str">
        <f>IF(I.Developer.P3=FALSE,"Complete",IF(I.Product.P3Electricity&lt;&gt;"Yes","Complete",IF(I.Developer.P3C1=FALSE,"Complete",IF(I.Facility.StandardPart="Part 2","Complete",IF(F346="","Incomplete","Complete")))))</f>
        <v>Complete</v>
      </c>
      <c r="I346" s="47" t="s">
        <v>507</v>
      </c>
    </row>
    <row r="347" spans="2:9" ht="15" customHeight="1" x14ac:dyDescent="0.25">
      <c r="B347" s="37" t="s">
        <v>597</v>
      </c>
      <c r="C347" s="26">
        <v>1</v>
      </c>
      <c r="D347" s="38" t="s">
        <v>2670</v>
      </c>
      <c r="E347" s="59"/>
      <c r="F347" s="59" t="str">
        <f>IF(INDEX(I.Electricity.P3C2,1)="","",INDEX(I.Electricity.P3C2,1))</f>
        <v/>
      </c>
      <c r="G347" s="59"/>
      <c r="H347" s="26" t="str">
        <f t="shared" ref="H347:H367" si="8">IF(I.Developer.P3=FALSE,"Complete",IF(I.Product.P3Electricity&lt;&gt;"Yes","Complete",IF(I.Developer.P3C2=FALSE,"Complete",IF(F347="","Incomplete","Complete"))))</f>
        <v>Complete</v>
      </c>
      <c r="I347" s="39" t="s">
        <v>509</v>
      </c>
    </row>
    <row r="348" spans="2:9" ht="15" customHeight="1" x14ac:dyDescent="0.25">
      <c r="B348" s="37" t="s">
        <v>597</v>
      </c>
      <c r="C348" s="26">
        <v>2</v>
      </c>
      <c r="D348" s="38" t="s">
        <v>2670</v>
      </c>
      <c r="E348" s="59"/>
      <c r="F348" s="59" t="str">
        <f>IF(INDEX(I.Electricity.P3C2,2)="","",INDEX(I.Electricity.P3C2,2))</f>
        <v/>
      </c>
      <c r="G348" s="59"/>
      <c r="H348" s="26" t="str">
        <f t="shared" si="8"/>
        <v>Complete</v>
      </c>
      <c r="I348" s="39" t="s">
        <v>510</v>
      </c>
    </row>
    <row r="349" spans="2:9" ht="15" customHeight="1" x14ac:dyDescent="0.25">
      <c r="B349" s="37" t="s">
        <v>597</v>
      </c>
      <c r="C349" s="26">
        <v>3</v>
      </c>
      <c r="D349" s="38" t="s">
        <v>2670</v>
      </c>
      <c r="E349" s="59"/>
      <c r="F349" s="59" t="str">
        <f>IF(INDEX(I.Electricity.P3C2,3)="","",INDEX(I.Electricity.P3C2,3))</f>
        <v/>
      </c>
      <c r="G349" s="59"/>
      <c r="H349" s="26" t="str">
        <f t="shared" si="8"/>
        <v>Complete</v>
      </c>
      <c r="I349" s="39" t="s">
        <v>511</v>
      </c>
    </row>
    <row r="350" spans="2:9" ht="15" customHeight="1" x14ac:dyDescent="0.25">
      <c r="B350" s="37" t="s">
        <v>597</v>
      </c>
      <c r="C350" s="26">
        <v>4</v>
      </c>
      <c r="D350" s="38" t="s">
        <v>2670</v>
      </c>
      <c r="E350" s="59"/>
      <c r="F350" s="59" t="str">
        <f>IF(INDEX(I.Electricity.P3C2,4)="","",INDEX(I.Electricity.P3C2,4))</f>
        <v/>
      </c>
      <c r="G350" s="59"/>
      <c r="H350" s="26" t="str">
        <f t="shared" si="8"/>
        <v>Complete</v>
      </c>
      <c r="I350" s="39" t="s">
        <v>512</v>
      </c>
    </row>
    <row r="351" spans="2:9" ht="15" customHeight="1" x14ac:dyDescent="0.25">
      <c r="B351" s="37" t="s">
        <v>597</v>
      </c>
      <c r="C351" s="26">
        <v>5</v>
      </c>
      <c r="D351" s="38" t="s">
        <v>2670</v>
      </c>
      <c r="E351" s="59"/>
      <c r="F351" s="59" t="str">
        <f>IF(INDEX(I.Electricity.P3C2,5)="","",INDEX(I.Electricity.P3C2,5))</f>
        <v/>
      </c>
      <c r="G351" s="59"/>
      <c r="H351" s="26" t="str">
        <f t="shared" si="8"/>
        <v>Complete</v>
      </c>
      <c r="I351" s="39" t="s">
        <v>513</v>
      </c>
    </row>
    <row r="352" spans="2:9" ht="15" customHeight="1" x14ac:dyDescent="0.25">
      <c r="B352" s="37" t="s">
        <v>597</v>
      </c>
      <c r="C352" s="26">
        <v>6</v>
      </c>
      <c r="D352" s="38" t="s">
        <v>2670</v>
      </c>
      <c r="E352" s="59"/>
      <c r="F352" s="59" t="str">
        <f>IF(INDEX(I.Electricity.P3C2,6)="","",INDEX(I.Electricity.P3C2,6))</f>
        <v/>
      </c>
      <c r="G352" s="59"/>
      <c r="H352" s="26" t="str">
        <f t="shared" si="8"/>
        <v>Complete</v>
      </c>
      <c r="I352" s="39" t="s">
        <v>514</v>
      </c>
    </row>
    <row r="353" spans="2:9" ht="15" customHeight="1" x14ac:dyDescent="0.25">
      <c r="B353" s="37" t="s">
        <v>597</v>
      </c>
      <c r="C353" s="26">
        <v>7</v>
      </c>
      <c r="D353" s="38" t="s">
        <v>2670</v>
      </c>
      <c r="E353" s="59"/>
      <c r="F353" s="59" t="str">
        <f>IF(INDEX(I.Electricity.P3C2,7)="","",INDEX(I.Electricity.P3C2,7))</f>
        <v/>
      </c>
      <c r="G353" s="59"/>
      <c r="H353" s="26" t="str">
        <f t="shared" si="8"/>
        <v>Complete</v>
      </c>
      <c r="I353" s="39" t="s">
        <v>515</v>
      </c>
    </row>
    <row r="354" spans="2:9" ht="15" customHeight="1" x14ac:dyDescent="0.25">
      <c r="B354" s="37" t="s">
        <v>597</v>
      </c>
      <c r="C354" s="26">
        <v>8</v>
      </c>
      <c r="D354" s="38" t="s">
        <v>2670</v>
      </c>
      <c r="E354" s="59"/>
      <c r="F354" s="59" t="str">
        <f>IF(INDEX(I.Electricity.P3C2,8)="","",INDEX(I.Electricity.P3C2,8))</f>
        <v/>
      </c>
      <c r="G354" s="59"/>
      <c r="H354" s="26" t="str">
        <f t="shared" si="8"/>
        <v>Complete</v>
      </c>
      <c r="I354" s="39" t="s">
        <v>516</v>
      </c>
    </row>
    <row r="355" spans="2:9" ht="15" customHeight="1" x14ac:dyDescent="0.25">
      <c r="B355" s="37" t="s">
        <v>597</v>
      </c>
      <c r="C355" s="26">
        <v>9</v>
      </c>
      <c r="D355" s="38" t="s">
        <v>2670</v>
      </c>
      <c r="E355" s="59"/>
      <c r="F355" s="59" t="str">
        <f>IF(INDEX(I.Electricity.P3C2,9)="","",INDEX(I.Electricity.P3C2,9))</f>
        <v/>
      </c>
      <c r="G355" s="59"/>
      <c r="H355" s="26" t="str">
        <f t="shared" si="8"/>
        <v>Complete</v>
      </c>
      <c r="I355" s="39" t="s">
        <v>517</v>
      </c>
    </row>
    <row r="356" spans="2:9" ht="15" customHeight="1" x14ac:dyDescent="0.25">
      <c r="B356" s="37" t="s">
        <v>597</v>
      </c>
      <c r="C356" s="26">
        <v>10</v>
      </c>
      <c r="D356" s="38" t="s">
        <v>2670</v>
      </c>
      <c r="E356" s="59"/>
      <c r="F356" s="59" t="str">
        <f>IF(INDEX(I.Electricity.P3C2,10)="","",INDEX(I.Electricity.P3C2,10))</f>
        <v/>
      </c>
      <c r="G356" s="59"/>
      <c r="H356" s="26" t="str">
        <f t="shared" si="8"/>
        <v>Complete</v>
      </c>
      <c r="I356" s="39" t="s">
        <v>518</v>
      </c>
    </row>
    <row r="357" spans="2:9" ht="15" customHeight="1" x14ac:dyDescent="0.25">
      <c r="B357" s="37" t="s">
        <v>597</v>
      </c>
      <c r="C357" s="26">
        <v>11</v>
      </c>
      <c r="D357" s="38" t="s">
        <v>2670</v>
      </c>
      <c r="E357" s="59"/>
      <c r="F357" s="59" t="str">
        <f>IF(INDEX(I.Electricity.P3C2,11)="","",INDEX(I.Electricity.P3C2,11))</f>
        <v/>
      </c>
      <c r="G357" s="59"/>
      <c r="H357" s="26" t="str">
        <f t="shared" si="8"/>
        <v>Complete</v>
      </c>
      <c r="I357" s="39" t="s">
        <v>519</v>
      </c>
    </row>
    <row r="358" spans="2:9" ht="15" customHeight="1" x14ac:dyDescent="0.25">
      <c r="B358" s="37" t="s">
        <v>597</v>
      </c>
      <c r="C358" s="26">
        <v>12</v>
      </c>
      <c r="D358" s="38" t="s">
        <v>2670</v>
      </c>
      <c r="E358" s="59"/>
      <c r="F358" s="59" t="str">
        <f>IF(INDEX(I.Electricity.P3C2,12)="","",INDEX(I.Electricity.P3C2,12))</f>
        <v/>
      </c>
      <c r="G358" s="59"/>
      <c r="H358" s="26" t="str">
        <f t="shared" si="8"/>
        <v>Complete</v>
      </c>
      <c r="I358" s="39" t="s">
        <v>520</v>
      </c>
    </row>
    <row r="359" spans="2:9" ht="15" customHeight="1" x14ac:dyDescent="0.25">
      <c r="B359" s="37" t="s">
        <v>597</v>
      </c>
      <c r="C359" s="26">
        <v>13</v>
      </c>
      <c r="D359" s="38" t="s">
        <v>2670</v>
      </c>
      <c r="E359" s="59"/>
      <c r="F359" s="59" t="str">
        <f>IF(INDEX(I.Electricity.P3C2,13)="","",INDEX(I.Electricity.P3C2,13))</f>
        <v/>
      </c>
      <c r="G359" s="59"/>
      <c r="H359" s="26" t="str">
        <f t="shared" si="8"/>
        <v>Complete</v>
      </c>
      <c r="I359" s="39" t="s">
        <v>521</v>
      </c>
    </row>
    <row r="360" spans="2:9" ht="15" customHeight="1" x14ac:dyDescent="0.25">
      <c r="B360" s="37" t="s">
        <v>597</v>
      </c>
      <c r="C360" s="26">
        <v>14</v>
      </c>
      <c r="D360" s="38" t="s">
        <v>2670</v>
      </c>
      <c r="E360" s="59"/>
      <c r="F360" s="59" t="str">
        <f>IF(INDEX(I.Electricity.P3C2,14)="","",INDEX(I.Electricity.P3C2,14))</f>
        <v/>
      </c>
      <c r="G360" s="59"/>
      <c r="H360" s="26" t="str">
        <f t="shared" si="8"/>
        <v>Complete</v>
      </c>
      <c r="I360" s="39" t="s">
        <v>522</v>
      </c>
    </row>
    <row r="361" spans="2:9" ht="15" customHeight="1" x14ac:dyDescent="0.25">
      <c r="B361" s="37" t="s">
        <v>597</v>
      </c>
      <c r="C361" s="26">
        <v>15</v>
      </c>
      <c r="D361" s="38" t="s">
        <v>2670</v>
      </c>
      <c r="E361" s="59"/>
      <c r="F361" s="59" t="str">
        <f>IF(INDEX(I.Electricity.P3C2,15)="","",INDEX(I.Electricity.P3C2,15))</f>
        <v/>
      </c>
      <c r="G361" s="59"/>
      <c r="H361" s="26" t="str">
        <f t="shared" si="8"/>
        <v>Complete</v>
      </c>
      <c r="I361" s="39" t="s">
        <v>523</v>
      </c>
    </row>
    <row r="362" spans="2:9" ht="15" customHeight="1" x14ac:dyDescent="0.25">
      <c r="B362" s="37" t="s">
        <v>597</v>
      </c>
      <c r="C362" s="26">
        <v>16</v>
      </c>
      <c r="D362" s="38" t="s">
        <v>2670</v>
      </c>
      <c r="E362" s="59"/>
      <c r="F362" s="59" t="str">
        <f>IF(INDEX(I.Electricity.P3C2,16)="","",INDEX(I.Electricity.P3C2,16))</f>
        <v/>
      </c>
      <c r="G362" s="59"/>
      <c r="H362" s="26" t="str">
        <f t="shared" si="8"/>
        <v>Complete</v>
      </c>
      <c r="I362" s="39" t="s">
        <v>524</v>
      </c>
    </row>
    <row r="363" spans="2:9" ht="15" customHeight="1" x14ac:dyDescent="0.25">
      <c r="B363" s="37" t="s">
        <v>597</v>
      </c>
      <c r="C363" s="26">
        <v>17</v>
      </c>
      <c r="D363" s="38" t="s">
        <v>2670</v>
      </c>
      <c r="E363" s="59"/>
      <c r="F363" s="59" t="str">
        <f>IF(INDEX(I.Electricity.P3C2,17)="","",INDEX(I.Electricity.P3C2,17))</f>
        <v/>
      </c>
      <c r="G363" s="59"/>
      <c r="H363" s="26" t="str">
        <f t="shared" si="8"/>
        <v>Complete</v>
      </c>
      <c r="I363" s="39" t="s">
        <v>525</v>
      </c>
    </row>
    <row r="364" spans="2:9" ht="15" customHeight="1" x14ac:dyDescent="0.25">
      <c r="B364" s="37" t="s">
        <v>597</v>
      </c>
      <c r="C364" s="26">
        <v>18</v>
      </c>
      <c r="D364" s="38" t="s">
        <v>2670</v>
      </c>
      <c r="E364" s="59"/>
      <c r="F364" s="59" t="str">
        <f>IF(INDEX(I.Electricity.P3C2,18)="","",INDEX(I.Electricity.P3C2,18))</f>
        <v/>
      </c>
      <c r="G364" s="59"/>
      <c r="H364" s="26" t="str">
        <f t="shared" si="8"/>
        <v>Complete</v>
      </c>
      <c r="I364" s="39" t="s">
        <v>526</v>
      </c>
    </row>
    <row r="365" spans="2:9" ht="15" customHeight="1" x14ac:dyDescent="0.25">
      <c r="B365" s="37" t="s">
        <v>597</v>
      </c>
      <c r="C365" s="26">
        <v>19</v>
      </c>
      <c r="D365" s="38" t="s">
        <v>2670</v>
      </c>
      <c r="E365" s="59"/>
      <c r="F365" s="59" t="str">
        <f>IF(INDEX(I.Electricity.P3C2,19)="","",INDEX(I.Electricity.P3C2,19))</f>
        <v/>
      </c>
      <c r="G365" s="59"/>
      <c r="H365" s="26" t="str">
        <f t="shared" si="8"/>
        <v>Complete</v>
      </c>
      <c r="I365" s="39" t="s">
        <v>527</v>
      </c>
    </row>
    <row r="366" spans="2:9" ht="15" customHeight="1" x14ac:dyDescent="0.25">
      <c r="B366" s="37" t="s">
        <v>597</v>
      </c>
      <c r="C366" s="26">
        <v>20</v>
      </c>
      <c r="D366" s="38" t="s">
        <v>2670</v>
      </c>
      <c r="E366" s="59"/>
      <c r="F366" s="59" t="str">
        <f>IF(INDEX(I.Electricity.P3C2,20)="","",INDEX(I.Electricity.P3C2,20))</f>
        <v/>
      </c>
      <c r="G366" s="59"/>
      <c r="H366" s="26" t="str">
        <f t="shared" si="8"/>
        <v>Complete</v>
      </c>
      <c r="I366" s="39" t="s">
        <v>528</v>
      </c>
    </row>
    <row r="367" spans="2:9" ht="15" customHeight="1" x14ac:dyDescent="0.25">
      <c r="B367" s="40" t="s">
        <v>597</v>
      </c>
      <c r="C367" s="46">
        <v>21</v>
      </c>
      <c r="D367" s="44" t="s">
        <v>2670</v>
      </c>
      <c r="E367" s="63"/>
      <c r="F367" s="63" t="str">
        <f>IF(INDEX(I.Electricity.P3C2,21)="","",INDEX(I.Electricity.P3C2,21))</f>
        <v/>
      </c>
      <c r="G367" s="63"/>
      <c r="H367" s="46" t="str">
        <f t="shared" si="8"/>
        <v>Complete</v>
      </c>
      <c r="I367" s="47" t="s">
        <v>529</v>
      </c>
    </row>
    <row r="368" spans="2:9" ht="15" customHeight="1" x14ac:dyDescent="0.25">
      <c r="B368" s="37" t="s">
        <v>598</v>
      </c>
      <c r="C368" s="26">
        <v>1</v>
      </c>
      <c r="D368" s="38" t="s">
        <v>2671</v>
      </c>
      <c r="E368" s="59"/>
      <c r="F368" s="59" t="str">
        <f>IF(INDEX(I.Electricity.P3C3,1)="","",INDEX(I.Electricity.P3C3,1))</f>
        <v/>
      </c>
      <c r="G368" s="59"/>
      <c r="H368" s="26" t="str">
        <f>IF(I.Developer.P3=FALSE,"Complete",IF(I.Product.P3Electricity&lt;&gt;"Yes","Complete",IF(I.Developer.P3C3=FALSE,"Complete",IF(I.Facility.StandardPart&lt;&gt;"Part 2","Complete",IF(F368="","Incomplete","Complete")))))</f>
        <v>Complete</v>
      </c>
      <c r="I368" s="39" t="s">
        <v>531</v>
      </c>
    </row>
    <row r="369" spans="2:9" ht="15" customHeight="1" x14ac:dyDescent="0.25">
      <c r="B369" s="37" t="s">
        <v>598</v>
      </c>
      <c r="C369" s="26">
        <v>2</v>
      </c>
      <c r="D369" s="38" t="s">
        <v>2671</v>
      </c>
      <c r="E369" s="59"/>
      <c r="F369" s="59" t="str">
        <f>IF(INDEX(I.Electricity.P3C3,2)="","",INDEX(I.Electricity.P3C3,2))</f>
        <v/>
      </c>
      <c r="G369" s="59"/>
      <c r="H369" s="26" t="str">
        <f>IF(I.Developer.P3=FALSE,"Complete",IF(I.Product.P3Electricity&lt;&gt;"Yes","Complete",IF(I.Developer.P3C3=FALSE,"Complete",IF(I.Facility.StandardPart&lt;&gt;"Part 2","Complete",IF(F369="","Incomplete","Complete")))))</f>
        <v>Complete</v>
      </c>
      <c r="I369" s="39" t="s">
        <v>532</v>
      </c>
    </row>
    <row r="370" spans="2:9" ht="15" customHeight="1" x14ac:dyDescent="0.25">
      <c r="B370" s="37" t="s">
        <v>598</v>
      </c>
      <c r="C370" s="26">
        <v>3</v>
      </c>
      <c r="D370" s="38" t="s">
        <v>2671</v>
      </c>
      <c r="E370" s="59"/>
      <c r="F370" s="59" t="str">
        <f>IF(INDEX(I.Electricity.P3C3,3)="","",INDEX(I.Electricity.P3C3,3))</f>
        <v/>
      </c>
      <c r="G370" s="59"/>
      <c r="H370" s="26" t="str">
        <f>IF(I.Developer.P3=FALSE,"Complete",IF(I.Product.P3Electricity&lt;&gt;"Yes","Complete",IF(I.Developer.P3C3=FALSE,"Complete",IF(I.Facility.StandardPart="Part 2","Complete",IF(F370="","Incomplete","Complete")))))</f>
        <v>Complete</v>
      </c>
      <c r="I370" s="39" t="s">
        <v>533</v>
      </c>
    </row>
    <row r="371" spans="2:9" ht="15" customHeight="1" x14ac:dyDescent="0.25">
      <c r="B371" s="37" t="s">
        <v>598</v>
      </c>
      <c r="C371" s="26">
        <v>4</v>
      </c>
      <c r="D371" s="38" t="s">
        <v>2671</v>
      </c>
      <c r="E371" s="59"/>
      <c r="F371" s="59" t="str">
        <f>IF(INDEX(I.Electricity.P3C3,4)="","",INDEX(I.Electricity.P3C3,4))</f>
        <v/>
      </c>
      <c r="G371" s="59"/>
      <c r="H371" s="26" t="str">
        <f>IF(I.Developer.P3=FALSE,"Complete",IF(I.Product.P3Electricity&lt;&gt;"Yes","Complete",IF(I.Developer.P3C3=FALSE,"Complete",IF(I.Facility.StandardPart="Part 2","Complete",IF(F371="","Incomplete","Complete")))))</f>
        <v>Complete</v>
      </c>
      <c r="I371" s="39" t="s">
        <v>534</v>
      </c>
    </row>
    <row r="372" spans="2:9" ht="15" customHeight="1" x14ac:dyDescent="0.25">
      <c r="B372" s="40" t="s">
        <v>598</v>
      </c>
      <c r="C372" s="46">
        <v>5</v>
      </c>
      <c r="D372" s="44" t="s">
        <v>2671</v>
      </c>
      <c r="E372" s="63"/>
      <c r="F372" s="63" t="str">
        <f>IF(INDEX(I.Electricity.P3C3,5)="","",INDEX(I.Electricity.P3C3,5))</f>
        <v/>
      </c>
      <c r="G372" s="63"/>
      <c r="H372" s="46" t="str">
        <f>IF(I.Developer.P3=FALSE,"Complete",IF(I.Product.P3Electricity&lt;&gt;"Yes","Complete",IF(I.Developer.P3C3=FALSE,"Complete",IF(I.Facility.StandardPart="Part 2","Complete",IF(F372="","Incomplete","Complete")))))</f>
        <v>Complete</v>
      </c>
      <c r="I372" s="47" t="s">
        <v>535</v>
      </c>
    </row>
    <row r="373" spans="2:9" ht="15" customHeight="1" x14ac:dyDescent="0.25">
      <c r="B373" s="37" t="s">
        <v>599</v>
      </c>
      <c r="C373" s="26">
        <v>1</v>
      </c>
      <c r="D373" s="38" t="s">
        <v>2672</v>
      </c>
      <c r="E373" s="59"/>
      <c r="F373" s="59" t="str">
        <f>IF(INDEX(I.Electricity.P3C4,1)="","",INDEX(I.Electricity.P3C4,1))</f>
        <v/>
      </c>
      <c r="G373" s="59"/>
      <c r="H373" s="26" t="str">
        <f>IF(I.Developer.P3=FALSE,"Complete",IF(I.Product.P3Electricity&lt;&gt;"Yes","Complete",IF(I.Developer.P3C4=FALSE,"Complete",IF(F373="","Incomplete","Complete"))))</f>
        <v>Complete</v>
      </c>
      <c r="I373" s="39" t="s">
        <v>537</v>
      </c>
    </row>
    <row r="374" spans="2:9" ht="15" customHeight="1" x14ac:dyDescent="0.25">
      <c r="B374" s="37" t="s">
        <v>599</v>
      </c>
      <c r="C374" s="26">
        <v>2</v>
      </c>
      <c r="D374" s="38" t="s">
        <v>2672</v>
      </c>
      <c r="E374" s="59"/>
      <c r="F374" s="59" t="str">
        <f>IF(INDEX(I.Electricity.P3C4,2)="","",INDEX(I.Electricity.P3C4,2))</f>
        <v/>
      </c>
      <c r="G374" s="59"/>
      <c r="H374" s="26" t="str">
        <f>IF(I.Developer.P3=FALSE,"Complete",IF(I.Product.P3Electricity&lt;&gt;"Yes","Complete",IF(I.Developer.P3C4=FALSE,"Complete",IF(F374="","Incomplete","Complete"))))</f>
        <v>Complete</v>
      </c>
      <c r="I374" s="39" t="s">
        <v>538</v>
      </c>
    </row>
    <row r="375" spans="2:9" ht="15" customHeight="1" x14ac:dyDescent="0.25">
      <c r="B375" s="40" t="s">
        <v>599</v>
      </c>
      <c r="C375" s="46">
        <v>3</v>
      </c>
      <c r="D375" s="44" t="s">
        <v>2672</v>
      </c>
      <c r="E375" s="63"/>
      <c r="F375" s="63" t="str">
        <f>IF(INDEX(I.Electricity.P3C4,3)="","",INDEX(I.Electricity.P3C4,3))</f>
        <v/>
      </c>
      <c r="G375" s="63"/>
      <c r="H375" s="46" t="str">
        <f>IF(I.Developer.P3=FALSE,"Complete",IF(I.Product.P3Electricity&lt;&gt;"Yes","Complete",IF(I.Developer.P3C4=FALSE,"Complete",IF(F375="","Incomplete","Complete"))))</f>
        <v>Complete</v>
      </c>
      <c r="I375" s="47" t="s">
        <v>539</v>
      </c>
    </row>
    <row r="376" spans="2:9" ht="15" customHeight="1" x14ac:dyDescent="0.25">
      <c r="B376" s="37" t="s">
        <v>600</v>
      </c>
      <c r="C376" s="26">
        <v>1</v>
      </c>
      <c r="D376" s="38" t="s">
        <v>2673</v>
      </c>
      <c r="E376" s="59"/>
      <c r="F376" s="59" t="str">
        <f>IF(INDEX(I.Electricity.P4C1,1)="","",INDEX(I.Electricity.P4C1,1))</f>
        <v/>
      </c>
      <c r="G376" s="59"/>
      <c r="H376" s="26" t="str">
        <f>IF(I.Developer.P4=FALSE,"Complete",IF(I.Product.P4Electricity&lt;&gt;"Yes","Complete",IF(I.Developer.P4C1=FALSE,"Complete",IF(I.Facility.StandardPart&lt;&gt;"Part 2","Complete",IF(F376="","Incomplete","Complete")))))</f>
        <v>Complete</v>
      </c>
      <c r="I376" s="39" t="s">
        <v>543</v>
      </c>
    </row>
    <row r="377" spans="2:9" ht="15" customHeight="1" x14ac:dyDescent="0.25">
      <c r="B377" s="37" t="s">
        <v>600</v>
      </c>
      <c r="C377" s="26">
        <v>2</v>
      </c>
      <c r="D377" s="38" t="s">
        <v>2673</v>
      </c>
      <c r="E377" s="59"/>
      <c r="F377" s="59" t="str">
        <f>IF(INDEX(I.Electricity.P4C1,2)="","",INDEX(I.Electricity.P4C1,2))</f>
        <v/>
      </c>
      <c r="G377" s="59"/>
      <c r="H377" s="26" t="str">
        <f>IF(I.Developer.P4=FALSE,"Complete",IF(I.Product.P4Electricity&lt;&gt;"Yes","Complete",IF(I.Developer.P4C1=FALSE,"Complete",IF(I.Facility.StandardPart&lt;&gt;"Part 2","Complete",IF(I.Developer.P4C1V2=FALSE,"Complete",IF(F377="","Incomplete","Complete"))))))</f>
        <v>Complete</v>
      </c>
      <c r="I377" s="39" t="s">
        <v>544</v>
      </c>
    </row>
    <row r="378" spans="2:9" ht="15" customHeight="1" x14ac:dyDescent="0.25">
      <c r="B378" s="37" t="s">
        <v>600</v>
      </c>
      <c r="C378" s="26">
        <v>3</v>
      </c>
      <c r="D378" s="38" t="s">
        <v>2673</v>
      </c>
      <c r="E378" s="59"/>
      <c r="F378" s="59" t="str">
        <f>IF(INDEX(I.Electricity.P4C1,3)="","",INDEX(I.Electricity.P4C1,3))</f>
        <v/>
      </c>
      <c r="G378" s="59"/>
      <c r="H378" s="26" t="str">
        <f>IF(I.Developer.P4=FALSE,"Complete",IF(I.Product.P4Electricity&lt;&gt;"Yes","Complete",IF(I.Developer.P4C1=FALSE,"Complete",IF(I.Facility.StandardPart&lt;&gt;"Part 2","Complete",IF(I.Developer.P4C1V3=FALSE,"Complete",IF(F378="","Incomplete","Complete"))))))</f>
        <v>Complete</v>
      </c>
      <c r="I378" s="39" t="s">
        <v>545</v>
      </c>
    </row>
    <row r="379" spans="2:9" ht="15" customHeight="1" x14ac:dyDescent="0.25">
      <c r="B379" s="37" t="s">
        <v>600</v>
      </c>
      <c r="C379" s="26">
        <v>4</v>
      </c>
      <c r="D379" s="38" t="s">
        <v>2673</v>
      </c>
      <c r="E379" s="59"/>
      <c r="F379" s="59" t="str">
        <f>IF(INDEX(I.Electricity.P4C1,4)="","",INDEX(I.Electricity.P4C1,4))</f>
        <v/>
      </c>
      <c r="G379" s="59"/>
      <c r="H379" s="26" t="str">
        <f>IF(I.Developer.P4=FALSE,"Complete",IF(I.Product.P4Electricity&lt;&gt;"Yes","Complete",IF(I.Developer.P4C1=FALSE,"Complete",IF(I.Facility.StandardPart&lt;&gt;"Part 2","Complete",IF(I.Developer.P4C1V4=FALSE,"Complete",IF(F379="","Incomplete","Complete"))))))</f>
        <v>Complete</v>
      </c>
      <c r="I379" s="39" t="s">
        <v>546</v>
      </c>
    </row>
    <row r="380" spans="2:9" ht="15" customHeight="1" x14ac:dyDescent="0.25">
      <c r="B380" s="37" t="s">
        <v>600</v>
      </c>
      <c r="C380" s="26">
        <v>5</v>
      </c>
      <c r="D380" s="38" t="s">
        <v>2673</v>
      </c>
      <c r="E380" s="59"/>
      <c r="F380" s="59" t="str">
        <f>IF(INDEX(I.Electricity.P4C1,5)="","",INDEX(I.Electricity.P4C1,5))</f>
        <v/>
      </c>
      <c r="G380" s="59"/>
      <c r="H380" s="26" t="str">
        <f>IF(I.Developer.P4=FALSE,"Complete",IF(I.Product.P4Electricity&lt;&gt;"Yes","Complete",IF(I.Developer.P4C1=FALSE,"Complete",IF(I.Facility.StandardPart&lt;&gt;"Part 2","Complete",IF(I.Developer.P4C1V5=FALSE,"Complete",IF(F380="","Incomplete","Complete"))))))</f>
        <v>Complete</v>
      </c>
      <c r="I380" s="39" t="s">
        <v>547</v>
      </c>
    </row>
    <row r="381" spans="2:9" ht="15" customHeight="1" x14ac:dyDescent="0.25">
      <c r="B381" s="37" t="s">
        <v>600</v>
      </c>
      <c r="C381" s="26">
        <v>6</v>
      </c>
      <c r="D381" s="38" t="s">
        <v>2673</v>
      </c>
      <c r="E381" s="59"/>
      <c r="F381" s="59" t="str">
        <f>IF(INDEX(I.Electricity.P4C1,6)="","",INDEX(I.Electricity.P4C1,6))</f>
        <v/>
      </c>
      <c r="G381" s="59"/>
      <c r="H381" s="26" t="str">
        <f>IF(I.Developer.P4=FALSE,"Complete",IF(I.Product.P4Electricity&lt;&gt;"Yes","Complete",IF(I.Developer.P4C1=FALSE,"Complete",IF(I.Facility.StandardPart&lt;&gt;"Part 2","Complete",IF(I.Developer.P4C1V6=FALSE,"Complete",IF(F381="","Incomplete","Complete"))))))</f>
        <v>Complete</v>
      </c>
      <c r="I381" s="39" t="s">
        <v>548</v>
      </c>
    </row>
    <row r="382" spans="2:9" ht="15" customHeight="1" x14ac:dyDescent="0.25">
      <c r="B382" s="37" t="s">
        <v>600</v>
      </c>
      <c r="C382" s="26">
        <v>7</v>
      </c>
      <c r="D382" s="38" t="s">
        <v>2673</v>
      </c>
      <c r="E382" s="59"/>
      <c r="F382" s="59" t="str">
        <f>IF(INDEX(I.Electricity.P4C1,7)="","",INDEX(I.Electricity.P4C1,7))</f>
        <v/>
      </c>
      <c r="G382" s="59"/>
      <c r="H382" s="26" t="str">
        <f>IF(I.Developer.P4=FALSE,"Complete",IF(I.Product.P4Electricity&lt;&gt;"Yes","Complete",IF(I.Developer.P4C1=FALSE,"Complete",IF(I.Facility.StandardPart="Part 2","Complete",IF(F382="","Incomplete","Complete")))))</f>
        <v>Complete</v>
      </c>
      <c r="I382" s="39" t="s">
        <v>549</v>
      </c>
    </row>
    <row r="383" spans="2:9" ht="15" customHeight="1" x14ac:dyDescent="0.25">
      <c r="B383" s="37" t="s">
        <v>600</v>
      </c>
      <c r="C383" s="26">
        <v>8</v>
      </c>
      <c r="D383" s="38" t="s">
        <v>2673</v>
      </c>
      <c r="E383" s="59"/>
      <c r="F383" s="59" t="str">
        <f>IF(INDEX(I.Electricity.P4C1,8)="","",INDEX(I.Electricity.P4C1,8))</f>
        <v/>
      </c>
      <c r="G383" s="59"/>
      <c r="H383" s="26" t="str">
        <f>IF(I.Developer.P4=FALSE,"Complete",IF(I.Product.P4Electricity&lt;&gt;"Yes","Complete",IF(I.Developer.P4C1=FALSE,"Complete",IF(I.Facility.StandardPart="Part 2","Complete",IF(F383="","Incomplete","Complete")))))</f>
        <v>Complete</v>
      </c>
      <c r="I383" s="39" t="s">
        <v>550</v>
      </c>
    </row>
    <row r="384" spans="2:9" ht="15" customHeight="1" x14ac:dyDescent="0.25">
      <c r="B384" s="40" t="s">
        <v>600</v>
      </c>
      <c r="C384" s="46">
        <v>9</v>
      </c>
      <c r="D384" s="44" t="s">
        <v>2673</v>
      </c>
      <c r="E384" s="63"/>
      <c r="F384" s="63" t="str">
        <f>IF(INDEX(I.Electricity.P4C1,9)="","",INDEX(I.Electricity.P4C1,9))</f>
        <v/>
      </c>
      <c r="G384" s="63"/>
      <c r="H384" s="46" t="str">
        <f>IF(I.Developer.P4=FALSE,"Complete",IF(I.Product.P4Electricity&lt;&gt;"Yes","Complete",IF(I.Developer.P4C1=FALSE,"Complete",IF(I.Facility.StandardPart="Part 2","Complete",IF(F384="","Incomplete","Complete")))))</f>
        <v>Complete</v>
      </c>
      <c r="I384" s="47" t="s">
        <v>551</v>
      </c>
    </row>
    <row r="385" spans="2:9" ht="15" customHeight="1" x14ac:dyDescent="0.25">
      <c r="B385" s="37" t="s">
        <v>601</v>
      </c>
      <c r="C385" s="26">
        <v>1</v>
      </c>
      <c r="D385" s="38" t="s">
        <v>2674</v>
      </c>
      <c r="E385" s="59"/>
      <c r="F385" s="59" t="str">
        <f>IF(INDEX(I.Electricity.P4C2,1)="","",INDEX(I.Electricity.P4C2,1))</f>
        <v/>
      </c>
      <c r="G385" s="59"/>
      <c r="H385" s="26" t="str">
        <f t="shared" ref="H385:H405" si="9">IF(I.Developer.P4=FALSE,"Complete",IF(I.Product.P4Electricity&lt;&gt;"Yes","Complete",IF(I.Developer.P4C2=FALSE,"Complete",IF(F385="","Incomplete","Complete"))))</f>
        <v>Complete</v>
      </c>
      <c r="I385" s="39" t="s">
        <v>553</v>
      </c>
    </row>
    <row r="386" spans="2:9" ht="15" customHeight="1" x14ac:dyDescent="0.25">
      <c r="B386" s="37" t="s">
        <v>601</v>
      </c>
      <c r="C386" s="26">
        <v>2</v>
      </c>
      <c r="D386" s="38" t="s">
        <v>2674</v>
      </c>
      <c r="E386" s="59"/>
      <c r="F386" s="59" t="str">
        <f>IF(INDEX(I.Electricity.P4C2,2)="","",INDEX(I.Electricity.P4C2,2))</f>
        <v/>
      </c>
      <c r="G386" s="59"/>
      <c r="H386" s="26" t="str">
        <f t="shared" si="9"/>
        <v>Complete</v>
      </c>
      <c r="I386" s="39" t="s">
        <v>554</v>
      </c>
    </row>
    <row r="387" spans="2:9" ht="15" customHeight="1" x14ac:dyDescent="0.25">
      <c r="B387" s="37" t="s">
        <v>601</v>
      </c>
      <c r="C387" s="26">
        <v>3</v>
      </c>
      <c r="D387" s="38" t="s">
        <v>2674</v>
      </c>
      <c r="E387" s="59"/>
      <c r="F387" s="59" t="str">
        <f>IF(INDEX(I.Electricity.P4C2,3)="","",INDEX(I.Electricity.P4C2,3))</f>
        <v/>
      </c>
      <c r="G387" s="59"/>
      <c r="H387" s="26" t="str">
        <f t="shared" si="9"/>
        <v>Complete</v>
      </c>
      <c r="I387" s="39" t="s">
        <v>555</v>
      </c>
    </row>
    <row r="388" spans="2:9" ht="15" customHeight="1" x14ac:dyDescent="0.25">
      <c r="B388" s="37" t="s">
        <v>601</v>
      </c>
      <c r="C388" s="26">
        <v>4</v>
      </c>
      <c r="D388" s="38" t="s">
        <v>2674</v>
      </c>
      <c r="E388" s="59"/>
      <c r="F388" s="59" t="str">
        <f>IF(INDEX(I.Electricity.P4C2,4)="","",INDEX(I.Electricity.P4C2,4))</f>
        <v/>
      </c>
      <c r="G388" s="59"/>
      <c r="H388" s="26" t="str">
        <f t="shared" si="9"/>
        <v>Complete</v>
      </c>
      <c r="I388" s="39" t="s">
        <v>556</v>
      </c>
    </row>
    <row r="389" spans="2:9" ht="15" customHeight="1" x14ac:dyDescent="0.25">
      <c r="B389" s="37" t="s">
        <v>601</v>
      </c>
      <c r="C389" s="26">
        <v>5</v>
      </c>
      <c r="D389" s="38" t="s">
        <v>2674</v>
      </c>
      <c r="E389" s="59"/>
      <c r="F389" s="59" t="str">
        <f>IF(INDEX(I.Electricity.P4C2,5)="","",INDEX(I.Electricity.P4C2,5))</f>
        <v/>
      </c>
      <c r="G389" s="59"/>
      <c r="H389" s="26" t="str">
        <f t="shared" si="9"/>
        <v>Complete</v>
      </c>
      <c r="I389" s="39" t="s">
        <v>557</v>
      </c>
    </row>
    <row r="390" spans="2:9" ht="15" customHeight="1" x14ac:dyDescent="0.25">
      <c r="B390" s="37" t="s">
        <v>601</v>
      </c>
      <c r="C390" s="26">
        <v>6</v>
      </c>
      <c r="D390" s="38" t="s">
        <v>2674</v>
      </c>
      <c r="E390" s="59"/>
      <c r="F390" s="59" t="str">
        <f>IF(INDEX(I.Electricity.P4C2,6)="","",INDEX(I.Electricity.P4C2,6))</f>
        <v/>
      </c>
      <c r="G390" s="59"/>
      <c r="H390" s="26" t="str">
        <f t="shared" si="9"/>
        <v>Complete</v>
      </c>
      <c r="I390" s="39" t="s">
        <v>558</v>
      </c>
    </row>
    <row r="391" spans="2:9" ht="15" customHeight="1" x14ac:dyDescent="0.25">
      <c r="B391" s="37" t="s">
        <v>601</v>
      </c>
      <c r="C391" s="26">
        <v>7</v>
      </c>
      <c r="D391" s="38" t="s">
        <v>2674</v>
      </c>
      <c r="E391" s="59"/>
      <c r="F391" s="59" t="str">
        <f>IF(INDEX(I.Electricity.P4C2,7)="","",INDEX(I.Electricity.P4C2,7))</f>
        <v/>
      </c>
      <c r="G391" s="59"/>
      <c r="H391" s="26" t="str">
        <f t="shared" si="9"/>
        <v>Complete</v>
      </c>
      <c r="I391" s="39" t="s">
        <v>559</v>
      </c>
    </row>
    <row r="392" spans="2:9" ht="15" customHeight="1" x14ac:dyDescent="0.25">
      <c r="B392" s="37" t="s">
        <v>601</v>
      </c>
      <c r="C392" s="26">
        <v>8</v>
      </c>
      <c r="D392" s="38" t="s">
        <v>2674</v>
      </c>
      <c r="E392" s="59"/>
      <c r="F392" s="59" t="str">
        <f>IF(INDEX(I.Electricity.P4C2,8)="","",INDEX(I.Electricity.P4C2,8))</f>
        <v/>
      </c>
      <c r="G392" s="59"/>
      <c r="H392" s="26" t="str">
        <f t="shared" si="9"/>
        <v>Complete</v>
      </c>
      <c r="I392" s="39" t="s">
        <v>560</v>
      </c>
    </row>
    <row r="393" spans="2:9" ht="15" customHeight="1" x14ac:dyDescent="0.25">
      <c r="B393" s="37" t="s">
        <v>601</v>
      </c>
      <c r="C393" s="26">
        <v>9</v>
      </c>
      <c r="D393" s="38" t="s">
        <v>2674</v>
      </c>
      <c r="E393" s="59"/>
      <c r="F393" s="59" t="str">
        <f>IF(INDEX(I.Electricity.P4C2,9)="","",INDEX(I.Electricity.P4C2,9))</f>
        <v/>
      </c>
      <c r="G393" s="59"/>
      <c r="H393" s="26" t="str">
        <f t="shared" si="9"/>
        <v>Complete</v>
      </c>
      <c r="I393" s="39" t="s">
        <v>561</v>
      </c>
    </row>
    <row r="394" spans="2:9" ht="15" customHeight="1" x14ac:dyDescent="0.25">
      <c r="B394" s="37" t="s">
        <v>601</v>
      </c>
      <c r="C394" s="26">
        <v>10</v>
      </c>
      <c r="D394" s="38" t="s">
        <v>2674</v>
      </c>
      <c r="E394" s="59"/>
      <c r="F394" s="59" t="str">
        <f>IF(INDEX(I.Electricity.P4C2,10)="","",INDEX(I.Electricity.P4C2,10))</f>
        <v/>
      </c>
      <c r="G394" s="59"/>
      <c r="H394" s="26" t="str">
        <f t="shared" si="9"/>
        <v>Complete</v>
      </c>
      <c r="I394" s="39" t="s">
        <v>562</v>
      </c>
    </row>
    <row r="395" spans="2:9" ht="15" customHeight="1" x14ac:dyDescent="0.25">
      <c r="B395" s="37" t="s">
        <v>601</v>
      </c>
      <c r="C395" s="26">
        <v>11</v>
      </c>
      <c r="D395" s="38" t="s">
        <v>2674</v>
      </c>
      <c r="E395" s="59"/>
      <c r="F395" s="59" t="str">
        <f>IF(INDEX(I.Electricity.P4C2,11)="","",INDEX(I.Electricity.P4C2,11))</f>
        <v/>
      </c>
      <c r="G395" s="59"/>
      <c r="H395" s="26" t="str">
        <f t="shared" si="9"/>
        <v>Complete</v>
      </c>
      <c r="I395" s="39" t="s">
        <v>563</v>
      </c>
    </row>
    <row r="396" spans="2:9" ht="15" customHeight="1" x14ac:dyDescent="0.25">
      <c r="B396" s="37" t="s">
        <v>601</v>
      </c>
      <c r="C396" s="26">
        <v>12</v>
      </c>
      <c r="D396" s="38" t="s">
        <v>2674</v>
      </c>
      <c r="E396" s="59"/>
      <c r="F396" s="59" t="str">
        <f>IF(INDEX(I.Electricity.P4C2,12)="","",INDEX(I.Electricity.P4C2,12))</f>
        <v/>
      </c>
      <c r="G396" s="59"/>
      <c r="H396" s="26" t="str">
        <f t="shared" si="9"/>
        <v>Complete</v>
      </c>
      <c r="I396" s="39" t="s">
        <v>564</v>
      </c>
    </row>
    <row r="397" spans="2:9" ht="15" customHeight="1" x14ac:dyDescent="0.25">
      <c r="B397" s="37" t="s">
        <v>601</v>
      </c>
      <c r="C397" s="26">
        <v>13</v>
      </c>
      <c r="D397" s="38" t="s">
        <v>2674</v>
      </c>
      <c r="E397" s="59"/>
      <c r="F397" s="59" t="str">
        <f>IF(INDEX(I.Electricity.P4C2,13)="","",INDEX(I.Electricity.P4C2,13))</f>
        <v/>
      </c>
      <c r="G397" s="59"/>
      <c r="H397" s="26" t="str">
        <f t="shared" si="9"/>
        <v>Complete</v>
      </c>
      <c r="I397" s="39" t="s">
        <v>565</v>
      </c>
    </row>
    <row r="398" spans="2:9" ht="15" customHeight="1" x14ac:dyDescent="0.25">
      <c r="B398" s="37" t="s">
        <v>601</v>
      </c>
      <c r="C398" s="26">
        <v>14</v>
      </c>
      <c r="D398" s="38" t="s">
        <v>2674</v>
      </c>
      <c r="E398" s="59"/>
      <c r="F398" s="59" t="str">
        <f>IF(INDEX(I.Electricity.P4C2,14)="","",INDEX(I.Electricity.P4C2,14))</f>
        <v/>
      </c>
      <c r="G398" s="59"/>
      <c r="H398" s="26" t="str">
        <f t="shared" si="9"/>
        <v>Complete</v>
      </c>
      <c r="I398" s="39" t="s">
        <v>566</v>
      </c>
    </row>
    <row r="399" spans="2:9" ht="15" customHeight="1" x14ac:dyDescent="0.25">
      <c r="B399" s="37" t="s">
        <v>601</v>
      </c>
      <c r="C399" s="26">
        <v>15</v>
      </c>
      <c r="D399" s="38" t="s">
        <v>2674</v>
      </c>
      <c r="E399" s="59"/>
      <c r="F399" s="59" t="str">
        <f>IF(INDEX(I.Electricity.P4C2,15)="","",INDEX(I.Electricity.P4C2,15))</f>
        <v/>
      </c>
      <c r="G399" s="59"/>
      <c r="H399" s="26" t="str">
        <f t="shared" si="9"/>
        <v>Complete</v>
      </c>
      <c r="I399" s="39" t="s">
        <v>567</v>
      </c>
    </row>
    <row r="400" spans="2:9" ht="15" customHeight="1" x14ac:dyDescent="0.25">
      <c r="B400" s="37" t="s">
        <v>601</v>
      </c>
      <c r="C400" s="26">
        <v>16</v>
      </c>
      <c r="D400" s="38" t="s">
        <v>2674</v>
      </c>
      <c r="E400" s="59"/>
      <c r="F400" s="59" t="str">
        <f>IF(INDEX(I.Electricity.P4C2,16)="","",INDEX(I.Electricity.P4C2,16))</f>
        <v/>
      </c>
      <c r="G400" s="59"/>
      <c r="H400" s="26" t="str">
        <f t="shared" si="9"/>
        <v>Complete</v>
      </c>
      <c r="I400" s="39" t="s">
        <v>568</v>
      </c>
    </row>
    <row r="401" spans="2:9" ht="15" customHeight="1" x14ac:dyDescent="0.25">
      <c r="B401" s="37" t="s">
        <v>601</v>
      </c>
      <c r="C401" s="26">
        <v>17</v>
      </c>
      <c r="D401" s="38" t="s">
        <v>2674</v>
      </c>
      <c r="E401" s="59"/>
      <c r="F401" s="59" t="str">
        <f>IF(INDEX(I.Electricity.P4C2,17)="","",INDEX(I.Electricity.P4C2,17))</f>
        <v/>
      </c>
      <c r="G401" s="59"/>
      <c r="H401" s="26" t="str">
        <f t="shared" si="9"/>
        <v>Complete</v>
      </c>
      <c r="I401" s="39" t="s">
        <v>569</v>
      </c>
    </row>
    <row r="402" spans="2:9" ht="15" customHeight="1" x14ac:dyDescent="0.25">
      <c r="B402" s="37" t="s">
        <v>601</v>
      </c>
      <c r="C402" s="26">
        <v>18</v>
      </c>
      <c r="D402" s="38" t="s">
        <v>2674</v>
      </c>
      <c r="E402" s="59"/>
      <c r="F402" s="59" t="str">
        <f>IF(INDEX(I.Electricity.P4C2,18)="","",INDEX(I.Electricity.P4C2,18))</f>
        <v/>
      </c>
      <c r="G402" s="59"/>
      <c r="H402" s="26" t="str">
        <f t="shared" si="9"/>
        <v>Complete</v>
      </c>
      <c r="I402" s="39" t="s">
        <v>570</v>
      </c>
    </row>
    <row r="403" spans="2:9" ht="15" customHeight="1" x14ac:dyDescent="0.25">
      <c r="B403" s="37" t="s">
        <v>601</v>
      </c>
      <c r="C403" s="26">
        <v>19</v>
      </c>
      <c r="D403" s="38" t="s">
        <v>2674</v>
      </c>
      <c r="E403" s="59"/>
      <c r="F403" s="59" t="str">
        <f>IF(INDEX(I.Electricity.P4C2,19)="","",INDEX(I.Electricity.P4C2,19))</f>
        <v/>
      </c>
      <c r="G403" s="59"/>
      <c r="H403" s="26" t="str">
        <f t="shared" si="9"/>
        <v>Complete</v>
      </c>
      <c r="I403" s="39" t="s">
        <v>571</v>
      </c>
    </row>
    <row r="404" spans="2:9" ht="15" customHeight="1" x14ac:dyDescent="0.25">
      <c r="B404" s="37" t="s">
        <v>601</v>
      </c>
      <c r="C404" s="26">
        <v>20</v>
      </c>
      <c r="D404" s="38" t="s">
        <v>2674</v>
      </c>
      <c r="E404" s="59"/>
      <c r="F404" s="59" t="str">
        <f>IF(INDEX(I.Electricity.P4C2,20)="","",INDEX(I.Electricity.P4C2,20))</f>
        <v/>
      </c>
      <c r="G404" s="59"/>
      <c r="H404" s="26" t="str">
        <f t="shared" si="9"/>
        <v>Complete</v>
      </c>
      <c r="I404" s="39" t="s">
        <v>572</v>
      </c>
    </row>
    <row r="405" spans="2:9" ht="15" customHeight="1" x14ac:dyDescent="0.25">
      <c r="B405" s="40" t="s">
        <v>601</v>
      </c>
      <c r="C405" s="46">
        <v>21</v>
      </c>
      <c r="D405" s="44" t="s">
        <v>2674</v>
      </c>
      <c r="E405" s="63"/>
      <c r="F405" s="63" t="str">
        <f>IF(INDEX(I.Electricity.P4C2,21)="","",INDEX(I.Electricity.P4C2,21))</f>
        <v/>
      </c>
      <c r="G405" s="63"/>
      <c r="H405" s="46" t="str">
        <f t="shared" si="9"/>
        <v>Complete</v>
      </c>
      <c r="I405" s="47" t="s">
        <v>573</v>
      </c>
    </row>
    <row r="406" spans="2:9" ht="15" customHeight="1" x14ac:dyDescent="0.25">
      <c r="B406" s="37" t="s">
        <v>602</v>
      </c>
      <c r="C406" s="26">
        <v>1</v>
      </c>
      <c r="D406" s="38" t="s">
        <v>2675</v>
      </c>
      <c r="E406" s="59"/>
      <c r="F406" s="59" t="str">
        <f>IF(INDEX(I.Electricity.P4C3,1)="","",INDEX(I.Electricity.P4C3,1))</f>
        <v/>
      </c>
      <c r="G406" s="59"/>
      <c r="H406" s="26" t="str">
        <f>IF(I.Developer.P4=FALSE,"Complete",IF(I.Product.P4Electricity&lt;&gt;"Yes","Complete",IF(I.Developer.P4C3=FALSE,"Complete",IF(I.Facility.StandardPart&lt;&gt;"Part 2","Complete",IF(F406="","Incomplete","Complete")))))</f>
        <v>Complete</v>
      </c>
      <c r="I406" s="39" t="s">
        <v>575</v>
      </c>
    </row>
    <row r="407" spans="2:9" ht="15" customHeight="1" x14ac:dyDescent="0.25">
      <c r="B407" s="37" t="s">
        <v>602</v>
      </c>
      <c r="C407" s="26">
        <v>2</v>
      </c>
      <c r="D407" s="38" t="s">
        <v>2675</v>
      </c>
      <c r="E407" s="59"/>
      <c r="F407" s="59" t="str">
        <f>IF(INDEX(I.Electricity.P4C3,2)="","",INDEX(I.Electricity.P4C3,2))</f>
        <v/>
      </c>
      <c r="G407" s="59"/>
      <c r="H407" s="26" t="str">
        <f>IF(I.Developer.P4=FALSE,"Complete",IF(I.Product.P4Electricity&lt;&gt;"Yes","Complete",IF(I.Developer.P4C3=FALSE,"Complete",IF(I.Facility.StandardPart&lt;&gt;"Part 2","Complete",IF(F407="","Incomplete","Complete")))))</f>
        <v>Complete</v>
      </c>
      <c r="I407" s="39" t="s">
        <v>576</v>
      </c>
    </row>
    <row r="408" spans="2:9" ht="15" customHeight="1" x14ac:dyDescent="0.25">
      <c r="B408" s="37" t="s">
        <v>602</v>
      </c>
      <c r="C408" s="26">
        <v>3</v>
      </c>
      <c r="D408" s="38" t="s">
        <v>2675</v>
      </c>
      <c r="E408" s="59"/>
      <c r="F408" s="59" t="str">
        <f>IF(INDEX(I.Electricity.P4C3,3)="","",INDEX(I.Electricity.P4C3,3))</f>
        <v/>
      </c>
      <c r="G408" s="59"/>
      <c r="H408" s="26" t="str">
        <f>IF(I.Developer.P4=FALSE,"Complete",IF(I.Product.P4Electricity&lt;&gt;"Yes","Complete",IF(I.Developer.P4C3=FALSE,"Complete",IF(I.Facility.StandardPart="Part 2","Complete",IF(F408="","Incomplete","Complete")))))</f>
        <v>Complete</v>
      </c>
      <c r="I408" s="39" t="s">
        <v>577</v>
      </c>
    </row>
    <row r="409" spans="2:9" ht="15" customHeight="1" x14ac:dyDescent="0.25">
      <c r="B409" s="37" t="s">
        <v>602</v>
      </c>
      <c r="C409" s="26">
        <v>4</v>
      </c>
      <c r="D409" s="38" t="s">
        <v>2675</v>
      </c>
      <c r="E409" s="59"/>
      <c r="F409" s="59" t="str">
        <f>IF(INDEX(I.Electricity.P4C3,4)="","",INDEX(I.Electricity.P4C3,4))</f>
        <v/>
      </c>
      <c r="G409" s="59"/>
      <c r="H409" s="26" t="str">
        <f>IF(I.Developer.P4=FALSE,"Complete",IF(I.Product.P4Electricity&lt;&gt;"Yes","Complete",IF(I.Developer.P4C3=FALSE,"Complete",IF(I.Facility.StandardPart="Part 2","Complete",IF(F409="","Incomplete","Complete")))))</f>
        <v>Complete</v>
      </c>
      <c r="I409" s="39" t="s">
        <v>578</v>
      </c>
    </row>
    <row r="410" spans="2:9" ht="15" customHeight="1" x14ac:dyDescent="0.25">
      <c r="B410" s="40" t="s">
        <v>602</v>
      </c>
      <c r="C410" s="46">
        <v>5</v>
      </c>
      <c r="D410" s="44" t="s">
        <v>2675</v>
      </c>
      <c r="E410" s="63"/>
      <c r="F410" s="63" t="str">
        <f>IF(INDEX(I.Electricity.P4C3,5)="","",INDEX(I.Electricity.P4C3,5))</f>
        <v/>
      </c>
      <c r="G410" s="63"/>
      <c r="H410" s="46" t="str">
        <f>IF(I.Developer.P4=FALSE,"Complete",IF(I.Product.P4Electricity&lt;&gt;"Yes","Complete",IF(I.Developer.P4C3=FALSE,"Complete",IF(I.Facility.StandardPart="Part 2","Complete",IF(F410="","Incomplete","Complete")))))</f>
        <v>Complete</v>
      </c>
      <c r="I410" s="47" t="s">
        <v>579</v>
      </c>
    </row>
    <row r="411" spans="2:9" ht="15" customHeight="1" x14ac:dyDescent="0.25">
      <c r="B411" s="37" t="s">
        <v>603</v>
      </c>
      <c r="C411" s="26">
        <v>1</v>
      </c>
      <c r="D411" s="38" t="s">
        <v>2676</v>
      </c>
      <c r="E411" s="59"/>
      <c r="F411" s="59" t="str">
        <f>IF(INDEX(I.Electricity.P4C4,1)="","",INDEX(I.Electricity.P4C4,1))</f>
        <v/>
      </c>
      <c r="G411" s="59"/>
      <c r="H411" s="26" t="str">
        <f>IF(I.Developer.P4=FALSE,"Complete",IF(I.Product.P4Electricity&lt;&gt;"Yes","Complete",IF(I.Developer.P4C4=FALSE,"Complete",IF(F411="","Incomplete","Complete"))))</f>
        <v>Complete</v>
      </c>
      <c r="I411" s="39" t="s">
        <v>581</v>
      </c>
    </row>
    <row r="412" spans="2:9" ht="15" customHeight="1" x14ac:dyDescent="0.25">
      <c r="B412" s="37" t="s">
        <v>603</v>
      </c>
      <c r="C412" s="26">
        <v>2</v>
      </c>
      <c r="D412" s="38" t="s">
        <v>2676</v>
      </c>
      <c r="E412" s="59"/>
      <c r="F412" s="59" t="str">
        <f>IF(INDEX(I.Electricity.P4C4,2)="","",INDEX(I.Electricity.P4C4,2))</f>
        <v/>
      </c>
      <c r="G412" s="59"/>
      <c r="H412" s="26" t="str">
        <f>IF(I.Developer.P4=FALSE,"Complete",IF(I.Product.P4Electricity&lt;&gt;"Yes","Complete",IF(I.Developer.P4C4=FALSE,"Complete",IF(F412="","Incomplete","Complete"))))</f>
        <v>Complete</v>
      </c>
      <c r="I412" s="39" t="s">
        <v>582</v>
      </c>
    </row>
    <row r="413" spans="2:9" ht="15" customHeight="1" x14ac:dyDescent="0.25">
      <c r="B413" s="40" t="s">
        <v>603</v>
      </c>
      <c r="C413" s="46">
        <v>3</v>
      </c>
      <c r="D413" s="44" t="s">
        <v>2676</v>
      </c>
      <c r="E413" s="63"/>
      <c r="F413" s="63" t="str">
        <f>IF(INDEX(I.Electricity.P4C4,3)="","",INDEX(I.Electricity.P4C4,3))</f>
        <v/>
      </c>
      <c r="G413" s="63"/>
      <c r="H413" s="46" t="str">
        <f>IF(I.Developer.P4=FALSE,"Complete",IF(I.Product.P4Electricity&lt;&gt;"Yes","Complete",IF(I.Developer.P4C4=FALSE,"Complete",IF(F413="","Incomplete","Complete"))))</f>
        <v>Complete</v>
      </c>
      <c r="I413" s="47" t="s">
        <v>583</v>
      </c>
    </row>
    <row r="414" spans="2:9" ht="15" customHeight="1" x14ac:dyDescent="0.25">
      <c r="B414" s="55" t="s">
        <v>604</v>
      </c>
      <c r="C414" s="56">
        <v>1</v>
      </c>
      <c r="D414" s="53" t="s">
        <v>2677</v>
      </c>
      <c r="E414" s="73"/>
      <c r="F414" s="73" t="str">
        <f>IF(I.Gas.P1Count="","",I.Gas.P1Count)</f>
        <v/>
      </c>
      <c r="G414" s="73"/>
      <c r="H414" s="56" t="str">
        <f>IF(I.Developer.P1=FALSE,"Complete",IF(I.Product.P1GasToPower="No","Complete",IF(I.Gas.P1Count="","Incomplete","Complete")))</f>
        <v>Complete</v>
      </c>
      <c r="I414" s="58" t="s">
        <v>605</v>
      </c>
    </row>
    <row r="415" spans="2:9" ht="15" customHeight="1" x14ac:dyDescent="0.25">
      <c r="B415" s="37" t="s">
        <v>606</v>
      </c>
      <c r="C415" s="26">
        <v>1</v>
      </c>
      <c r="D415" s="38" t="s">
        <v>2678</v>
      </c>
      <c r="E415" s="59"/>
      <c r="F415" s="59" t="str">
        <f>IF(INDEX(I.Gas.P1AssociatedGasEnergy,1)="","",INDEX(I.Gas.P1AssociatedGasEnergy,1))</f>
        <v/>
      </c>
      <c r="G415" s="59"/>
      <c r="H415" s="26" t="str">
        <f>IF(I.Developer.P1=FALSE,"Complete",IF(I.Product.P1GasToPower="No","Complete",IF(AND(I.Gas.P1Count&gt;=1,F415=""),"Incomplete","Complete")))</f>
        <v>Complete</v>
      </c>
      <c r="I415" s="39" t="s">
        <v>607</v>
      </c>
    </row>
    <row r="416" spans="2:9" ht="15" customHeight="1" x14ac:dyDescent="0.25">
      <c r="B416" s="37" t="s">
        <v>606</v>
      </c>
      <c r="C416" s="26">
        <v>2</v>
      </c>
      <c r="D416" s="38" t="s">
        <v>2678</v>
      </c>
      <c r="E416" s="59"/>
      <c r="F416" s="59" t="str">
        <f>IF(INDEX(I.Gas.P1AssociatedGasEnergy,2)="","",INDEX(I.Gas.P1AssociatedGasEnergy,2))</f>
        <v/>
      </c>
      <c r="G416" s="59"/>
      <c r="H416" s="26" t="str">
        <f>IF(I.Developer.P1=FALSE,"Complete",IF(I.Product.P1GasToPower="No","Complete",IF(AND(I.Gas.P1Count&gt;=2,F416=""),"Incomplete","Complete")))</f>
        <v>Complete</v>
      </c>
      <c r="I416" s="39" t="s">
        <v>608</v>
      </c>
    </row>
    <row r="417" spans="2:9" ht="15" customHeight="1" x14ac:dyDescent="0.25">
      <c r="B417" s="37" t="s">
        <v>606</v>
      </c>
      <c r="C417" s="26">
        <v>3</v>
      </c>
      <c r="D417" s="38" t="s">
        <v>2678</v>
      </c>
      <c r="E417" s="59"/>
      <c r="F417" s="59" t="str">
        <f>IF(INDEX(I.Gas.P1AssociatedGasEnergy,3)="","",INDEX(I.Gas.P1AssociatedGasEnergy,3))</f>
        <v/>
      </c>
      <c r="G417" s="59"/>
      <c r="H417" s="26" t="str">
        <f>IF(I.Developer.P1=FALSE,"Complete",IF(I.Product.P1GasToPower="No","Complete",IF(AND(I.Gas.P1Count&gt;=3,F417=""),"Incomplete","Complete")))</f>
        <v>Complete</v>
      </c>
      <c r="I417" s="39" t="s">
        <v>609</v>
      </c>
    </row>
    <row r="418" spans="2:9" ht="15" customHeight="1" x14ac:dyDescent="0.25">
      <c r="B418" s="37" t="s">
        <v>606</v>
      </c>
      <c r="C418" s="26">
        <v>4</v>
      </c>
      <c r="D418" s="38" t="s">
        <v>2678</v>
      </c>
      <c r="E418" s="59"/>
      <c r="F418" s="59" t="str">
        <f>IF(INDEX(I.Gas.P1AssociatedGasEnergy,4)="","",INDEX(I.Gas.P1AssociatedGasEnergy,4))</f>
        <v/>
      </c>
      <c r="G418" s="59"/>
      <c r="H418" s="26" t="str">
        <f>IF(I.Developer.P1=FALSE,"Complete",IF(I.Product.P1GasToPower="No","Complete",IF(AND(I.Gas.P1Count&gt;=4,F418=""),"Incomplete","Complete")))</f>
        <v>Complete</v>
      </c>
      <c r="I418" s="39" t="s">
        <v>610</v>
      </c>
    </row>
    <row r="419" spans="2:9" ht="15" customHeight="1" x14ac:dyDescent="0.25">
      <c r="B419" s="37" t="s">
        <v>606</v>
      </c>
      <c r="C419" s="26">
        <v>5</v>
      </c>
      <c r="D419" s="38" t="s">
        <v>2678</v>
      </c>
      <c r="E419" s="59"/>
      <c r="F419" s="59" t="str">
        <f>IF(INDEX(I.Gas.P1AssociatedGasEnergy,5)="","",INDEX(I.Gas.P1AssociatedGasEnergy,5))</f>
        <v/>
      </c>
      <c r="G419" s="59"/>
      <c r="H419" s="26" t="str">
        <f>IF(I.Developer.P1=FALSE,"Complete",IF(I.Product.P1GasToPower="No","Complete",IF(AND(I.Gas.P1Count&gt;=5,F419=""),"Incomplete","Complete")))</f>
        <v>Complete</v>
      </c>
      <c r="I419" s="39" t="s">
        <v>611</v>
      </c>
    </row>
    <row r="420" spans="2:9" ht="15" customHeight="1" x14ac:dyDescent="0.25">
      <c r="B420" s="37" t="s">
        <v>606</v>
      </c>
      <c r="C420" s="26">
        <v>6</v>
      </c>
      <c r="D420" s="38" t="s">
        <v>2678</v>
      </c>
      <c r="E420" s="59"/>
      <c r="F420" s="59" t="str">
        <f>IF(INDEX(I.Gas.P1AssociatedGasEnergy,6)="","",INDEX(I.Gas.P1AssociatedGasEnergy,6))</f>
        <v/>
      </c>
      <c r="G420" s="59"/>
      <c r="H420" s="26" t="str">
        <f>IF(I.Developer.P1=FALSE,"Complete",IF(I.Product.P1GasToPower="No","Complete",IF(AND(I.Gas.P1Count&gt;=6,F420=""),"Incomplete","Complete")))</f>
        <v>Complete</v>
      </c>
      <c r="I420" s="39" t="s">
        <v>612</v>
      </c>
    </row>
    <row r="421" spans="2:9" ht="15" customHeight="1" x14ac:dyDescent="0.25">
      <c r="B421" s="37" t="s">
        <v>606</v>
      </c>
      <c r="C421" s="26">
        <v>7</v>
      </c>
      <c r="D421" s="38" t="s">
        <v>2678</v>
      </c>
      <c r="E421" s="59"/>
      <c r="F421" s="59" t="str">
        <f>IF(INDEX(I.Gas.P1AssociatedGasEnergy,7)="","",INDEX(I.Gas.P1AssociatedGasEnergy,7))</f>
        <v/>
      </c>
      <c r="G421" s="59"/>
      <c r="H421" s="26" t="str">
        <f>IF(I.Developer.P1=FALSE,"Complete",IF(I.Product.P1GasToPower="No","Complete",IF(AND(I.Gas.P1Count&gt;=7,F421=""),"Incomplete","Complete")))</f>
        <v>Complete</v>
      </c>
      <c r="I421" s="39" t="s">
        <v>613</v>
      </c>
    </row>
    <row r="422" spans="2:9" ht="15" customHeight="1" x14ac:dyDescent="0.25">
      <c r="B422" s="37" t="s">
        <v>606</v>
      </c>
      <c r="C422" s="26">
        <v>8</v>
      </c>
      <c r="D422" s="38" t="s">
        <v>2678</v>
      </c>
      <c r="E422" s="59"/>
      <c r="F422" s="59" t="str">
        <f>IF(INDEX(I.Gas.P1AssociatedGasEnergy,8)="","",INDEX(I.Gas.P1AssociatedGasEnergy,8))</f>
        <v/>
      </c>
      <c r="G422" s="59"/>
      <c r="H422" s="26" t="str">
        <f>IF(I.Developer.P1=FALSE,"Complete",IF(I.Product.P1GasToPower="No","Complete",IF(AND(I.Gas.P1Count&gt;=8,F422=""),"Incomplete","Complete")))</f>
        <v>Complete</v>
      </c>
      <c r="I422" s="39" t="s">
        <v>614</v>
      </c>
    </row>
    <row r="423" spans="2:9" ht="15" customHeight="1" x14ac:dyDescent="0.25">
      <c r="B423" s="37" t="s">
        <v>606</v>
      </c>
      <c r="C423" s="26">
        <v>9</v>
      </c>
      <c r="D423" s="38" t="s">
        <v>2678</v>
      </c>
      <c r="E423" s="59"/>
      <c r="F423" s="59" t="str">
        <f>IF(INDEX(I.Gas.P1AssociatedGasEnergy,9)="","",INDEX(I.Gas.P1AssociatedGasEnergy,9))</f>
        <v/>
      </c>
      <c r="G423" s="59"/>
      <c r="H423" s="26" t="str">
        <f>IF(I.Developer.P1=FALSE,"Complete",IF(I.Product.P1GasToPower="No","Complete",IF(AND(I.Gas.P1Count&gt;=9,F423=""),"Incomplete","Complete")))</f>
        <v>Complete</v>
      </c>
      <c r="I423" s="39" t="s">
        <v>615</v>
      </c>
    </row>
    <row r="424" spans="2:9" ht="15" customHeight="1" x14ac:dyDescent="0.25">
      <c r="B424" s="37" t="s">
        <v>606</v>
      </c>
      <c r="C424" s="26">
        <v>10</v>
      </c>
      <c r="D424" s="38" t="s">
        <v>2678</v>
      </c>
      <c r="E424" s="59"/>
      <c r="F424" s="59" t="str">
        <f>IF(INDEX(I.Gas.P1AssociatedGasEnergy,10)="","",INDEX(I.Gas.P1AssociatedGasEnergy,10))</f>
        <v/>
      </c>
      <c r="G424" s="59"/>
      <c r="H424" s="26" t="str">
        <f>IF(I.Developer.P1=FALSE,"Complete",IF(I.Product.P1GasToPower="No","Complete",IF(AND(I.Gas.P1Count&gt;=10,F424=""),"Incomplete","Complete")))</f>
        <v>Complete</v>
      </c>
      <c r="I424" s="39" t="s">
        <v>616</v>
      </c>
    </row>
    <row r="425" spans="2:9" ht="15" customHeight="1" x14ac:dyDescent="0.25">
      <c r="B425" s="37" t="s">
        <v>606</v>
      </c>
      <c r="C425" s="26">
        <v>11</v>
      </c>
      <c r="D425" s="38" t="s">
        <v>2678</v>
      </c>
      <c r="E425" s="59"/>
      <c r="F425" s="59" t="str">
        <f>IF(INDEX(I.Gas.P1AssociatedGasEnergy,11)="","",INDEX(I.Gas.P1AssociatedGasEnergy,11))</f>
        <v/>
      </c>
      <c r="G425" s="59"/>
      <c r="H425" s="26" t="str">
        <f>IF(I.Developer.P1=FALSE,"Complete",IF(I.Product.P1GasToPower="No","Complete",IF(AND(I.Gas.P1Count&gt;=11,F425=""),"Incomplete","Complete")))</f>
        <v>Complete</v>
      </c>
      <c r="I425" s="39" t="s">
        <v>617</v>
      </c>
    </row>
    <row r="426" spans="2:9" ht="15" customHeight="1" x14ac:dyDescent="0.25">
      <c r="B426" s="37" t="s">
        <v>606</v>
      </c>
      <c r="C426" s="26">
        <v>12</v>
      </c>
      <c r="D426" s="38" t="s">
        <v>2678</v>
      </c>
      <c r="E426" s="59"/>
      <c r="F426" s="59" t="str">
        <f>IF(INDEX(I.Gas.P1AssociatedGasEnergy,12)="","",INDEX(I.Gas.P1AssociatedGasEnergy,12))</f>
        <v/>
      </c>
      <c r="G426" s="59"/>
      <c r="H426" s="26" t="str">
        <f>IF(I.Developer.P1=FALSE,"Complete",IF(I.Product.P1GasToPower="No","Complete",IF(AND(I.Gas.P1Count&gt;=12,F426=""),"Incomplete","Complete")))</f>
        <v>Complete</v>
      </c>
      <c r="I426" s="39" t="s">
        <v>618</v>
      </c>
    </row>
    <row r="427" spans="2:9" ht="15" customHeight="1" x14ac:dyDescent="0.25">
      <c r="B427" s="37" t="s">
        <v>606</v>
      </c>
      <c r="C427" s="26">
        <v>13</v>
      </c>
      <c r="D427" s="38" t="s">
        <v>2678</v>
      </c>
      <c r="E427" s="59"/>
      <c r="F427" s="59" t="str">
        <f>IF(INDEX(I.Gas.P1AssociatedGasEnergy,13)="","",INDEX(I.Gas.P1AssociatedGasEnergy,13))</f>
        <v/>
      </c>
      <c r="G427" s="59"/>
      <c r="H427" s="26" t="str">
        <f>IF(I.Developer.P1=FALSE,"Complete",IF(I.Product.P1GasToPower="No","Complete",IF(AND(I.Gas.P1Count&gt;=13,F427=""),"Incomplete","Complete")))</f>
        <v>Complete</v>
      </c>
      <c r="I427" s="39" t="s">
        <v>619</v>
      </c>
    </row>
    <row r="428" spans="2:9" ht="15" customHeight="1" x14ac:dyDescent="0.25">
      <c r="B428" s="37" t="s">
        <v>606</v>
      </c>
      <c r="C428" s="26">
        <v>14</v>
      </c>
      <c r="D428" s="38" t="s">
        <v>2678</v>
      </c>
      <c r="E428" s="59"/>
      <c r="F428" s="59" t="str">
        <f>IF(INDEX(I.Gas.P1AssociatedGasEnergy,14)="","",INDEX(I.Gas.P1AssociatedGasEnergy,14))</f>
        <v/>
      </c>
      <c r="G428" s="59"/>
      <c r="H428" s="26" t="str">
        <f>IF(I.Developer.P1=FALSE,"Complete",IF(I.Product.P1GasToPower="No","Complete",IF(AND(I.Gas.P1Count&gt;=14,F428=""),"Incomplete","Complete")))</f>
        <v>Complete</v>
      </c>
      <c r="I428" s="39" t="s">
        <v>620</v>
      </c>
    </row>
    <row r="429" spans="2:9" ht="15" customHeight="1" x14ac:dyDescent="0.25">
      <c r="B429" s="37" t="s">
        <v>606</v>
      </c>
      <c r="C429" s="26">
        <v>15</v>
      </c>
      <c r="D429" s="38" t="s">
        <v>2678</v>
      </c>
      <c r="E429" s="59"/>
      <c r="F429" s="59" t="str">
        <f>IF(INDEX(I.Gas.P1AssociatedGasEnergy,15)="","",INDEX(I.Gas.P1AssociatedGasEnergy,15))</f>
        <v/>
      </c>
      <c r="G429" s="59"/>
      <c r="H429" s="26" t="str">
        <f>IF(I.Developer.P1=FALSE,"Complete",IF(I.Product.P1GasToPower="No","Complete",IF(AND(I.Gas.P1Count&gt;=15,F429=""),"Incomplete","Complete")))</f>
        <v>Complete</v>
      </c>
      <c r="I429" s="39" t="s">
        <v>621</v>
      </c>
    </row>
    <row r="430" spans="2:9" ht="15" customHeight="1" x14ac:dyDescent="0.25">
      <c r="B430" s="37" t="s">
        <v>606</v>
      </c>
      <c r="C430" s="26">
        <v>16</v>
      </c>
      <c r="D430" s="38" t="s">
        <v>2678</v>
      </c>
      <c r="E430" s="59"/>
      <c r="F430" s="59" t="str">
        <f>IF(INDEX(I.Gas.P1AssociatedGasEnergy,16)="","",INDEX(I.Gas.P1AssociatedGasEnergy,16))</f>
        <v/>
      </c>
      <c r="G430" s="59"/>
      <c r="H430" s="26" t="str">
        <f>IF(I.Developer.P1=FALSE,"Complete",IF(I.Product.P1GasToPower="No","Complete",IF(AND(I.Gas.P1Count&gt;=16,F430=""),"Incomplete","Complete")))</f>
        <v>Complete</v>
      </c>
      <c r="I430" s="39" t="s">
        <v>622</v>
      </c>
    </row>
    <row r="431" spans="2:9" ht="15" customHeight="1" x14ac:dyDescent="0.25">
      <c r="B431" s="37" t="s">
        <v>606</v>
      </c>
      <c r="C431" s="26">
        <v>17</v>
      </c>
      <c r="D431" s="38" t="s">
        <v>2678</v>
      </c>
      <c r="E431" s="59"/>
      <c r="F431" s="59" t="str">
        <f>IF(INDEX(I.Gas.P1AssociatedGasEnergy,17)="","",INDEX(I.Gas.P1AssociatedGasEnergy,17))</f>
        <v/>
      </c>
      <c r="G431" s="59"/>
      <c r="H431" s="26" t="str">
        <f>IF(I.Developer.P1=FALSE,"Complete",IF(I.Product.P1GasToPower="No","Complete",IF(AND(I.Gas.P1Count&gt;=17,F431=""),"Incomplete","Complete")))</f>
        <v>Complete</v>
      </c>
      <c r="I431" s="39" t="s">
        <v>623</v>
      </c>
    </row>
    <row r="432" spans="2:9" ht="15" customHeight="1" x14ac:dyDescent="0.25">
      <c r="B432" s="37" t="s">
        <v>606</v>
      </c>
      <c r="C432" s="26">
        <v>18</v>
      </c>
      <c r="D432" s="38" t="s">
        <v>2678</v>
      </c>
      <c r="E432" s="59"/>
      <c r="F432" s="59" t="str">
        <f>IF(INDEX(I.Gas.P1AssociatedGasEnergy,18)="","",INDEX(I.Gas.P1AssociatedGasEnergy,18))</f>
        <v/>
      </c>
      <c r="G432" s="59"/>
      <c r="H432" s="26" t="str">
        <f>IF(I.Developer.P1=FALSE,"Complete",IF(I.Product.P1GasToPower="No","Complete",IF(AND(I.Gas.P1Count&gt;=18,F432=""),"Incomplete","Complete")))</f>
        <v>Complete</v>
      </c>
      <c r="I432" s="39" t="s">
        <v>624</v>
      </c>
    </row>
    <row r="433" spans="2:9" ht="15" customHeight="1" x14ac:dyDescent="0.25">
      <c r="B433" s="37" t="s">
        <v>606</v>
      </c>
      <c r="C433" s="26">
        <v>19</v>
      </c>
      <c r="D433" s="38" t="s">
        <v>2678</v>
      </c>
      <c r="E433" s="59"/>
      <c r="F433" s="59" t="str">
        <f>IF(INDEX(I.Gas.P1AssociatedGasEnergy,19)="","",INDEX(I.Gas.P1AssociatedGasEnergy,19))</f>
        <v/>
      </c>
      <c r="G433" s="59"/>
      <c r="H433" s="26" t="str">
        <f>IF(I.Developer.P1=FALSE,"Complete",IF(I.Product.P1GasToPower="No","Complete",IF(AND(I.Gas.P1Count&gt;=19,F433=""),"Incomplete","Complete")))</f>
        <v>Complete</v>
      </c>
      <c r="I433" s="39" t="s">
        <v>625</v>
      </c>
    </row>
    <row r="434" spans="2:9" ht="15" customHeight="1" x14ac:dyDescent="0.25">
      <c r="B434" s="37" t="s">
        <v>606</v>
      </c>
      <c r="C434" s="26">
        <v>20</v>
      </c>
      <c r="D434" s="38" t="s">
        <v>2678</v>
      </c>
      <c r="E434" s="59"/>
      <c r="F434" s="59" t="str">
        <f>IF(INDEX(I.Gas.P1AssociatedGasEnergy,20)="","",INDEX(I.Gas.P1AssociatedGasEnergy,20))</f>
        <v/>
      </c>
      <c r="G434" s="59"/>
      <c r="H434" s="26" t="str">
        <f>IF(I.Developer.P1=FALSE,"Complete",IF(I.Product.P1GasToPower="No","Complete",IF(AND(I.Gas.P1Count&gt;=20,F434=""),"Incomplete","Complete")))</f>
        <v>Complete</v>
      </c>
      <c r="I434" s="39" t="s">
        <v>626</v>
      </c>
    </row>
    <row r="435" spans="2:9" ht="15" customHeight="1" x14ac:dyDescent="0.25">
      <c r="B435" s="37" t="s">
        <v>606</v>
      </c>
      <c r="C435" s="26">
        <v>21</v>
      </c>
      <c r="D435" s="38" t="s">
        <v>2678</v>
      </c>
      <c r="E435" s="59"/>
      <c r="F435" s="59" t="str">
        <f>IF(INDEX(I.Gas.P1AssociatedGasEnergy,21)="","",INDEX(I.Gas.P1AssociatedGasEnergy,21))</f>
        <v/>
      </c>
      <c r="G435" s="59"/>
      <c r="H435" s="26" t="str">
        <f>IF(I.Developer.P1=FALSE,"Complete",IF(I.Product.P1GasToPower="No","Complete",IF(AND(I.Gas.P1Count&gt;=21,F435=""),"Incomplete","Complete")))</f>
        <v>Complete</v>
      </c>
      <c r="I435" s="39" t="s">
        <v>627</v>
      </c>
    </row>
    <row r="436" spans="2:9" ht="15" customHeight="1" x14ac:dyDescent="0.25">
      <c r="B436" s="37" t="s">
        <v>606</v>
      </c>
      <c r="C436" s="26">
        <v>22</v>
      </c>
      <c r="D436" s="38" t="s">
        <v>2678</v>
      </c>
      <c r="E436" s="59"/>
      <c r="F436" s="59" t="str">
        <f>IF(INDEX(I.Gas.P1AssociatedGasEnergy,22)="","",INDEX(I.Gas.P1AssociatedGasEnergy,22))</f>
        <v/>
      </c>
      <c r="G436" s="59"/>
      <c r="H436" s="26" t="str">
        <f>IF(I.Developer.P1=FALSE,"Complete",IF(I.Product.P1GasToPower="No","Complete",IF(AND(I.Gas.P1Count&gt;=22,F436=""),"Incomplete","Complete")))</f>
        <v>Complete</v>
      </c>
      <c r="I436" s="39" t="s">
        <v>628</v>
      </c>
    </row>
    <row r="437" spans="2:9" ht="15" customHeight="1" x14ac:dyDescent="0.25">
      <c r="B437" s="37" t="s">
        <v>606</v>
      </c>
      <c r="C437" s="26">
        <v>23</v>
      </c>
      <c r="D437" s="38" t="s">
        <v>2678</v>
      </c>
      <c r="E437" s="59"/>
      <c r="F437" s="59" t="str">
        <f>IF(INDEX(I.Gas.P1AssociatedGasEnergy,23)="","",INDEX(I.Gas.P1AssociatedGasEnergy,23))</f>
        <v/>
      </c>
      <c r="G437" s="59"/>
      <c r="H437" s="26" t="str">
        <f>IF(I.Developer.P1=FALSE,"Complete",IF(I.Product.P1GasToPower="No","Complete",IF(AND(I.Gas.P1Count&gt;=23,F437=""),"Incomplete","Complete")))</f>
        <v>Complete</v>
      </c>
      <c r="I437" s="39" t="s">
        <v>629</v>
      </c>
    </row>
    <row r="438" spans="2:9" ht="15" customHeight="1" x14ac:dyDescent="0.25">
      <c r="B438" s="37" t="s">
        <v>606</v>
      </c>
      <c r="C438" s="26">
        <v>24</v>
      </c>
      <c r="D438" s="38" t="s">
        <v>2678</v>
      </c>
      <c r="E438" s="59"/>
      <c r="F438" s="59" t="str">
        <f>IF(INDEX(I.Gas.P1AssociatedGasEnergy,24)="","",INDEX(I.Gas.P1AssociatedGasEnergy,24))</f>
        <v/>
      </c>
      <c r="G438" s="59"/>
      <c r="H438" s="26" t="str">
        <f>IF(I.Developer.P1=FALSE,"Complete",IF(I.Product.P1GasToPower="No","Complete",IF(AND(I.Gas.P1Count&gt;=24,F438=""),"Incomplete","Complete")))</f>
        <v>Complete</v>
      </c>
      <c r="I438" s="39" t="s">
        <v>630</v>
      </c>
    </row>
    <row r="439" spans="2:9" ht="15" customHeight="1" x14ac:dyDescent="0.25">
      <c r="B439" s="37" t="s">
        <v>606</v>
      </c>
      <c r="C439" s="26">
        <v>25</v>
      </c>
      <c r="D439" s="38" t="s">
        <v>2678</v>
      </c>
      <c r="E439" s="59"/>
      <c r="F439" s="59" t="str">
        <f>IF(INDEX(I.Gas.P1AssociatedGasEnergy,25)="","",INDEX(I.Gas.P1AssociatedGasEnergy,25))</f>
        <v/>
      </c>
      <c r="G439" s="59"/>
      <c r="H439" s="26" t="str">
        <f>IF(I.Developer.P1=FALSE,"Complete",IF(I.Product.P1GasToPower="No","Complete",IF(AND(I.Gas.P1Count&gt;=25,F439=""),"Incomplete","Complete")))</f>
        <v>Complete</v>
      </c>
      <c r="I439" s="39" t="s">
        <v>631</v>
      </c>
    </row>
    <row r="440" spans="2:9" ht="15" customHeight="1" x14ac:dyDescent="0.25">
      <c r="B440" s="37" t="s">
        <v>606</v>
      </c>
      <c r="C440" s="26">
        <v>26</v>
      </c>
      <c r="D440" s="38" t="s">
        <v>2678</v>
      </c>
      <c r="E440" s="59"/>
      <c r="F440" s="59" t="str">
        <f>IF(INDEX(I.Gas.P1AssociatedGasEnergy,26)="","",INDEX(I.Gas.P1AssociatedGasEnergy,26))</f>
        <v/>
      </c>
      <c r="G440" s="59"/>
      <c r="H440" s="26" t="str">
        <f>IF(I.Developer.P1=FALSE,"Complete",IF(I.Product.P1GasToPower="No","Complete",IF(AND(I.Gas.P1Count&gt;=26,F440=""),"Incomplete","Complete")))</f>
        <v>Complete</v>
      </c>
      <c r="I440" s="39" t="s">
        <v>632</v>
      </c>
    </row>
    <row r="441" spans="2:9" ht="15" customHeight="1" x14ac:dyDescent="0.25">
      <c r="B441" s="37" t="s">
        <v>606</v>
      </c>
      <c r="C441" s="26">
        <v>27</v>
      </c>
      <c r="D441" s="38" t="s">
        <v>2678</v>
      </c>
      <c r="E441" s="59"/>
      <c r="F441" s="59" t="str">
        <f>IF(INDEX(I.Gas.P1AssociatedGasEnergy,27)="","",INDEX(I.Gas.P1AssociatedGasEnergy,27))</f>
        <v/>
      </c>
      <c r="G441" s="59"/>
      <c r="H441" s="26" t="str">
        <f>IF(I.Developer.P1=FALSE,"Complete",IF(I.Product.P1GasToPower="No","Complete",IF(AND(I.Gas.P1Count&gt;=27,F441=""),"Incomplete","Complete")))</f>
        <v>Complete</v>
      </c>
      <c r="I441" s="39" t="s">
        <v>633</v>
      </c>
    </row>
    <row r="442" spans="2:9" ht="15" customHeight="1" x14ac:dyDescent="0.25">
      <c r="B442" s="37" t="s">
        <v>606</v>
      </c>
      <c r="C442" s="26">
        <v>28</v>
      </c>
      <c r="D442" s="38" t="s">
        <v>2678</v>
      </c>
      <c r="E442" s="59"/>
      <c r="F442" s="59" t="str">
        <f>IF(INDEX(I.Gas.P1AssociatedGasEnergy,28)="","",INDEX(I.Gas.P1AssociatedGasEnergy,28))</f>
        <v/>
      </c>
      <c r="G442" s="59"/>
      <c r="H442" s="26" t="str">
        <f>IF(I.Developer.P1=FALSE,"Complete",IF(I.Product.P1GasToPower="No","Complete",IF(AND(I.Gas.P1Count&gt;=28,F442=""),"Incomplete","Complete")))</f>
        <v>Complete</v>
      </c>
      <c r="I442" s="39" t="s">
        <v>634</v>
      </c>
    </row>
    <row r="443" spans="2:9" ht="15" customHeight="1" x14ac:dyDescent="0.25">
      <c r="B443" s="37" t="s">
        <v>606</v>
      </c>
      <c r="C443" s="26">
        <v>29</v>
      </c>
      <c r="D443" s="38" t="s">
        <v>2678</v>
      </c>
      <c r="E443" s="59"/>
      <c r="F443" s="59" t="str">
        <f>IF(INDEX(I.Gas.P1AssociatedGasEnergy,29)="","",INDEX(I.Gas.P1AssociatedGasEnergy,29))</f>
        <v/>
      </c>
      <c r="G443" s="59"/>
      <c r="H443" s="26" t="str">
        <f>IF(I.Developer.P1=FALSE,"Complete",IF(I.Product.P1GasToPower="No","Complete",IF(AND(I.Gas.P1Count&gt;=29,F443=""),"Incomplete","Complete")))</f>
        <v>Complete</v>
      </c>
      <c r="I443" s="39" t="s">
        <v>635</v>
      </c>
    </row>
    <row r="444" spans="2:9" ht="15" customHeight="1" x14ac:dyDescent="0.25">
      <c r="B444" s="37" t="s">
        <v>606</v>
      </c>
      <c r="C444" s="26">
        <v>30</v>
      </c>
      <c r="D444" s="38" t="s">
        <v>2678</v>
      </c>
      <c r="E444" s="59"/>
      <c r="F444" s="59" t="str">
        <f>IF(INDEX(I.Gas.P1AssociatedGasEnergy,30)="","",INDEX(I.Gas.P1AssociatedGasEnergy,30))</f>
        <v/>
      </c>
      <c r="G444" s="59"/>
      <c r="H444" s="26" t="str">
        <f>IF(I.Developer.P1=FALSE,"Complete",IF(I.Product.P1GasToPower="No","Complete",IF(AND(I.Gas.P1Count&gt;=30,F444=""),"Incomplete","Complete")))</f>
        <v>Complete</v>
      </c>
      <c r="I444" s="39" t="s">
        <v>636</v>
      </c>
    </row>
    <row r="445" spans="2:9" ht="15" customHeight="1" x14ac:dyDescent="0.25">
      <c r="B445" s="37" t="s">
        <v>606</v>
      </c>
      <c r="C445" s="26">
        <v>31</v>
      </c>
      <c r="D445" s="38" t="s">
        <v>2678</v>
      </c>
      <c r="E445" s="59"/>
      <c r="F445" s="59" t="str">
        <f>IF(INDEX(I.Gas.P1AssociatedGasEnergy,31)="","",INDEX(I.Gas.P1AssociatedGasEnergy,31))</f>
        <v/>
      </c>
      <c r="G445" s="59"/>
      <c r="H445" s="26" t="str">
        <f>IF(I.Developer.P1=FALSE,"Complete",IF(I.Product.P1GasToPower="No","Complete",IF(AND(I.Gas.P1Count&gt;=31,F445=""),"Incomplete","Complete")))</f>
        <v>Complete</v>
      </c>
      <c r="I445" s="39" t="s">
        <v>637</v>
      </c>
    </row>
    <row r="446" spans="2:9" ht="15" customHeight="1" x14ac:dyDescent="0.25">
      <c r="B446" s="37" t="s">
        <v>606</v>
      </c>
      <c r="C446" s="26">
        <v>32</v>
      </c>
      <c r="D446" s="38" t="s">
        <v>2678</v>
      </c>
      <c r="E446" s="59"/>
      <c r="F446" s="59" t="str">
        <f>IF(INDEX(I.Gas.P1AssociatedGasEnergy,32)="","",INDEX(I.Gas.P1AssociatedGasEnergy,32))</f>
        <v/>
      </c>
      <c r="G446" s="59"/>
      <c r="H446" s="26" t="str">
        <f>IF(I.Developer.P1=FALSE,"Complete",IF(I.Product.P1GasToPower="No","Complete",IF(AND(I.Gas.P1Count&gt;=32,F446=""),"Incomplete","Complete")))</f>
        <v>Complete</v>
      </c>
      <c r="I446" s="39" t="s">
        <v>638</v>
      </c>
    </row>
    <row r="447" spans="2:9" ht="15" customHeight="1" x14ac:dyDescent="0.25">
      <c r="B447" s="37" t="s">
        <v>606</v>
      </c>
      <c r="C447" s="26">
        <v>33</v>
      </c>
      <c r="D447" s="38" t="s">
        <v>2678</v>
      </c>
      <c r="E447" s="59"/>
      <c r="F447" s="59" t="str">
        <f>IF(INDEX(I.Gas.P1AssociatedGasEnergy,33)="","",INDEX(I.Gas.P1AssociatedGasEnergy,33))</f>
        <v/>
      </c>
      <c r="G447" s="59"/>
      <c r="H447" s="26" t="str">
        <f>IF(I.Developer.P1=FALSE,"Complete",IF(I.Product.P1GasToPower="No","Complete",IF(AND(I.Gas.P1Count&gt;=33,F447=""),"Incomplete","Complete")))</f>
        <v>Complete</v>
      </c>
      <c r="I447" s="39" t="s">
        <v>639</v>
      </c>
    </row>
    <row r="448" spans="2:9" ht="15" customHeight="1" x14ac:dyDescent="0.25">
      <c r="B448" s="37" t="s">
        <v>606</v>
      </c>
      <c r="C448" s="26">
        <v>34</v>
      </c>
      <c r="D448" s="38" t="s">
        <v>2678</v>
      </c>
      <c r="E448" s="59"/>
      <c r="F448" s="59" t="str">
        <f>IF(INDEX(I.Gas.P1AssociatedGasEnergy,34)="","",INDEX(I.Gas.P1AssociatedGasEnergy,34))</f>
        <v/>
      </c>
      <c r="G448" s="59"/>
      <c r="H448" s="26" t="str">
        <f>IF(I.Developer.P1=FALSE,"Complete",IF(I.Product.P1GasToPower="No","Complete",IF(AND(I.Gas.P1Count&gt;=34,F448=""),"Incomplete","Complete")))</f>
        <v>Complete</v>
      </c>
      <c r="I448" s="39" t="s">
        <v>640</v>
      </c>
    </row>
    <row r="449" spans="2:9" ht="15" customHeight="1" x14ac:dyDescent="0.25">
      <c r="B449" s="37" t="s">
        <v>606</v>
      </c>
      <c r="C449" s="26">
        <v>35</v>
      </c>
      <c r="D449" s="38" t="s">
        <v>2678</v>
      </c>
      <c r="E449" s="59"/>
      <c r="F449" s="59" t="str">
        <f>IF(INDEX(I.Gas.P1AssociatedGasEnergy,35)="","",INDEX(I.Gas.P1AssociatedGasEnergy,35))</f>
        <v/>
      </c>
      <c r="G449" s="59"/>
      <c r="H449" s="26" t="str">
        <f>IF(I.Developer.P1=FALSE,"Complete",IF(I.Product.P1GasToPower="No","Complete",IF(AND(I.Gas.P1Count&gt;=35,F449=""),"Incomplete","Complete")))</f>
        <v>Complete</v>
      </c>
      <c r="I449" s="39" t="s">
        <v>641</v>
      </c>
    </row>
    <row r="450" spans="2:9" ht="15" customHeight="1" x14ac:dyDescent="0.25">
      <c r="B450" s="37" t="s">
        <v>606</v>
      </c>
      <c r="C450" s="26">
        <v>36</v>
      </c>
      <c r="D450" s="38" t="s">
        <v>2678</v>
      </c>
      <c r="E450" s="59"/>
      <c r="F450" s="59" t="str">
        <f>IF(INDEX(I.Gas.P1AssociatedGasEnergy,36)="","",INDEX(I.Gas.P1AssociatedGasEnergy,36))</f>
        <v/>
      </c>
      <c r="G450" s="59"/>
      <c r="H450" s="26" t="str">
        <f>IF(I.Developer.P1=FALSE,"Complete",IF(I.Product.P1GasToPower="No","Complete",IF(AND(I.Gas.P1Count&gt;=36,F450=""),"Incomplete","Complete")))</f>
        <v>Complete</v>
      </c>
      <c r="I450" s="39" t="s">
        <v>642</v>
      </c>
    </row>
    <row r="451" spans="2:9" ht="15" customHeight="1" x14ac:dyDescent="0.25">
      <c r="B451" s="37" t="s">
        <v>606</v>
      </c>
      <c r="C451" s="26">
        <v>37</v>
      </c>
      <c r="D451" s="38" t="s">
        <v>2678</v>
      </c>
      <c r="E451" s="59"/>
      <c r="F451" s="59" t="str">
        <f>IF(INDEX(I.Gas.P1AssociatedGasEnergy,37)="","",INDEX(I.Gas.P1AssociatedGasEnergy,37))</f>
        <v/>
      </c>
      <c r="G451" s="59"/>
      <c r="H451" s="26" t="str">
        <f>IF(I.Developer.P1=FALSE,"Complete",IF(I.Product.P1GasToPower="No","Complete",IF(AND(I.Gas.P1Count&gt;=37,F451=""),"Incomplete","Complete")))</f>
        <v>Complete</v>
      </c>
      <c r="I451" s="39" t="s">
        <v>643</v>
      </c>
    </row>
    <row r="452" spans="2:9" ht="15" customHeight="1" x14ac:dyDescent="0.25">
      <c r="B452" s="37" t="s">
        <v>606</v>
      </c>
      <c r="C452" s="26">
        <v>38</v>
      </c>
      <c r="D452" s="38" t="s">
        <v>2678</v>
      </c>
      <c r="E452" s="59"/>
      <c r="F452" s="59" t="str">
        <f>IF(INDEX(I.Gas.P1AssociatedGasEnergy,38)="","",INDEX(I.Gas.P1AssociatedGasEnergy,38))</f>
        <v/>
      </c>
      <c r="G452" s="59"/>
      <c r="H452" s="26" t="str">
        <f>IF(I.Developer.P1=FALSE,"Complete",IF(I.Product.P1GasToPower="No","Complete",IF(AND(I.Gas.P1Count&gt;=38,F452=""),"Incomplete","Complete")))</f>
        <v>Complete</v>
      </c>
      <c r="I452" s="39" t="s">
        <v>644</v>
      </c>
    </row>
    <row r="453" spans="2:9" ht="15" customHeight="1" x14ac:dyDescent="0.25">
      <c r="B453" s="37" t="s">
        <v>606</v>
      </c>
      <c r="C453" s="26">
        <v>39</v>
      </c>
      <c r="D453" s="38" t="s">
        <v>2678</v>
      </c>
      <c r="E453" s="59"/>
      <c r="F453" s="59" t="str">
        <f>IF(INDEX(I.Gas.P1AssociatedGasEnergy,39)="","",INDEX(I.Gas.P1AssociatedGasEnergy,39))</f>
        <v/>
      </c>
      <c r="G453" s="59"/>
      <c r="H453" s="26" t="str">
        <f>IF(I.Developer.P1=FALSE,"Complete",IF(I.Product.P1GasToPower="No","Complete",IF(AND(I.Gas.P1Count&gt;=39,F453=""),"Incomplete","Complete")))</f>
        <v>Complete</v>
      </c>
      <c r="I453" s="39" t="s">
        <v>645</v>
      </c>
    </row>
    <row r="454" spans="2:9" ht="15" customHeight="1" x14ac:dyDescent="0.25">
      <c r="B454" s="37" t="s">
        <v>606</v>
      </c>
      <c r="C454" s="26">
        <v>40</v>
      </c>
      <c r="D454" s="38" t="s">
        <v>2678</v>
      </c>
      <c r="E454" s="59"/>
      <c r="F454" s="59" t="str">
        <f>IF(INDEX(I.Gas.P1AssociatedGasEnergy,40)="","",INDEX(I.Gas.P1AssociatedGasEnergy,40))</f>
        <v/>
      </c>
      <c r="G454" s="59"/>
      <c r="H454" s="26" t="str">
        <f>IF(I.Developer.P1=FALSE,"Complete",IF(I.Product.P1GasToPower="No","Complete",IF(AND(I.Gas.P1Count&gt;=40,F454=""),"Incomplete","Complete")))</f>
        <v>Complete</v>
      </c>
      <c r="I454" s="39" t="s">
        <v>646</v>
      </c>
    </row>
    <row r="455" spans="2:9" ht="15" customHeight="1" x14ac:dyDescent="0.25">
      <c r="B455" s="37" t="s">
        <v>606</v>
      </c>
      <c r="C455" s="26">
        <v>41</v>
      </c>
      <c r="D455" s="38" t="s">
        <v>2678</v>
      </c>
      <c r="E455" s="59"/>
      <c r="F455" s="59" t="str">
        <f>IF(INDEX(I.Gas.P1AssociatedGasEnergy,41)="","",INDEX(I.Gas.P1AssociatedGasEnergy,41))</f>
        <v/>
      </c>
      <c r="G455" s="59"/>
      <c r="H455" s="26" t="str">
        <f>IF(I.Developer.P1=FALSE,"Complete",IF(I.Product.P1GasToPower="No","Complete",IF(AND(I.Gas.P1Count&gt;=41,F455=""),"Incomplete","Complete")))</f>
        <v>Complete</v>
      </c>
      <c r="I455" s="39" t="s">
        <v>647</v>
      </c>
    </row>
    <row r="456" spans="2:9" ht="15" customHeight="1" x14ac:dyDescent="0.25">
      <c r="B456" s="37" t="s">
        <v>606</v>
      </c>
      <c r="C456" s="26">
        <v>42</v>
      </c>
      <c r="D456" s="38" t="s">
        <v>2678</v>
      </c>
      <c r="E456" s="59"/>
      <c r="F456" s="59" t="str">
        <f>IF(INDEX(I.Gas.P1AssociatedGasEnergy,42)="","",INDEX(I.Gas.P1AssociatedGasEnergy,42))</f>
        <v/>
      </c>
      <c r="G456" s="59"/>
      <c r="H456" s="26" t="str">
        <f>IF(I.Developer.P1=FALSE,"Complete",IF(I.Product.P1GasToPower="No","Complete",IF(AND(I.Gas.P1Count&gt;=42,F456=""),"Incomplete","Complete")))</f>
        <v>Complete</v>
      </c>
      <c r="I456" s="39" t="s">
        <v>648</v>
      </c>
    </row>
    <row r="457" spans="2:9" ht="15" customHeight="1" x14ac:dyDescent="0.25">
      <c r="B457" s="37" t="s">
        <v>606</v>
      </c>
      <c r="C457" s="26">
        <v>43</v>
      </c>
      <c r="D457" s="38" t="s">
        <v>2678</v>
      </c>
      <c r="E457" s="59"/>
      <c r="F457" s="59" t="str">
        <f>IF(INDEX(I.Gas.P1AssociatedGasEnergy,43)="","",INDEX(I.Gas.P1AssociatedGasEnergy,43))</f>
        <v/>
      </c>
      <c r="G457" s="59"/>
      <c r="H457" s="26" t="str">
        <f>IF(I.Developer.P1=FALSE,"Complete",IF(I.Product.P1GasToPower="No","Complete",IF(AND(I.Gas.P1Count&gt;=43,F457=""),"Incomplete","Complete")))</f>
        <v>Complete</v>
      </c>
      <c r="I457" s="39" t="s">
        <v>649</v>
      </c>
    </row>
    <row r="458" spans="2:9" ht="15" customHeight="1" x14ac:dyDescent="0.25">
      <c r="B458" s="37" t="s">
        <v>606</v>
      </c>
      <c r="C458" s="26">
        <v>44</v>
      </c>
      <c r="D458" s="38" t="s">
        <v>2678</v>
      </c>
      <c r="E458" s="59"/>
      <c r="F458" s="59" t="str">
        <f>IF(INDEX(I.Gas.P1AssociatedGasEnergy,44)="","",INDEX(I.Gas.P1AssociatedGasEnergy,44))</f>
        <v/>
      </c>
      <c r="G458" s="59"/>
      <c r="H458" s="26" t="str">
        <f>IF(I.Developer.P1=FALSE,"Complete",IF(I.Product.P1GasToPower="No","Complete",IF(AND(I.Gas.P1Count&gt;=44,F458=""),"Incomplete","Complete")))</f>
        <v>Complete</v>
      </c>
      <c r="I458" s="39" t="s">
        <v>650</v>
      </c>
    </row>
    <row r="459" spans="2:9" ht="15" customHeight="1" x14ac:dyDescent="0.25">
      <c r="B459" s="37" t="s">
        <v>606</v>
      </c>
      <c r="C459" s="26">
        <v>45</v>
      </c>
      <c r="D459" s="38" t="s">
        <v>2678</v>
      </c>
      <c r="E459" s="59"/>
      <c r="F459" s="59" t="str">
        <f>IF(INDEX(I.Gas.P1AssociatedGasEnergy,45)="","",INDEX(I.Gas.P1AssociatedGasEnergy,45))</f>
        <v/>
      </c>
      <c r="G459" s="59"/>
      <c r="H459" s="26" t="str">
        <f>IF(I.Developer.P1=FALSE,"Complete",IF(I.Product.P1GasToPower="No","Complete",IF(AND(I.Gas.P1Count&gt;=45,F459=""),"Incomplete","Complete")))</f>
        <v>Complete</v>
      </c>
      <c r="I459" s="39" t="s">
        <v>651</v>
      </c>
    </row>
    <row r="460" spans="2:9" ht="15" customHeight="1" x14ac:dyDescent="0.25">
      <c r="B460" s="37" t="s">
        <v>606</v>
      </c>
      <c r="C460" s="26">
        <v>46</v>
      </c>
      <c r="D460" s="38" t="s">
        <v>2678</v>
      </c>
      <c r="E460" s="59"/>
      <c r="F460" s="59" t="str">
        <f>IF(INDEX(I.Gas.P1AssociatedGasEnergy,46)="","",INDEX(I.Gas.P1AssociatedGasEnergy,46))</f>
        <v/>
      </c>
      <c r="G460" s="59"/>
      <c r="H460" s="26" t="str">
        <f>IF(I.Developer.P1=FALSE,"Complete",IF(I.Product.P1GasToPower="No","Complete",IF(AND(I.Gas.P1Count&gt;=46,F460=""),"Incomplete","Complete")))</f>
        <v>Complete</v>
      </c>
      <c r="I460" s="39" t="s">
        <v>652</v>
      </c>
    </row>
    <row r="461" spans="2:9" ht="15" customHeight="1" x14ac:dyDescent="0.25">
      <c r="B461" s="37" t="s">
        <v>606</v>
      </c>
      <c r="C461" s="26">
        <v>47</v>
      </c>
      <c r="D461" s="38" t="s">
        <v>2678</v>
      </c>
      <c r="E461" s="59"/>
      <c r="F461" s="59" t="str">
        <f>IF(INDEX(I.Gas.P1AssociatedGasEnergy,47)="","",INDEX(I.Gas.P1AssociatedGasEnergy,47))</f>
        <v/>
      </c>
      <c r="G461" s="59"/>
      <c r="H461" s="26" t="str">
        <f>IF(I.Developer.P1=FALSE,"Complete",IF(I.Product.P1GasToPower="No","Complete",IF(AND(I.Gas.P1Count&gt;=47,F461=""),"Incomplete","Complete")))</f>
        <v>Complete</v>
      </c>
      <c r="I461" s="39" t="s">
        <v>653</v>
      </c>
    </row>
    <row r="462" spans="2:9" ht="15" customHeight="1" x14ac:dyDescent="0.25">
      <c r="B462" s="37" t="s">
        <v>606</v>
      </c>
      <c r="C462" s="26">
        <v>48</v>
      </c>
      <c r="D462" s="38" t="s">
        <v>2678</v>
      </c>
      <c r="E462" s="59"/>
      <c r="F462" s="59" t="str">
        <f>IF(INDEX(I.Gas.P1AssociatedGasEnergy,48)="","",INDEX(I.Gas.P1AssociatedGasEnergy,48))</f>
        <v/>
      </c>
      <c r="G462" s="59"/>
      <c r="H462" s="26" t="str">
        <f>IF(I.Developer.P1=FALSE,"Complete",IF(I.Product.P1GasToPower="No","Complete",IF(AND(I.Gas.P1Count&gt;=48,F462=""),"Incomplete","Complete")))</f>
        <v>Complete</v>
      </c>
      <c r="I462" s="39" t="s">
        <v>654</v>
      </c>
    </row>
    <row r="463" spans="2:9" ht="15" customHeight="1" x14ac:dyDescent="0.25">
      <c r="B463" s="37" t="s">
        <v>606</v>
      </c>
      <c r="C463" s="26">
        <v>49</v>
      </c>
      <c r="D463" s="38" t="s">
        <v>2678</v>
      </c>
      <c r="E463" s="59"/>
      <c r="F463" s="59" t="str">
        <f>IF(INDEX(I.Gas.P1AssociatedGasEnergy,49)="","",INDEX(I.Gas.P1AssociatedGasEnergy,49))</f>
        <v/>
      </c>
      <c r="G463" s="59"/>
      <c r="H463" s="26" t="str">
        <f>IF(I.Developer.P1=FALSE,"Complete",IF(I.Product.P1GasToPower="No","Complete",IF(AND(I.Gas.P1Count&gt;=49,F463=""),"Incomplete","Complete")))</f>
        <v>Complete</v>
      </c>
      <c r="I463" s="39" t="s">
        <v>655</v>
      </c>
    </row>
    <row r="464" spans="2:9" ht="15" customHeight="1" x14ac:dyDescent="0.25">
      <c r="B464" s="40" t="s">
        <v>606</v>
      </c>
      <c r="C464" s="46">
        <v>50</v>
      </c>
      <c r="D464" s="44" t="s">
        <v>2678</v>
      </c>
      <c r="E464" s="63"/>
      <c r="F464" s="63" t="str">
        <f>IF(INDEX(I.Gas.P1AssociatedGasEnergy,50)="","",INDEX(I.Gas.P1AssociatedGasEnergy,50))</f>
        <v/>
      </c>
      <c r="G464" s="63"/>
      <c r="H464" s="46" t="str">
        <f>IF(I.Developer.P1=FALSE,"Complete",IF(I.Product.P1GasToPower="No","Complete",IF(AND(I.Gas.P1Count&gt;=50,F464=""),"Incomplete","Complete")))</f>
        <v>Complete</v>
      </c>
      <c r="I464" s="47" t="s">
        <v>656</v>
      </c>
    </row>
    <row r="465" spans="2:9" ht="15" customHeight="1" x14ac:dyDescent="0.25">
      <c r="B465" s="37" t="s">
        <v>657</v>
      </c>
      <c r="C465" s="26">
        <v>1</v>
      </c>
      <c r="D465" s="38" t="s">
        <v>2679</v>
      </c>
      <c r="E465" s="59"/>
      <c r="F465" s="59" t="str">
        <f>IF(INDEX(I.Gas.P1TotalGasEnergy,1)="","",INDEX(I.Gas.P1TotalGasEnergy,1))</f>
        <v/>
      </c>
      <c r="G465" s="59"/>
      <c r="H465" s="26" t="str">
        <f>IF(I.Developer.P1=FALSE,"Complete",IF(I.Product.P1GasToPower="No","Complete",IF(AND(I.Gas.P1Count&gt;=1,F465=""),"Incomplete","Complete")))</f>
        <v>Complete</v>
      </c>
      <c r="I465" s="39" t="s">
        <v>658</v>
      </c>
    </row>
    <row r="466" spans="2:9" ht="15" customHeight="1" x14ac:dyDescent="0.25">
      <c r="B466" s="37" t="s">
        <v>657</v>
      </c>
      <c r="C466" s="26">
        <v>2</v>
      </c>
      <c r="D466" s="38" t="s">
        <v>2679</v>
      </c>
      <c r="E466" s="59"/>
      <c r="F466" s="59" t="str">
        <f>IF(INDEX(I.Gas.P1TotalGasEnergy,2)="","",INDEX(I.Gas.P1TotalGasEnergy,2))</f>
        <v/>
      </c>
      <c r="G466" s="59"/>
      <c r="H466" s="26" t="str">
        <f>IF(I.Developer.P1=FALSE,"Complete",IF(I.Product.P1GasToPower="No","Complete",IF(AND(I.Gas.P1Count&gt;=2,F466=""),"Incomplete","Complete")))</f>
        <v>Complete</v>
      </c>
      <c r="I466" s="39" t="s">
        <v>659</v>
      </c>
    </row>
    <row r="467" spans="2:9" ht="15" customHeight="1" x14ac:dyDescent="0.25">
      <c r="B467" s="37" t="s">
        <v>657</v>
      </c>
      <c r="C467" s="26">
        <v>3</v>
      </c>
      <c r="D467" s="38" t="s">
        <v>2679</v>
      </c>
      <c r="E467" s="59"/>
      <c r="F467" s="59" t="str">
        <f>IF(INDEX(I.Gas.P1TotalGasEnergy,3)="","",INDEX(I.Gas.P1TotalGasEnergy,3))</f>
        <v/>
      </c>
      <c r="G467" s="59"/>
      <c r="H467" s="26" t="str">
        <f>IF(I.Developer.P1=FALSE,"Complete",IF(I.Product.P1GasToPower="No","Complete",IF(AND(I.Gas.P1Count&gt;=3,F467=""),"Incomplete","Complete")))</f>
        <v>Complete</v>
      </c>
      <c r="I467" s="39" t="s">
        <v>660</v>
      </c>
    </row>
    <row r="468" spans="2:9" ht="15" customHeight="1" x14ac:dyDescent="0.25">
      <c r="B468" s="37" t="s">
        <v>657</v>
      </c>
      <c r="C468" s="26">
        <v>4</v>
      </c>
      <c r="D468" s="38" t="s">
        <v>2679</v>
      </c>
      <c r="E468" s="59"/>
      <c r="F468" s="59" t="str">
        <f>IF(INDEX(I.Gas.P1TotalGasEnergy,4)="","",INDEX(I.Gas.P1TotalGasEnergy,4))</f>
        <v/>
      </c>
      <c r="G468" s="59"/>
      <c r="H468" s="26" t="str">
        <f>IF(I.Developer.P1=FALSE,"Complete",IF(I.Product.P1GasToPower="No","Complete",IF(AND(I.Gas.P1Count&gt;=4,F468=""),"Incomplete","Complete")))</f>
        <v>Complete</v>
      </c>
      <c r="I468" s="39" t="s">
        <v>661</v>
      </c>
    </row>
    <row r="469" spans="2:9" ht="15" customHeight="1" x14ac:dyDescent="0.25">
      <c r="B469" s="37" t="s">
        <v>657</v>
      </c>
      <c r="C469" s="26">
        <v>5</v>
      </c>
      <c r="D469" s="38" t="s">
        <v>2679</v>
      </c>
      <c r="E469" s="59"/>
      <c r="F469" s="59" t="str">
        <f>IF(INDEX(I.Gas.P1TotalGasEnergy,5)="","",INDEX(I.Gas.P1TotalGasEnergy,5))</f>
        <v/>
      </c>
      <c r="G469" s="59"/>
      <c r="H469" s="26" t="str">
        <f>IF(I.Developer.P1=FALSE,"Complete",IF(I.Product.P1GasToPower="No","Complete",IF(AND(I.Gas.P1Count&gt;=5,F469=""),"Incomplete","Complete")))</f>
        <v>Complete</v>
      </c>
      <c r="I469" s="39" t="s">
        <v>662</v>
      </c>
    </row>
    <row r="470" spans="2:9" ht="15" customHeight="1" x14ac:dyDescent="0.25">
      <c r="B470" s="37" t="s">
        <v>657</v>
      </c>
      <c r="C470" s="26">
        <v>6</v>
      </c>
      <c r="D470" s="38" t="s">
        <v>2679</v>
      </c>
      <c r="E470" s="59"/>
      <c r="F470" s="59" t="str">
        <f>IF(INDEX(I.Gas.P1TotalGasEnergy,6)="","",INDEX(I.Gas.P1TotalGasEnergy,6))</f>
        <v/>
      </c>
      <c r="G470" s="59"/>
      <c r="H470" s="26" t="str">
        <f>IF(I.Developer.P1=FALSE,"Complete",IF(I.Product.P1GasToPower="No","Complete",IF(AND(I.Gas.P1Count&gt;=6,F470=""),"Incomplete","Complete")))</f>
        <v>Complete</v>
      </c>
      <c r="I470" s="39" t="s">
        <v>663</v>
      </c>
    </row>
    <row r="471" spans="2:9" ht="15" customHeight="1" x14ac:dyDescent="0.25">
      <c r="B471" s="37" t="s">
        <v>657</v>
      </c>
      <c r="C471" s="26">
        <v>7</v>
      </c>
      <c r="D471" s="38" t="s">
        <v>2679</v>
      </c>
      <c r="E471" s="59"/>
      <c r="F471" s="59" t="str">
        <f>IF(INDEX(I.Gas.P1TotalGasEnergy,7)="","",INDEX(I.Gas.P1TotalGasEnergy,7))</f>
        <v/>
      </c>
      <c r="G471" s="59"/>
      <c r="H471" s="26" t="str">
        <f>IF(I.Developer.P1=FALSE,"Complete",IF(I.Product.P1GasToPower="No","Complete",IF(AND(I.Gas.P1Count&gt;=7,F471=""),"Incomplete","Complete")))</f>
        <v>Complete</v>
      </c>
      <c r="I471" s="39" t="s">
        <v>664</v>
      </c>
    </row>
    <row r="472" spans="2:9" ht="15" customHeight="1" x14ac:dyDescent="0.25">
      <c r="B472" s="37" t="s">
        <v>657</v>
      </c>
      <c r="C472" s="26">
        <v>8</v>
      </c>
      <c r="D472" s="38" t="s">
        <v>2679</v>
      </c>
      <c r="E472" s="59"/>
      <c r="F472" s="59" t="str">
        <f>IF(INDEX(I.Gas.P1TotalGasEnergy,8)="","",INDEX(I.Gas.P1TotalGasEnergy,8))</f>
        <v/>
      </c>
      <c r="G472" s="59"/>
      <c r="H472" s="26" t="str">
        <f>IF(I.Developer.P1=FALSE,"Complete",IF(I.Product.P1GasToPower="No","Complete",IF(AND(I.Gas.P1Count&gt;=8,F472=""),"Incomplete","Complete")))</f>
        <v>Complete</v>
      </c>
      <c r="I472" s="39" t="s">
        <v>665</v>
      </c>
    </row>
    <row r="473" spans="2:9" ht="15" customHeight="1" x14ac:dyDescent="0.25">
      <c r="B473" s="37" t="s">
        <v>657</v>
      </c>
      <c r="C473" s="26">
        <v>9</v>
      </c>
      <c r="D473" s="38" t="s">
        <v>2679</v>
      </c>
      <c r="E473" s="59"/>
      <c r="F473" s="59" t="str">
        <f>IF(INDEX(I.Gas.P1TotalGasEnergy,9)="","",INDEX(I.Gas.P1TotalGasEnergy,9))</f>
        <v/>
      </c>
      <c r="G473" s="59"/>
      <c r="H473" s="26" t="str">
        <f>IF(I.Developer.P1=FALSE,"Complete",IF(I.Product.P1GasToPower="No","Complete",IF(AND(I.Gas.P1Count&gt;=9,F473=""),"Incomplete","Complete")))</f>
        <v>Complete</v>
      </c>
      <c r="I473" s="39" t="s">
        <v>666</v>
      </c>
    </row>
    <row r="474" spans="2:9" ht="15" customHeight="1" x14ac:dyDescent="0.25">
      <c r="B474" s="37" t="s">
        <v>657</v>
      </c>
      <c r="C474" s="26">
        <v>10</v>
      </c>
      <c r="D474" s="38" t="s">
        <v>2679</v>
      </c>
      <c r="E474" s="59"/>
      <c r="F474" s="59" t="str">
        <f>IF(INDEX(I.Gas.P1TotalGasEnergy,10)="","",INDEX(I.Gas.P1TotalGasEnergy,10))</f>
        <v/>
      </c>
      <c r="G474" s="59"/>
      <c r="H474" s="26" t="str">
        <f>IF(I.Developer.P1=FALSE,"Complete",IF(I.Product.P1GasToPower="No","Complete",IF(AND(I.Gas.P1Count&gt;=10,F474=""),"Incomplete","Complete")))</f>
        <v>Complete</v>
      </c>
      <c r="I474" s="39" t="s">
        <v>667</v>
      </c>
    </row>
    <row r="475" spans="2:9" ht="15" customHeight="1" x14ac:dyDescent="0.25">
      <c r="B475" s="37" t="s">
        <v>657</v>
      </c>
      <c r="C475" s="26">
        <v>11</v>
      </c>
      <c r="D475" s="38" t="s">
        <v>2679</v>
      </c>
      <c r="E475" s="59"/>
      <c r="F475" s="59" t="str">
        <f>IF(INDEX(I.Gas.P1TotalGasEnergy,11)="","",INDEX(I.Gas.P1TotalGasEnergy,11))</f>
        <v/>
      </c>
      <c r="G475" s="59"/>
      <c r="H475" s="26" t="str">
        <f>IF(I.Developer.P1=FALSE,"Complete",IF(I.Product.P1GasToPower="No","Complete",IF(AND(I.Gas.P1Count&gt;=11,F475=""),"Incomplete","Complete")))</f>
        <v>Complete</v>
      </c>
      <c r="I475" s="39" t="s">
        <v>668</v>
      </c>
    </row>
    <row r="476" spans="2:9" ht="15" customHeight="1" x14ac:dyDescent="0.25">
      <c r="B476" s="37" t="s">
        <v>657</v>
      </c>
      <c r="C476" s="26">
        <v>12</v>
      </c>
      <c r="D476" s="38" t="s">
        <v>2679</v>
      </c>
      <c r="E476" s="59"/>
      <c r="F476" s="59" t="str">
        <f>IF(INDEX(I.Gas.P1TotalGasEnergy,12)="","",INDEX(I.Gas.P1TotalGasEnergy,12))</f>
        <v/>
      </c>
      <c r="G476" s="59"/>
      <c r="H476" s="26" t="str">
        <f>IF(I.Developer.P1=FALSE,"Complete",IF(I.Product.P1GasToPower="No","Complete",IF(AND(I.Gas.P1Count&gt;=12,F476=""),"Incomplete","Complete")))</f>
        <v>Complete</v>
      </c>
      <c r="I476" s="39" t="s">
        <v>669</v>
      </c>
    </row>
    <row r="477" spans="2:9" ht="15" customHeight="1" x14ac:dyDescent="0.25">
      <c r="B477" s="37" t="s">
        <v>657</v>
      </c>
      <c r="C477" s="26">
        <v>13</v>
      </c>
      <c r="D477" s="38" t="s">
        <v>2679</v>
      </c>
      <c r="E477" s="59"/>
      <c r="F477" s="59" t="str">
        <f>IF(INDEX(I.Gas.P1TotalGasEnergy,13)="","",INDEX(I.Gas.P1TotalGasEnergy,13))</f>
        <v/>
      </c>
      <c r="G477" s="59"/>
      <c r="H477" s="26" t="str">
        <f>IF(I.Developer.P1=FALSE,"Complete",IF(I.Product.P1GasToPower="No","Complete",IF(AND(I.Gas.P1Count&gt;=13,F477=""),"Incomplete","Complete")))</f>
        <v>Complete</v>
      </c>
      <c r="I477" s="39" t="s">
        <v>670</v>
      </c>
    </row>
    <row r="478" spans="2:9" ht="15" customHeight="1" x14ac:dyDescent="0.25">
      <c r="B478" s="37" t="s">
        <v>657</v>
      </c>
      <c r="C478" s="26">
        <v>14</v>
      </c>
      <c r="D478" s="38" t="s">
        <v>2679</v>
      </c>
      <c r="E478" s="59"/>
      <c r="F478" s="59" t="str">
        <f>IF(INDEX(I.Gas.P1TotalGasEnergy,14)="","",INDEX(I.Gas.P1TotalGasEnergy,14))</f>
        <v/>
      </c>
      <c r="G478" s="59"/>
      <c r="H478" s="26" t="str">
        <f>IF(I.Developer.P1=FALSE,"Complete",IF(I.Product.P1GasToPower="No","Complete",IF(AND(I.Gas.P1Count&gt;=14,F478=""),"Incomplete","Complete")))</f>
        <v>Complete</v>
      </c>
      <c r="I478" s="39" t="s">
        <v>671</v>
      </c>
    </row>
    <row r="479" spans="2:9" ht="15" customHeight="1" x14ac:dyDescent="0.25">
      <c r="B479" s="37" t="s">
        <v>657</v>
      </c>
      <c r="C479" s="26">
        <v>15</v>
      </c>
      <c r="D479" s="38" t="s">
        <v>2679</v>
      </c>
      <c r="E479" s="59"/>
      <c r="F479" s="59" t="str">
        <f>IF(INDEX(I.Gas.P1TotalGasEnergy,15)="","",INDEX(I.Gas.P1TotalGasEnergy,15))</f>
        <v/>
      </c>
      <c r="G479" s="59"/>
      <c r="H479" s="26" t="str">
        <f>IF(I.Developer.P1=FALSE,"Complete",IF(I.Product.P1GasToPower="No","Complete",IF(AND(I.Gas.P1Count&gt;=15,F479=""),"Incomplete","Complete")))</f>
        <v>Complete</v>
      </c>
      <c r="I479" s="39" t="s">
        <v>672</v>
      </c>
    </row>
    <row r="480" spans="2:9" ht="15" customHeight="1" x14ac:dyDescent="0.25">
      <c r="B480" s="37" t="s">
        <v>657</v>
      </c>
      <c r="C480" s="26">
        <v>16</v>
      </c>
      <c r="D480" s="38" t="s">
        <v>2679</v>
      </c>
      <c r="E480" s="59"/>
      <c r="F480" s="59" t="str">
        <f>IF(INDEX(I.Gas.P1TotalGasEnergy,16)="","",INDEX(I.Gas.P1TotalGasEnergy,16))</f>
        <v/>
      </c>
      <c r="G480" s="59"/>
      <c r="H480" s="26" t="str">
        <f>IF(I.Developer.P1=FALSE,"Complete",IF(I.Product.P1GasToPower="No","Complete",IF(AND(I.Gas.P1Count&gt;=16,F480=""),"Incomplete","Complete")))</f>
        <v>Complete</v>
      </c>
      <c r="I480" s="39" t="s">
        <v>673</v>
      </c>
    </row>
    <row r="481" spans="2:9" ht="15" customHeight="1" x14ac:dyDescent="0.25">
      <c r="B481" s="37" t="s">
        <v>657</v>
      </c>
      <c r="C481" s="26">
        <v>17</v>
      </c>
      <c r="D481" s="38" t="s">
        <v>2679</v>
      </c>
      <c r="E481" s="59"/>
      <c r="F481" s="59" t="str">
        <f>IF(INDEX(I.Gas.P1TotalGasEnergy,17)="","",INDEX(I.Gas.P1TotalGasEnergy,17))</f>
        <v/>
      </c>
      <c r="G481" s="59"/>
      <c r="H481" s="26" t="str">
        <f>IF(I.Developer.P1=FALSE,"Complete",IF(I.Product.P1GasToPower="No","Complete",IF(AND(I.Gas.P1Count&gt;=17,F481=""),"Incomplete","Complete")))</f>
        <v>Complete</v>
      </c>
      <c r="I481" s="39" t="s">
        <v>674</v>
      </c>
    </row>
    <row r="482" spans="2:9" ht="15" customHeight="1" x14ac:dyDescent="0.25">
      <c r="B482" s="37" t="s">
        <v>657</v>
      </c>
      <c r="C482" s="26">
        <v>18</v>
      </c>
      <c r="D482" s="38" t="s">
        <v>2679</v>
      </c>
      <c r="E482" s="59"/>
      <c r="F482" s="59" t="str">
        <f>IF(INDEX(I.Gas.P1TotalGasEnergy,18)="","",INDEX(I.Gas.P1TotalGasEnergy,18))</f>
        <v/>
      </c>
      <c r="G482" s="59"/>
      <c r="H482" s="26" t="str">
        <f>IF(I.Developer.P1=FALSE,"Complete",IF(I.Product.P1GasToPower="No","Complete",IF(AND(I.Gas.P1Count&gt;=18,F482=""),"Incomplete","Complete")))</f>
        <v>Complete</v>
      </c>
      <c r="I482" s="39" t="s">
        <v>675</v>
      </c>
    </row>
    <row r="483" spans="2:9" ht="15" customHeight="1" x14ac:dyDescent="0.25">
      <c r="B483" s="37" t="s">
        <v>657</v>
      </c>
      <c r="C483" s="26">
        <v>19</v>
      </c>
      <c r="D483" s="38" t="s">
        <v>2679</v>
      </c>
      <c r="E483" s="59"/>
      <c r="F483" s="59" t="str">
        <f>IF(INDEX(I.Gas.P1TotalGasEnergy,19)="","",INDEX(I.Gas.P1TotalGasEnergy,19))</f>
        <v/>
      </c>
      <c r="G483" s="59"/>
      <c r="H483" s="26" t="str">
        <f>IF(I.Developer.P1=FALSE,"Complete",IF(I.Product.P1GasToPower="No","Complete",IF(AND(I.Gas.P1Count&gt;=19,F483=""),"Incomplete","Complete")))</f>
        <v>Complete</v>
      </c>
      <c r="I483" s="39" t="s">
        <v>676</v>
      </c>
    </row>
    <row r="484" spans="2:9" ht="15" customHeight="1" x14ac:dyDescent="0.25">
      <c r="B484" s="37" t="s">
        <v>657</v>
      </c>
      <c r="C484" s="26">
        <v>20</v>
      </c>
      <c r="D484" s="38" t="s">
        <v>2679</v>
      </c>
      <c r="E484" s="59"/>
      <c r="F484" s="59" t="str">
        <f>IF(INDEX(I.Gas.P1TotalGasEnergy,20)="","",INDEX(I.Gas.P1TotalGasEnergy,20))</f>
        <v/>
      </c>
      <c r="G484" s="59"/>
      <c r="H484" s="26" t="str">
        <f>IF(I.Developer.P1=FALSE,"Complete",IF(I.Product.P1GasToPower="No","Complete",IF(AND(I.Gas.P1Count&gt;=20,F484=""),"Incomplete","Complete")))</f>
        <v>Complete</v>
      </c>
      <c r="I484" s="39" t="s">
        <v>677</v>
      </c>
    </row>
    <row r="485" spans="2:9" ht="15" customHeight="1" x14ac:dyDescent="0.25">
      <c r="B485" s="37" t="s">
        <v>657</v>
      </c>
      <c r="C485" s="26">
        <v>21</v>
      </c>
      <c r="D485" s="38" t="s">
        <v>2679</v>
      </c>
      <c r="E485" s="59"/>
      <c r="F485" s="59" t="str">
        <f>IF(INDEX(I.Gas.P1TotalGasEnergy,21)="","",INDEX(I.Gas.P1TotalGasEnergy,21))</f>
        <v/>
      </c>
      <c r="G485" s="59"/>
      <c r="H485" s="26" t="str">
        <f>IF(I.Developer.P1=FALSE,"Complete",IF(I.Product.P1GasToPower="No","Complete",IF(AND(I.Gas.P1Count&gt;=21,F485=""),"Incomplete","Complete")))</f>
        <v>Complete</v>
      </c>
      <c r="I485" s="39" t="s">
        <v>678</v>
      </c>
    </row>
    <row r="486" spans="2:9" ht="15" customHeight="1" x14ac:dyDescent="0.25">
      <c r="B486" s="37" t="s">
        <v>657</v>
      </c>
      <c r="C486" s="26">
        <v>22</v>
      </c>
      <c r="D486" s="38" t="s">
        <v>2679</v>
      </c>
      <c r="E486" s="59"/>
      <c r="F486" s="59" t="str">
        <f>IF(INDEX(I.Gas.P1TotalGasEnergy,22)="","",INDEX(I.Gas.P1TotalGasEnergy,22))</f>
        <v/>
      </c>
      <c r="G486" s="59"/>
      <c r="H486" s="26" t="str">
        <f>IF(I.Developer.P1=FALSE,"Complete",IF(I.Product.P1GasToPower="No","Complete",IF(AND(I.Gas.P1Count&gt;=22,F486=""),"Incomplete","Complete")))</f>
        <v>Complete</v>
      </c>
      <c r="I486" s="39" t="s">
        <v>679</v>
      </c>
    </row>
    <row r="487" spans="2:9" ht="15" customHeight="1" x14ac:dyDescent="0.25">
      <c r="B487" s="37" t="s">
        <v>657</v>
      </c>
      <c r="C487" s="26">
        <v>23</v>
      </c>
      <c r="D487" s="38" t="s">
        <v>2679</v>
      </c>
      <c r="E487" s="59"/>
      <c r="F487" s="59" t="str">
        <f>IF(INDEX(I.Gas.P1TotalGasEnergy,23)="","",INDEX(I.Gas.P1TotalGasEnergy,23))</f>
        <v/>
      </c>
      <c r="G487" s="59"/>
      <c r="H487" s="26" t="str">
        <f>IF(I.Developer.P1=FALSE,"Complete",IF(I.Product.P1GasToPower="No","Complete",IF(AND(I.Gas.P1Count&gt;=23,F487=""),"Incomplete","Complete")))</f>
        <v>Complete</v>
      </c>
      <c r="I487" s="39" t="s">
        <v>680</v>
      </c>
    </row>
    <row r="488" spans="2:9" ht="15" customHeight="1" x14ac:dyDescent="0.25">
      <c r="B488" s="37" t="s">
        <v>657</v>
      </c>
      <c r="C488" s="26">
        <v>24</v>
      </c>
      <c r="D488" s="38" t="s">
        <v>2679</v>
      </c>
      <c r="E488" s="59"/>
      <c r="F488" s="59" t="str">
        <f>IF(INDEX(I.Gas.P1TotalGasEnergy,24)="","",INDEX(I.Gas.P1TotalGasEnergy,24))</f>
        <v/>
      </c>
      <c r="G488" s="59"/>
      <c r="H488" s="26" t="str">
        <f>IF(I.Developer.P1=FALSE,"Complete",IF(I.Product.P1GasToPower="No","Complete",IF(AND(I.Gas.P1Count&gt;=24,F488=""),"Incomplete","Complete")))</f>
        <v>Complete</v>
      </c>
      <c r="I488" s="39" t="s">
        <v>681</v>
      </c>
    </row>
    <row r="489" spans="2:9" ht="15" customHeight="1" x14ac:dyDescent="0.25">
      <c r="B489" s="37" t="s">
        <v>657</v>
      </c>
      <c r="C489" s="26">
        <v>25</v>
      </c>
      <c r="D489" s="38" t="s">
        <v>2679</v>
      </c>
      <c r="E489" s="59"/>
      <c r="F489" s="59" t="str">
        <f>IF(INDEX(I.Gas.P1TotalGasEnergy,25)="","",INDEX(I.Gas.P1TotalGasEnergy,25))</f>
        <v/>
      </c>
      <c r="G489" s="59"/>
      <c r="H489" s="26" t="str">
        <f>IF(I.Developer.P1=FALSE,"Complete",IF(I.Product.P1GasToPower="No","Complete",IF(AND(I.Gas.P1Count&gt;=25,F489=""),"Incomplete","Complete")))</f>
        <v>Complete</v>
      </c>
      <c r="I489" s="39" t="s">
        <v>682</v>
      </c>
    </row>
    <row r="490" spans="2:9" ht="15" customHeight="1" x14ac:dyDescent="0.25">
      <c r="B490" s="37" t="s">
        <v>657</v>
      </c>
      <c r="C490" s="26">
        <v>26</v>
      </c>
      <c r="D490" s="38" t="s">
        <v>2679</v>
      </c>
      <c r="E490" s="59"/>
      <c r="F490" s="59" t="str">
        <f>IF(INDEX(I.Gas.P1TotalGasEnergy,26)="","",INDEX(I.Gas.P1TotalGasEnergy,26))</f>
        <v/>
      </c>
      <c r="G490" s="59"/>
      <c r="H490" s="26" t="str">
        <f>IF(I.Developer.P1=FALSE,"Complete",IF(I.Product.P1GasToPower="No","Complete",IF(AND(I.Gas.P1Count&gt;=26,F490=""),"Incomplete","Complete")))</f>
        <v>Complete</v>
      </c>
      <c r="I490" s="39" t="s">
        <v>683</v>
      </c>
    </row>
    <row r="491" spans="2:9" ht="15" customHeight="1" x14ac:dyDescent="0.25">
      <c r="B491" s="37" t="s">
        <v>657</v>
      </c>
      <c r="C491" s="26">
        <v>27</v>
      </c>
      <c r="D491" s="38" t="s">
        <v>2679</v>
      </c>
      <c r="E491" s="59"/>
      <c r="F491" s="59" t="str">
        <f>IF(INDEX(I.Gas.P1TotalGasEnergy,27)="","",INDEX(I.Gas.P1TotalGasEnergy,27))</f>
        <v/>
      </c>
      <c r="G491" s="59"/>
      <c r="H491" s="26" t="str">
        <f>IF(I.Developer.P1=FALSE,"Complete",IF(I.Product.P1GasToPower="No","Complete",IF(AND(I.Gas.P1Count&gt;=27,F491=""),"Incomplete","Complete")))</f>
        <v>Complete</v>
      </c>
      <c r="I491" s="39" t="s">
        <v>684</v>
      </c>
    </row>
    <row r="492" spans="2:9" ht="15" customHeight="1" x14ac:dyDescent="0.25">
      <c r="B492" s="37" t="s">
        <v>657</v>
      </c>
      <c r="C492" s="26">
        <v>28</v>
      </c>
      <c r="D492" s="38" t="s">
        <v>2679</v>
      </c>
      <c r="E492" s="59"/>
      <c r="F492" s="59" t="str">
        <f>IF(INDEX(I.Gas.P1TotalGasEnergy,28)="","",INDEX(I.Gas.P1TotalGasEnergy,28))</f>
        <v/>
      </c>
      <c r="G492" s="59"/>
      <c r="H492" s="26" t="str">
        <f>IF(I.Developer.P1=FALSE,"Complete",IF(I.Product.P1GasToPower="No","Complete",IF(AND(I.Gas.P1Count&gt;=28,F492=""),"Incomplete","Complete")))</f>
        <v>Complete</v>
      </c>
      <c r="I492" s="39" t="s">
        <v>685</v>
      </c>
    </row>
    <row r="493" spans="2:9" ht="15" customHeight="1" x14ac:dyDescent="0.25">
      <c r="B493" s="37" t="s">
        <v>657</v>
      </c>
      <c r="C493" s="26">
        <v>29</v>
      </c>
      <c r="D493" s="38" t="s">
        <v>2679</v>
      </c>
      <c r="E493" s="59"/>
      <c r="F493" s="59" t="str">
        <f>IF(INDEX(I.Gas.P1TotalGasEnergy,29)="","",INDEX(I.Gas.P1TotalGasEnergy,29))</f>
        <v/>
      </c>
      <c r="G493" s="59"/>
      <c r="H493" s="26" t="str">
        <f>IF(I.Developer.P1=FALSE,"Complete",IF(I.Product.P1GasToPower="No","Complete",IF(AND(I.Gas.P1Count&gt;=29,F493=""),"Incomplete","Complete")))</f>
        <v>Complete</v>
      </c>
      <c r="I493" s="39" t="s">
        <v>686</v>
      </c>
    </row>
    <row r="494" spans="2:9" ht="15" customHeight="1" x14ac:dyDescent="0.25">
      <c r="B494" s="37" t="s">
        <v>657</v>
      </c>
      <c r="C494" s="26">
        <v>30</v>
      </c>
      <c r="D494" s="38" t="s">
        <v>2679</v>
      </c>
      <c r="E494" s="59"/>
      <c r="F494" s="59" t="str">
        <f>IF(INDEX(I.Gas.P1TotalGasEnergy,30)="","",INDEX(I.Gas.P1TotalGasEnergy,30))</f>
        <v/>
      </c>
      <c r="G494" s="59"/>
      <c r="H494" s="26" t="str">
        <f>IF(I.Developer.P1=FALSE,"Complete",IF(I.Product.P1GasToPower="No","Complete",IF(AND(I.Gas.P1Count&gt;=30,F494=""),"Incomplete","Complete")))</f>
        <v>Complete</v>
      </c>
      <c r="I494" s="39" t="s">
        <v>687</v>
      </c>
    </row>
    <row r="495" spans="2:9" ht="15" customHeight="1" x14ac:dyDescent="0.25">
      <c r="B495" s="37" t="s">
        <v>657</v>
      </c>
      <c r="C495" s="26">
        <v>31</v>
      </c>
      <c r="D495" s="38" t="s">
        <v>2679</v>
      </c>
      <c r="E495" s="59"/>
      <c r="F495" s="59" t="str">
        <f>IF(INDEX(I.Gas.P1TotalGasEnergy,31)="","",INDEX(I.Gas.P1TotalGasEnergy,31))</f>
        <v/>
      </c>
      <c r="G495" s="59"/>
      <c r="H495" s="26" t="str">
        <f>IF(I.Developer.P1=FALSE,"Complete",IF(I.Product.P1GasToPower="No","Complete",IF(AND(I.Gas.P1Count&gt;=31,F495=""),"Incomplete","Complete")))</f>
        <v>Complete</v>
      </c>
      <c r="I495" s="39" t="s">
        <v>688</v>
      </c>
    </row>
    <row r="496" spans="2:9" ht="15" customHeight="1" x14ac:dyDescent="0.25">
      <c r="B496" s="37" t="s">
        <v>657</v>
      </c>
      <c r="C496" s="26">
        <v>32</v>
      </c>
      <c r="D496" s="38" t="s">
        <v>2679</v>
      </c>
      <c r="E496" s="59"/>
      <c r="F496" s="59" t="str">
        <f>IF(INDEX(I.Gas.P1TotalGasEnergy,32)="","",INDEX(I.Gas.P1TotalGasEnergy,32))</f>
        <v/>
      </c>
      <c r="G496" s="59"/>
      <c r="H496" s="26" t="str">
        <f>IF(I.Developer.P1=FALSE,"Complete",IF(I.Product.P1GasToPower="No","Complete",IF(AND(I.Gas.P1Count&gt;=32,F496=""),"Incomplete","Complete")))</f>
        <v>Complete</v>
      </c>
      <c r="I496" s="39" t="s">
        <v>689</v>
      </c>
    </row>
    <row r="497" spans="2:9" ht="15" customHeight="1" x14ac:dyDescent="0.25">
      <c r="B497" s="37" t="s">
        <v>657</v>
      </c>
      <c r="C497" s="26">
        <v>33</v>
      </c>
      <c r="D497" s="38" t="s">
        <v>2679</v>
      </c>
      <c r="E497" s="59"/>
      <c r="F497" s="59" t="str">
        <f>IF(INDEX(I.Gas.P1TotalGasEnergy,33)="","",INDEX(I.Gas.P1TotalGasEnergy,33))</f>
        <v/>
      </c>
      <c r="G497" s="59"/>
      <c r="H497" s="26" t="str">
        <f>IF(I.Developer.P1=FALSE,"Complete",IF(I.Product.P1GasToPower="No","Complete",IF(AND(I.Gas.P1Count&gt;=33,F497=""),"Incomplete","Complete")))</f>
        <v>Complete</v>
      </c>
      <c r="I497" s="39" t="s">
        <v>690</v>
      </c>
    </row>
    <row r="498" spans="2:9" ht="15" customHeight="1" x14ac:dyDescent="0.25">
      <c r="B498" s="37" t="s">
        <v>657</v>
      </c>
      <c r="C498" s="26">
        <v>34</v>
      </c>
      <c r="D498" s="38" t="s">
        <v>2679</v>
      </c>
      <c r="E498" s="59"/>
      <c r="F498" s="59" t="str">
        <f>IF(INDEX(I.Gas.P1TotalGasEnergy,34)="","",INDEX(I.Gas.P1TotalGasEnergy,34))</f>
        <v/>
      </c>
      <c r="G498" s="59"/>
      <c r="H498" s="26" t="str">
        <f>IF(I.Developer.P1=FALSE,"Complete",IF(I.Product.P1GasToPower="No","Complete",IF(AND(I.Gas.P1Count&gt;=34,F498=""),"Incomplete","Complete")))</f>
        <v>Complete</v>
      </c>
      <c r="I498" s="39" t="s">
        <v>691</v>
      </c>
    </row>
    <row r="499" spans="2:9" ht="15" customHeight="1" x14ac:dyDescent="0.25">
      <c r="B499" s="37" t="s">
        <v>657</v>
      </c>
      <c r="C499" s="26">
        <v>35</v>
      </c>
      <c r="D499" s="38" t="s">
        <v>2679</v>
      </c>
      <c r="E499" s="59"/>
      <c r="F499" s="59" t="str">
        <f>IF(INDEX(I.Gas.P1TotalGasEnergy,35)="","",INDEX(I.Gas.P1TotalGasEnergy,35))</f>
        <v/>
      </c>
      <c r="G499" s="59"/>
      <c r="H499" s="26" t="str">
        <f>IF(I.Developer.P1=FALSE,"Complete",IF(I.Product.P1GasToPower="No","Complete",IF(AND(I.Gas.P1Count&gt;=35,F499=""),"Incomplete","Complete")))</f>
        <v>Complete</v>
      </c>
      <c r="I499" s="39" t="s">
        <v>692</v>
      </c>
    </row>
    <row r="500" spans="2:9" ht="15" customHeight="1" x14ac:dyDescent="0.25">
      <c r="B500" s="37" t="s">
        <v>657</v>
      </c>
      <c r="C500" s="26">
        <v>36</v>
      </c>
      <c r="D500" s="38" t="s">
        <v>2679</v>
      </c>
      <c r="E500" s="59"/>
      <c r="F500" s="59" t="str">
        <f>IF(INDEX(I.Gas.P1TotalGasEnergy,36)="","",INDEX(I.Gas.P1TotalGasEnergy,36))</f>
        <v/>
      </c>
      <c r="G500" s="59"/>
      <c r="H500" s="26" t="str">
        <f>IF(I.Developer.P1=FALSE,"Complete",IF(I.Product.P1GasToPower="No","Complete",IF(AND(I.Gas.P1Count&gt;=36,F500=""),"Incomplete","Complete")))</f>
        <v>Complete</v>
      </c>
      <c r="I500" s="39" t="s">
        <v>693</v>
      </c>
    </row>
    <row r="501" spans="2:9" ht="15" customHeight="1" x14ac:dyDescent="0.25">
      <c r="B501" s="37" t="s">
        <v>657</v>
      </c>
      <c r="C501" s="26">
        <v>37</v>
      </c>
      <c r="D501" s="38" t="s">
        <v>2679</v>
      </c>
      <c r="E501" s="59"/>
      <c r="F501" s="59" t="str">
        <f>IF(INDEX(I.Gas.P1TotalGasEnergy,37)="","",INDEX(I.Gas.P1TotalGasEnergy,37))</f>
        <v/>
      </c>
      <c r="G501" s="59"/>
      <c r="H501" s="26" t="str">
        <f>IF(I.Developer.P1=FALSE,"Complete",IF(I.Product.P1GasToPower="No","Complete",IF(AND(I.Gas.P1Count&gt;=37,F501=""),"Incomplete","Complete")))</f>
        <v>Complete</v>
      </c>
      <c r="I501" s="39" t="s">
        <v>694</v>
      </c>
    </row>
    <row r="502" spans="2:9" ht="15" customHeight="1" x14ac:dyDescent="0.25">
      <c r="B502" s="37" t="s">
        <v>657</v>
      </c>
      <c r="C502" s="26">
        <v>38</v>
      </c>
      <c r="D502" s="38" t="s">
        <v>2679</v>
      </c>
      <c r="E502" s="59"/>
      <c r="F502" s="59" t="str">
        <f>IF(INDEX(I.Gas.P1TotalGasEnergy,38)="","",INDEX(I.Gas.P1TotalGasEnergy,38))</f>
        <v/>
      </c>
      <c r="G502" s="59"/>
      <c r="H502" s="26" t="str">
        <f>IF(I.Developer.P1=FALSE,"Complete",IF(I.Product.P1GasToPower="No","Complete",IF(AND(I.Gas.P1Count&gt;=38,F502=""),"Incomplete","Complete")))</f>
        <v>Complete</v>
      </c>
      <c r="I502" s="39" t="s">
        <v>695</v>
      </c>
    </row>
    <row r="503" spans="2:9" ht="15" customHeight="1" x14ac:dyDescent="0.25">
      <c r="B503" s="37" t="s">
        <v>657</v>
      </c>
      <c r="C503" s="26">
        <v>39</v>
      </c>
      <c r="D503" s="38" t="s">
        <v>2679</v>
      </c>
      <c r="E503" s="59"/>
      <c r="F503" s="59" t="str">
        <f>IF(INDEX(I.Gas.P1TotalGasEnergy,39)="","",INDEX(I.Gas.P1TotalGasEnergy,39))</f>
        <v/>
      </c>
      <c r="G503" s="59"/>
      <c r="H503" s="26" t="str">
        <f>IF(I.Developer.P1=FALSE,"Complete",IF(I.Product.P1GasToPower="No","Complete",IF(AND(I.Gas.P1Count&gt;=39,F503=""),"Incomplete","Complete")))</f>
        <v>Complete</v>
      </c>
      <c r="I503" s="39" t="s">
        <v>696</v>
      </c>
    </row>
    <row r="504" spans="2:9" ht="15" customHeight="1" x14ac:dyDescent="0.25">
      <c r="B504" s="37" t="s">
        <v>657</v>
      </c>
      <c r="C504" s="26">
        <v>40</v>
      </c>
      <c r="D504" s="38" t="s">
        <v>2679</v>
      </c>
      <c r="E504" s="59"/>
      <c r="F504" s="59" t="str">
        <f>IF(INDEX(I.Gas.P1TotalGasEnergy,40)="","",INDEX(I.Gas.P1TotalGasEnergy,40))</f>
        <v/>
      </c>
      <c r="G504" s="59"/>
      <c r="H504" s="26" t="str">
        <f>IF(I.Developer.P1=FALSE,"Complete",IF(I.Product.P1GasToPower="No","Complete",IF(AND(I.Gas.P1Count&gt;=40,F504=""),"Incomplete","Complete")))</f>
        <v>Complete</v>
      </c>
      <c r="I504" s="39" t="s">
        <v>697</v>
      </c>
    </row>
    <row r="505" spans="2:9" ht="15" customHeight="1" x14ac:dyDescent="0.25">
      <c r="B505" s="37" t="s">
        <v>657</v>
      </c>
      <c r="C505" s="26">
        <v>41</v>
      </c>
      <c r="D505" s="38" t="s">
        <v>2679</v>
      </c>
      <c r="E505" s="59"/>
      <c r="F505" s="59" t="str">
        <f>IF(INDEX(I.Gas.P1TotalGasEnergy,41)="","",INDEX(I.Gas.P1TotalGasEnergy,41))</f>
        <v/>
      </c>
      <c r="G505" s="59"/>
      <c r="H505" s="26" t="str">
        <f>IF(I.Developer.P1=FALSE,"Complete",IF(I.Product.P1GasToPower="No","Complete",IF(AND(I.Gas.P1Count&gt;=41,F505=""),"Incomplete","Complete")))</f>
        <v>Complete</v>
      </c>
      <c r="I505" s="39" t="s">
        <v>698</v>
      </c>
    </row>
    <row r="506" spans="2:9" ht="15" customHeight="1" x14ac:dyDescent="0.25">
      <c r="B506" s="37" t="s">
        <v>657</v>
      </c>
      <c r="C506" s="26">
        <v>42</v>
      </c>
      <c r="D506" s="38" t="s">
        <v>2679</v>
      </c>
      <c r="E506" s="59"/>
      <c r="F506" s="59" t="str">
        <f>IF(INDEX(I.Gas.P1TotalGasEnergy,42)="","",INDEX(I.Gas.P1TotalGasEnergy,42))</f>
        <v/>
      </c>
      <c r="G506" s="59"/>
      <c r="H506" s="26" t="str">
        <f>IF(I.Developer.P1=FALSE,"Complete",IF(I.Product.P1GasToPower="No","Complete",IF(AND(I.Gas.P1Count&gt;=42,F506=""),"Incomplete","Complete")))</f>
        <v>Complete</v>
      </c>
      <c r="I506" s="39" t="s">
        <v>699</v>
      </c>
    </row>
    <row r="507" spans="2:9" ht="15" customHeight="1" x14ac:dyDescent="0.25">
      <c r="B507" s="37" t="s">
        <v>657</v>
      </c>
      <c r="C507" s="26">
        <v>43</v>
      </c>
      <c r="D507" s="38" t="s">
        <v>2679</v>
      </c>
      <c r="E507" s="59"/>
      <c r="F507" s="59" t="str">
        <f>IF(INDEX(I.Gas.P1TotalGasEnergy,43)="","",INDEX(I.Gas.P1TotalGasEnergy,43))</f>
        <v/>
      </c>
      <c r="G507" s="59"/>
      <c r="H507" s="26" t="str">
        <f>IF(I.Developer.P1=FALSE,"Complete",IF(I.Product.P1GasToPower="No","Complete",IF(AND(I.Gas.P1Count&gt;=43,F507=""),"Incomplete","Complete")))</f>
        <v>Complete</v>
      </c>
      <c r="I507" s="39" t="s">
        <v>700</v>
      </c>
    </row>
    <row r="508" spans="2:9" ht="15" customHeight="1" x14ac:dyDescent="0.25">
      <c r="B508" s="37" t="s">
        <v>657</v>
      </c>
      <c r="C508" s="26">
        <v>44</v>
      </c>
      <c r="D508" s="38" t="s">
        <v>2679</v>
      </c>
      <c r="E508" s="59"/>
      <c r="F508" s="59" t="str">
        <f>IF(INDEX(I.Gas.P1TotalGasEnergy,44)="","",INDEX(I.Gas.P1TotalGasEnergy,44))</f>
        <v/>
      </c>
      <c r="G508" s="59"/>
      <c r="H508" s="26" t="str">
        <f>IF(I.Developer.P1=FALSE,"Complete",IF(I.Product.P1GasToPower="No","Complete",IF(AND(I.Gas.P1Count&gt;=44,F508=""),"Incomplete","Complete")))</f>
        <v>Complete</v>
      </c>
      <c r="I508" s="39" t="s">
        <v>701</v>
      </c>
    </row>
    <row r="509" spans="2:9" ht="15" customHeight="1" x14ac:dyDescent="0.25">
      <c r="B509" s="37" t="s">
        <v>657</v>
      </c>
      <c r="C509" s="26">
        <v>45</v>
      </c>
      <c r="D509" s="38" t="s">
        <v>2679</v>
      </c>
      <c r="E509" s="59"/>
      <c r="F509" s="59" t="str">
        <f>IF(INDEX(I.Gas.P1TotalGasEnergy,45)="","",INDEX(I.Gas.P1TotalGasEnergy,45))</f>
        <v/>
      </c>
      <c r="G509" s="59"/>
      <c r="H509" s="26" t="str">
        <f>IF(I.Developer.P1=FALSE,"Complete",IF(I.Product.P1GasToPower="No","Complete",IF(AND(I.Gas.P1Count&gt;=45,F509=""),"Incomplete","Complete")))</f>
        <v>Complete</v>
      </c>
      <c r="I509" s="39" t="s">
        <v>702</v>
      </c>
    </row>
    <row r="510" spans="2:9" ht="15" customHeight="1" x14ac:dyDescent="0.25">
      <c r="B510" s="37" t="s">
        <v>657</v>
      </c>
      <c r="C510" s="26">
        <v>46</v>
      </c>
      <c r="D510" s="38" t="s">
        <v>2679</v>
      </c>
      <c r="E510" s="59"/>
      <c r="F510" s="59" t="str">
        <f>IF(INDEX(I.Gas.P1TotalGasEnergy,46)="","",INDEX(I.Gas.P1TotalGasEnergy,46))</f>
        <v/>
      </c>
      <c r="G510" s="59"/>
      <c r="H510" s="26" t="str">
        <f>IF(I.Developer.P1=FALSE,"Complete",IF(I.Product.P1GasToPower="No","Complete",IF(AND(I.Gas.P1Count&gt;=46,F510=""),"Incomplete","Complete")))</f>
        <v>Complete</v>
      </c>
      <c r="I510" s="39" t="s">
        <v>703</v>
      </c>
    </row>
    <row r="511" spans="2:9" ht="15" customHeight="1" x14ac:dyDescent="0.25">
      <c r="B511" s="37" t="s">
        <v>657</v>
      </c>
      <c r="C511" s="26">
        <v>47</v>
      </c>
      <c r="D511" s="38" t="s">
        <v>2679</v>
      </c>
      <c r="E511" s="59"/>
      <c r="F511" s="59" t="str">
        <f>IF(INDEX(I.Gas.P1TotalGasEnergy,47)="","",INDEX(I.Gas.P1TotalGasEnergy,47))</f>
        <v/>
      </c>
      <c r="G511" s="59"/>
      <c r="H511" s="26" t="str">
        <f>IF(I.Developer.P1=FALSE,"Complete",IF(I.Product.P1GasToPower="No","Complete",IF(AND(I.Gas.P1Count&gt;=47,F511=""),"Incomplete","Complete")))</f>
        <v>Complete</v>
      </c>
      <c r="I511" s="39" t="s">
        <v>704</v>
      </c>
    </row>
    <row r="512" spans="2:9" ht="15" customHeight="1" x14ac:dyDescent="0.25">
      <c r="B512" s="37" t="s">
        <v>657</v>
      </c>
      <c r="C512" s="26">
        <v>48</v>
      </c>
      <c r="D512" s="38" t="s">
        <v>2679</v>
      </c>
      <c r="E512" s="59"/>
      <c r="F512" s="59" t="str">
        <f>IF(INDEX(I.Gas.P1TotalGasEnergy,48)="","",INDEX(I.Gas.P1TotalGasEnergy,48))</f>
        <v/>
      </c>
      <c r="G512" s="59"/>
      <c r="H512" s="26" t="str">
        <f>IF(I.Developer.P1=FALSE,"Complete",IF(I.Product.P1GasToPower="No","Complete",IF(AND(I.Gas.P1Count&gt;=48,F512=""),"Incomplete","Complete")))</f>
        <v>Complete</v>
      </c>
      <c r="I512" s="39" t="s">
        <v>705</v>
      </c>
    </row>
    <row r="513" spans="2:9" ht="15" customHeight="1" x14ac:dyDescent="0.25">
      <c r="B513" s="37" t="s">
        <v>657</v>
      </c>
      <c r="C513" s="26">
        <v>49</v>
      </c>
      <c r="D513" s="38" t="s">
        <v>2679</v>
      </c>
      <c r="E513" s="59"/>
      <c r="F513" s="59" t="str">
        <f>IF(INDEX(I.Gas.P1TotalGasEnergy,49)="","",INDEX(I.Gas.P1TotalGasEnergy,49))</f>
        <v/>
      </c>
      <c r="G513" s="59"/>
      <c r="H513" s="26" t="str">
        <f>IF(I.Developer.P1=FALSE,"Complete",IF(I.Product.P1GasToPower="No","Complete",IF(AND(I.Gas.P1Count&gt;=49,F513=""),"Incomplete","Complete")))</f>
        <v>Complete</v>
      </c>
      <c r="I513" s="39" t="s">
        <v>706</v>
      </c>
    </row>
    <row r="514" spans="2:9" ht="15" customHeight="1" x14ac:dyDescent="0.25">
      <c r="B514" s="40" t="s">
        <v>657</v>
      </c>
      <c r="C514" s="46">
        <v>50</v>
      </c>
      <c r="D514" s="44" t="s">
        <v>2679</v>
      </c>
      <c r="E514" s="63"/>
      <c r="F514" s="63" t="str">
        <f>IF(INDEX(I.Gas.P1TotalGasEnergy,50)="","",INDEX(I.Gas.P1TotalGasEnergy,50))</f>
        <v/>
      </c>
      <c r="G514" s="63"/>
      <c r="H514" s="46" t="str">
        <f>IF(I.Developer.P1=FALSE,"Complete",IF(I.Product.P1GasToPower="No","Complete",IF(AND(I.Gas.P1Count&gt;=50,F514=""),"Incomplete","Complete")))</f>
        <v>Complete</v>
      </c>
      <c r="I514" s="47" t="s">
        <v>707</v>
      </c>
    </row>
    <row r="515" spans="2:9" ht="15" customHeight="1" x14ac:dyDescent="0.25">
      <c r="B515" s="37" t="s">
        <v>708</v>
      </c>
      <c r="C515" s="26">
        <v>1</v>
      </c>
      <c r="D515" s="38" t="s">
        <v>2680</v>
      </c>
      <c r="E515" s="59"/>
      <c r="F515" s="59" t="str">
        <f>IF(INDEX(I.Gas.P1ElectricityGeneration,1)="","",INDEX(I.Gas.P1ElectricityGeneration,1))</f>
        <v/>
      </c>
      <c r="G515" s="59"/>
      <c r="H515" s="26" t="str">
        <f>IF(I.Developer.P1=FALSE,"Complete",IF(I.Product.P1GasToPower="No","Complete",IF(AND(I.Gas.P1Count&gt;=1,F515=""),"Incomplete","Complete")))</f>
        <v>Complete</v>
      </c>
      <c r="I515" s="39" t="s">
        <v>709</v>
      </c>
    </row>
    <row r="516" spans="2:9" ht="15" customHeight="1" x14ac:dyDescent="0.25">
      <c r="B516" s="37" t="s">
        <v>708</v>
      </c>
      <c r="C516" s="26">
        <v>2</v>
      </c>
      <c r="D516" s="38" t="s">
        <v>2680</v>
      </c>
      <c r="E516" s="59"/>
      <c r="F516" s="59" t="str">
        <f>IF(INDEX(I.Gas.P1ElectricityGeneration,2)="","",INDEX(I.Gas.P1ElectricityGeneration,2))</f>
        <v/>
      </c>
      <c r="G516" s="59"/>
      <c r="H516" s="26" t="str">
        <f>IF(I.Developer.P1=FALSE,"Complete",IF(I.Product.P1GasToPower="No","Complete",IF(AND(I.Gas.P1Count&gt;=2,F516=""),"Incomplete","Complete")))</f>
        <v>Complete</v>
      </c>
      <c r="I516" s="39" t="s">
        <v>710</v>
      </c>
    </row>
    <row r="517" spans="2:9" ht="15" customHeight="1" x14ac:dyDescent="0.25">
      <c r="B517" s="37" t="s">
        <v>708</v>
      </c>
      <c r="C517" s="26">
        <v>3</v>
      </c>
      <c r="D517" s="38" t="s">
        <v>2680</v>
      </c>
      <c r="E517" s="59"/>
      <c r="F517" s="59" t="str">
        <f>IF(INDEX(I.Gas.P1ElectricityGeneration,3)="","",INDEX(I.Gas.P1ElectricityGeneration,3))</f>
        <v/>
      </c>
      <c r="G517" s="59"/>
      <c r="H517" s="26" t="str">
        <f>IF(I.Developer.P1=FALSE,"Complete",IF(I.Product.P1GasToPower="No","Complete",IF(AND(I.Gas.P1Count&gt;=3,F517=""),"Incomplete","Complete")))</f>
        <v>Complete</v>
      </c>
      <c r="I517" s="39" t="s">
        <v>711</v>
      </c>
    </row>
    <row r="518" spans="2:9" ht="15" customHeight="1" x14ac:dyDescent="0.25">
      <c r="B518" s="37" t="s">
        <v>708</v>
      </c>
      <c r="C518" s="26">
        <v>4</v>
      </c>
      <c r="D518" s="38" t="s">
        <v>2680</v>
      </c>
      <c r="E518" s="59"/>
      <c r="F518" s="59" t="str">
        <f>IF(INDEX(I.Gas.P1ElectricityGeneration,4)="","",INDEX(I.Gas.P1ElectricityGeneration,4))</f>
        <v/>
      </c>
      <c r="G518" s="59"/>
      <c r="H518" s="26" t="str">
        <f>IF(I.Developer.P1=FALSE,"Complete",IF(I.Product.P1GasToPower="No","Complete",IF(AND(I.Gas.P1Count&gt;=4,F518=""),"Incomplete","Complete")))</f>
        <v>Complete</v>
      </c>
      <c r="I518" s="39" t="s">
        <v>712</v>
      </c>
    </row>
    <row r="519" spans="2:9" ht="15" customHeight="1" x14ac:dyDescent="0.25">
      <c r="B519" s="37" t="s">
        <v>708</v>
      </c>
      <c r="C519" s="26">
        <v>5</v>
      </c>
      <c r="D519" s="38" t="s">
        <v>2680</v>
      </c>
      <c r="E519" s="59"/>
      <c r="F519" s="59" t="str">
        <f>IF(INDEX(I.Gas.P1ElectricityGeneration,5)="","",INDEX(I.Gas.P1ElectricityGeneration,5))</f>
        <v/>
      </c>
      <c r="G519" s="59"/>
      <c r="H519" s="26" t="str">
        <f>IF(I.Developer.P1=FALSE,"Complete",IF(I.Product.P1GasToPower="No","Complete",IF(AND(I.Gas.P1Count&gt;=5,F519=""),"Incomplete","Complete")))</f>
        <v>Complete</v>
      </c>
      <c r="I519" s="39" t="s">
        <v>713</v>
      </c>
    </row>
    <row r="520" spans="2:9" ht="15" customHeight="1" x14ac:dyDescent="0.25">
      <c r="B520" s="37" t="s">
        <v>708</v>
      </c>
      <c r="C520" s="26">
        <v>6</v>
      </c>
      <c r="D520" s="38" t="s">
        <v>2680</v>
      </c>
      <c r="E520" s="59"/>
      <c r="F520" s="59" t="str">
        <f>IF(INDEX(I.Gas.P1ElectricityGeneration,6)="","",INDEX(I.Gas.P1ElectricityGeneration,6))</f>
        <v/>
      </c>
      <c r="G520" s="59"/>
      <c r="H520" s="26" t="str">
        <f>IF(I.Developer.P1=FALSE,"Complete",IF(I.Product.P1GasToPower="No","Complete",IF(AND(I.Gas.P1Count&gt;=6,F520=""),"Incomplete","Complete")))</f>
        <v>Complete</v>
      </c>
      <c r="I520" s="39" t="s">
        <v>714</v>
      </c>
    </row>
    <row r="521" spans="2:9" ht="15" customHeight="1" x14ac:dyDescent="0.25">
      <c r="B521" s="37" t="s">
        <v>708</v>
      </c>
      <c r="C521" s="26">
        <v>7</v>
      </c>
      <c r="D521" s="38" t="s">
        <v>2680</v>
      </c>
      <c r="E521" s="59"/>
      <c r="F521" s="59" t="str">
        <f>IF(INDEX(I.Gas.P1ElectricityGeneration,7)="","",INDEX(I.Gas.P1ElectricityGeneration,7))</f>
        <v/>
      </c>
      <c r="G521" s="59"/>
      <c r="H521" s="26" t="str">
        <f>IF(I.Developer.P1=FALSE,"Complete",IF(I.Product.P1GasToPower="No","Complete",IF(AND(I.Gas.P1Count&gt;=7,F521=""),"Incomplete","Complete")))</f>
        <v>Complete</v>
      </c>
      <c r="I521" s="39" t="s">
        <v>715</v>
      </c>
    </row>
    <row r="522" spans="2:9" ht="15" customHeight="1" x14ac:dyDescent="0.25">
      <c r="B522" s="37" t="s">
        <v>708</v>
      </c>
      <c r="C522" s="26">
        <v>8</v>
      </c>
      <c r="D522" s="38" t="s">
        <v>2680</v>
      </c>
      <c r="E522" s="59"/>
      <c r="F522" s="59" t="str">
        <f>IF(INDEX(I.Gas.P1ElectricityGeneration,8)="","",INDEX(I.Gas.P1ElectricityGeneration,8))</f>
        <v/>
      </c>
      <c r="G522" s="59"/>
      <c r="H522" s="26" t="str">
        <f>IF(I.Developer.P1=FALSE,"Complete",IF(I.Product.P1GasToPower="No","Complete",IF(AND(I.Gas.P1Count&gt;=8,F522=""),"Incomplete","Complete")))</f>
        <v>Complete</v>
      </c>
      <c r="I522" s="39" t="s">
        <v>716</v>
      </c>
    </row>
    <row r="523" spans="2:9" ht="15" customHeight="1" x14ac:dyDescent="0.25">
      <c r="B523" s="37" t="s">
        <v>708</v>
      </c>
      <c r="C523" s="26">
        <v>9</v>
      </c>
      <c r="D523" s="38" t="s">
        <v>2680</v>
      </c>
      <c r="E523" s="59"/>
      <c r="F523" s="59" t="str">
        <f>IF(INDEX(I.Gas.P1ElectricityGeneration,9)="","",INDEX(I.Gas.P1ElectricityGeneration,9))</f>
        <v/>
      </c>
      <c r="G523" s="59"/>
      <c r="H523" s="26" t="str">
        <f>IF(I.Developer.P1=FALSE,"Complete",IF(I.Product.P1GasToPower="No","Complete",IF(AND(I.Gas.P1Count&gt;=9,F523=""),"Incomplete","Complete")))</f>
        <v>Complete</v>
      </c>
      <c r="I523" s="39" t="s">
        <v>717</v>
      </c>
    </row>
    <row r="524" spans="2:9" ht="15" customHeight="1" x14ac:dyDescent="0.25">
      <c r="B524" s="37" t="s">
        <v>708</v>
      </c>
      <c r="C524" s="26">
        <v>10</v>
      </c>
      <c r="D524" s="38" t="s">
        <v>2680</v>
      </c>
      <c r="E524" s="59"/>
      <c r="F524" s="59" t="str">
        <f>IF(INDEX(I.Gas.P1ElectricityGeneration,10)="","",INDEX(I.Gas.P1ElectricityGeneration,10))</f>
        <v/>
      </c>
      <c r="G524" s="59"/>
      <c r="H524" s="26" t="str">
        <f>IF(I.Developer.P1=FALSE,"Complete",IF(I.Product.P1GasToPower="No","Complete",IF(AND(I.Gas.P1Count&gt;=10,F524=""),"Incomplete","Complete")))</f>
        <v>Complete</v>
      </c>
      <c r="I524" s="39" t="s">
        <v>718</v>
      </c>
    </row>
    <row r="525" spans="2:9" ht="15" customHeight="1" x14ac:dyDescent="0.25">
      <c r="B525" s="37" t="s">
        <v>708</v>
      </c>
      <c r="C525" s="26">
        <v>11</v>
      </c>
      <c r="D525" s="38" t="s">
        <v>2680</v>
      </c>
      <c r="E525" s="59"/>
      <c r="F525" s="59" t="str">
        <f>IF(INDEX(I.Gas.P1ElectricityGeneration,11)="","",INDEX(I.Gas.P1ElectricityGeneration,11))</f>
        <v/>
      </c>
      <c r="G525" s="59"/>
      <c r="H525" s="26" t="str">
        <f>IF(I.Developer.P1=FALSE,"Complete",IF(I.Product.P1GasToPower="No","Complete",IF(AND(I.Gas.P1Count&gt;=11,F525=""),"Incomplete","Complete")))</f>
        <v>Complete</v>
      </c>
      <c r="I525" s="39" t="s">
        <v>719</v>
      </c>
    </row>
    <row r="526" spans="2:9" ht="15" customHeight="1" x14ac:dyDescent="0.25">
      <c r="B526" s="37" t="s">
        <v>708</v>
      </c>
      <c r="C526" s="26">
        <v>12</v>
      </c>
      <c r="D526" s="38" t="s">
        <v>2680</v>
      </c>
      <c r="E526" s="59"/>
      <c r="F526" s="59" t="str">
        <f>IF(INDEX(I.Gas.P1ElectricityGeneration,12)="","",INDEX(I.Gas.P1ElectricityGeneration,12))</f>
        <v/>
      </c>
      <c r="G526" s="59"/>
      <c r="H526" s="26" t="str">
        <f>IF(I.Developer.P1=FALSE,"Complete",IF(I.Product.P1GasToPower="No","Complete",IF(AND(I.Gas.P1Count&gt;=12,F526=""),"Incomplete","Complete")))</f>
        <v>Complete</v>
      </c>
      <c r="I526" s="39" t="s">
        <v>720</v>
      </c>
    </row>
    <row r="527" spans="2:9" ht="15" customHeight="1" x14ac:dyDescent="0.25">
      <c r="B527" s="37" t="s">
        <v>708</v>
      </c>
      <c r="C527" s="26">
        <v>13</v>
      </c>
      <c r="D527" s="38" t="s">
        <v>2680</v>
      </c>
      <c r="E527" s="59"/>
      <c r="F527" s="59" t="str">
        <f>IF(INDEX(I.Gas.P1ElectricityGeneration,13)="","",INDEX(I.Gas.P1ElectricityGeneration,13))</f>
        <v/>
      </c>
      <c r="G527" s="59"/>
      <c r="H527" s="26" t="str">
        <f>IF(I.Developer.P1=FALSE,"Complete",IF(I.Product.P1GasToPower="No","Complete",IF(AND(I.Gas.P1Count&gt;=13,F527=""),"Incomplete","Complete")))</f>
        <v>Complete</v>
      </c>
      <c r="I527" s="39" t="s">
        <v>721</v>
      </c>
    </row>
    <row r="528" spans="2:9" ht="15" customHeight="1" x14ac:dyDescent="0.25">
      <c r="B528" s="37" t="s">
        <v>708</v>
      </c>
      <c r="C528" s="26">
        <v>14</v>
      </c>
      <c r="D528" s="38" t="s">
        <v>2680</v>
      </c>
      <c r="E528" s="59"/>
      <c r="F528" s="59" t="str">
        <f>IF(INDEX(I.Gas.P1ElectricityGeneration,14)="","",INDEX(I.Gas.P1ElectricityGeneration,14))</f>
        <v/>
      </c>
      <c r="G528" s="59"/>
      <c r="H528" s="26" t="str">
        <f>IF(I.Developer.P1=FALSE,"Complete",IF(I.Product.P1GasToPower="No","Complete",IF(AND(I.Gas.P1Count&gt;=14,F528=""),"Incomplete","Complete")))</f>
        <v>Complete</v>
      </c>
      <c r="I528" s="39" t="s">
        <v>722</v>
      </c>
    </row>
    <row r="529" spans="2:9" ht="15" customHeight="1" x14ac:dyDescent="0.25">
      <c r="B529" s="37" t="s">
        <v>708</v>
      </c>
      <c r="C529" s="26">
        <v>15</v>
      </c>
      <c r="D529" s="38" t="s">
        <v>2680</v>
      </c>
      <c r="E529" s="59"/>
      <c r="F529" s="59" t="str">
        <f>IF(INDEX(I.Gas.P1ElectricityGeneration,15)="","",INDEX(I.Gas.P1ElectricityGeneration,15))</f>
        <v/>
      </c>
      <c r="G529" s="59"/>
      <c r="H529" s="26" t="str">
        <f>IF(I.Developer.P1=FALSE,"Complete",IF(I.Product.P1GasToPower="No","Complete",IF(AND(I.Gas.P1Count&gt;=15,F529=""),"Incomplete","Complete")))</f>
        <v>Complete</v>
      </c>
      <c r="I529" s="39" t="s">
        <v>723</v>
      </c>
    </row>
    <row r="530" spans="2:9" ht="15" customHeight="1" x14ac:dyDescent="0.25">
      <c r="B530" s="37" t="s">
        <v>708</v>
      </c>
      <c r="C530" s="26">
        <v>16</v>
      </c>
      <c r="D530" s="38" t="s">
        <v>2680</v>
      </c>
      <c r="E530" s="59"/>
      <c r="F530" s="59" t="str">
        <f>IF(INDEX(I.Gas.P1ElectricityGeneration,16)="","",INDEX(I.Gas.P1ElectricityGeneration,16))</f>
        <v/>
      </c>
      <c r="G530" s="59"/>
      <c r="H530" s="26" t="str">
        <f>IF(I.Developer.P1=FALSE,"Complete",IF(I.Product.P1GasToPower="No","Complete",IF(AND(I.Gas.P1Count&gt;=16,F530=""),"Incomplete","Complete")))</f>
        <v>Complete</v>
      </c>
      <c r="I530" s="39" t="s">
        <v>724</v>
      </c>
    </row>
    <row r="531" spans="2:9" ht="15" customHeight="1" x14ac:dyDescent="0.25">
      <c r="B531" s="37" t="s">
        <v>708</v>
      </c>
      <c r="C531" s="26">
        <v>17</v>
      </c>
      <c r="D531" s="38" t="s">
        <v>2680</v>
      </c>
      <c r="E531" s="59"/>
      <c r="F531" s="59" t="str">
        <f>IF(INDEX(I.Gas.P1ElectricityGeneration,17)="","",INDEX(I.Gas.P1ElectricityGeneration,17))</f>
        <v/>
      </c>
      <c r="G531" s="59"/>
      <c r="H531" s="26" t="str">
        <f>IF(I.Developer.P1=FALSE,"Complete",IF(I.Product.P1GasToPower="No","Complete",IF(AND(I.Gas.P1Count&gt;=17,F531=""),"Incomplete","Complete")))</f>
        <v>Complete</v>
      </c>
      <c r="I531" s="39" t="s">
        <v>725</v>
      </c>
    </row>
    <row r="532" spans="2:9" ht="15" customHeight="1" x14ac:dyDescent="0.25">
      <c r="B532" s="37" t="s">
        <v>708</v>
      </c>
      <c r="C532" s="26">
        <v>18</v>
      </c>
      <c r="D532" s="38" t="s">
        <v>2680</v>
      </c>
      <c r="E532" s="59"/>
      <c r="F532" s="59" t="str">
        <f>IF(INDEX(I.Gas.P1ElectricityGeneration,18)="","",INDEX(I.Gas.P1ElectricityGeneration,18))</f>
        <v/>
      </c>
      <c r="G532" s="59"/>
      <c r="H532" s="26" t="str">
        <f>IF(I.Developer.P1=FALSE,"Complete",IF(I.Product.P1GasToPower="No","Complete",IF(AND(I.Gas.P1Count&gt;=18,F532=""),"Incomplete","Complete")))</f>
        <v>Complete</v>
      </c>
      <c r="I532" s="39" t="s">
        <v>726</v>
      </c>
    </row>
    <row r="533" spans="2:9" ht="15" customHeight="1" x14ac:dyDescent="0.25">
      <c r="B533" s="37" t="s">
        <v>708</v>
      </c>
      <c r="C533" s="26">
        <v>19</v>
      </c>
      <c r="D533" s="38" t="s">
        <v>2680</v>
      </c>
      <c r="E533" s="59"/>
      <c r="F533" s="59" t="str">
        <f>IF(INDEX(I.Gas.P1ElectricityGeneration,19)="","",INDEX(I.Gas.P1ElectricityGeneration,19))</f>
        <v/>
      </c>
      <c r="G533" s="59"/>
      <c r="H533" s="26" t="str">
        <f>IF(I.Developer.P1=FALSE,"Complete",IF(I.Product.P1GasToPower="No","Complete",IF(AND(I.Gas.P1Count&gt;=19,F533=""),"Incomplete","Complete")))</f>
        <v>Complete</v>
      </c>
      <c r="I533" s="39" t="s">
        <v>727</v>
      </c>
    </row>
    <row r="534" spans="2:9" ht="15" customHeight="1" x14ac:dyDescent="0.25">
      <c r="B534" s="37" t="s">
        <v>708</v>
      </c>
      <c r="C534" s="26">
        <v>20</v>
      </c>
      <c r="D534" s="38" t="s">
        <v>2680</v>
      </c>
      <c r="E534" s="59"/>
      <c r="F534" s="59" t="str">
        <f>IF(INDEX(I.Gas.P1ElectricityGeneration,20)="","",INDEX(I.Gas.P1ElectricityGeneration,20))</f>
        <v/>
      </c>
      <c r="G534" s="59"/>
      <c r="H534" s="26" t="str">
        <f>IF(I.Developer.P1=FALSE,"Complete",IF(I.Product.P1GasToPower="No","Complete",IF(AND(I.Gas.P1Count&gt;=20,F534=""),"Incomplete","Complete")))</f>
        <v>Complete</v>
      </c>
      <c r="I534" s="39" t="s">
        <v>728</v>
      </c>
    </row>
    <row r="535" spans="2:9" ht="15" customHeight="1" x14ac:dyDescent="0.25">
      <c r="B535" s="37" t="s">
        <v>708</v>
      </c>
      <c r="C535" s="26">
        <v>21</v>
      </c>
      <c r="D535" s="38" t="s">
        <v>2680</v>
      </c>
      <c r="E535" s="59"/>
      <c r="F535" s="59" t="str">
        <f>IF(INDEX(I.Gas.P1ElectricityGeneration,21)="","",INDEX(I.Gas.P1ElectricityGeneration,21))</f>
        <v/>
      </c>
      <c r="G535" s="59"/>
      <c r="H535" s="26" t="str">
        <f>IF(I.Developer.P1=FALSE,"Complete",IF(I.Product.P1GasToPower="No","Complete",IF(AND(I.Gas.P1Count&gt;=21,F535=""),"Incomplete","Complete")))</f>
        <v>Complete</v>
      </c>
      <c r="I535" s="39" t="s">
        <v>729</v>
      </c>
    </row>
    <row r="536" spans="2:9" ht="15" customHeight="1" x14ac:dyDescent="0.25">
      <c r="B536" s="37" t="s">
        <v>708</v>
      </c>
      <c r="C536" s="26">
        <v>22</v>
      </c>
      <c r="D536" s="38" t="s">
        <v>2680</v>
      </c>
      <c r="E536" s="59"/>
      <c r="F536" s="59" t="str">
        <f>IF(INDEX(I.Gas.P1ElectricityGeneration,22)="","",INDEX(I.Gas.P1ElectricityGeneration,22))</f>
        <v/>
      </c>
      <c r="G536" s="59"/>
      <c r="H536" s="26" t="str">
        <f>IF(I.Developer.P1=FALSE,"Complete",IF(I.Product.P1GasToPower="No","Complete",IF(AND(I.Gas.P1Count&gt;=22,F536=""),"Incomplete","Complete")))</f>
        <v>Complete</v>
      </c>
      <c r="I536" s="39" t="s">
        <v>730</v>
      </c>
    </row>
    <row r="537" spans="2:9" ht="15" customHeight="1" x14ac:dyDescent="0.25">
      <c r="B537" s="37" t="s">
        <v>708</v>
      </c>
      <c r="C537" s="26">
        <v>23</v>
      </c>
      <c r="D537" s="38" t="s">
        <v>2680</v>
      </c>
      <c r="E537" s="59"/>
      <c r="F537" s="59" t="str">
        <f>IF(INDEX(I.Gas.P1ElectricityGeneration,23)="","",INDEX(I.Gas.P1ElectricityGeneration,23))</f>
        <v/>
      </c>
      <c r="G537" s="59"/>
      <c r="H537" s="26" t="str">
        <f>IF(I.Developer.P1=FALSE,"Complete",IF(I.Product.P1GasToPower="No","Complete",IF(AND(I.Gas.P1Count&gt;=23,F537=""),"Incomplete","Complete")))</f>
        <v>Complete</v>
      </c>
      <c r="I537" s="39" t="s">
        <v>731</v>
      </c>
    </row>
    <row r="538" spans="2:9" ht="15" customHeight="1" x14ac:dyDescent="0.25">
      <c r="B538" s="37" t="s">
        <v>708</v>
      </c>
      <c r="C538" s="26">
        <v>24</v>
      </c>
      <c r="D538" s="38" t="s">
        <v>2680</v>
      </c>
      <c r="E538" s="59"/>
      <c r="F538" s="59" t="str">
        <f>IF(INDEX(I.Gas.P1ElectricityGeneration,24)="","",INDEX(I.Gas.P1ElectricityGeneration,24))</f>
        <v/>
      </c>
      <c r="G538" s="59"/>
      <c r="H538" s="26" t="str">
        <f>IF(I.Developer.P1=FALSE,"Complete",IF(I.Product.P1GasToPower="No","Complete",IF(AND(I.Gas.P1Count&gt;=24,F538=""),"Incomplete","Complete")))</f>
        <v>Complete</v>
      </c>
      <c r="I538" s="39" t="s">
        <v>732</v>
      </c>
    </row>
    <row r="539" spans="2:9" ht="15" customHeight="1" x14ac:dyDescent="0.25">
      <c r="B539" s="37" t="s">
        <v>708</v>
      </c>
      <c r="C539" s="26">
        <v>25</v>
      </c>
      <c r="D539" s="38" t="s">
        <v>2680</v>
      </c>
      <c r="E539" s="59"/>
      <c r="F539" s="59" t="str">
        <f>IF(INDEX(I.Gas.P1ElectricityGeneration,25)="","",INDEX(I.Gas.P1ElectricityGeneration,25))</f>
        <v/>
      </c>
      <c r="G539" s="59"/>
      <c r="H539" s="26" t="str">
        <f>IF(I.Developer.P1=FALSE,"Complete",IF(I.Product.P1GasToPower="No","Complete",IF(AND(I.Gas.P1Count&gt;=25,F539=""),"Incomplete","Complete")))</f>
        <v>Complete</v>
      </c>
      <c r="I539" s="39" t="s">
        <v>733</v>
      </c>
    </row>
    <row r="540" spans="2:9" ht="15" customHeight="1" x14ac:dyDescent="0.25">
      <c r="B540" s="37" t="s">
        <v>708</v>
      </c>
      <c r="C540" s="26">
        <v>26</v>
      </c>
      <c r="D540" s="38" t="s">
        <v>2680</v>
      </c>
      <c r="E540" s="59"/>
      <c r="F540" s="59" t="str">
        <f>IF(INDEX(I.Gas.P1ElectricityGeneration,26)="","",INDEX(I.Gas.P1ElectricityGeneration,26))</f>
        <v/>
      </c>
      <c r="G540" s="59"/>
      <c r="H540" s="26" t="str">
        <f>IF(I.Developer.P1=FALSE,"Complete",IF(I.Product.P1GasToPower="No","Complete",IF(AND(I.Gas.P1Count&gt;=26,F540=""),"Incomplete","Complete")))</f>
        <v>Complete</v>
      </c>
      <c r="I540" s="39" t="s">
        <v>734</v>
      </c>
    </row>
    <row r="541" spans="2:9" ht="15" customHeight="1" x14ac:dyDescent="0.25">
      <c r="B541" s="37" t="s">
        <v>708</v>
      </c>
      <c r="C541" s="26">
        <v>27</v>
      </c>
      <c r="D541" s="38" t="s">
        <v>2680</v>
      </c>
      <c r="E541" s="59"/>
      <c r="F541" s="59" t="str">
        <f>IF(INDEX(I.Gas.P1ElectricityGeneration,27)="","",INDEX(I.Gas.P1ElectricityGeneration,27))</f>
        <v/>
      </c>
      <c r="G541" s="59"/>
      <c r="H541" s="26" t="str">
        <f>IF(I.Developer.P1=FALSE,"Complete",IF(I.Product.P1GasToPower="No","Complete",IF(AND(I.Gas.P1Count&gt;=27,F541=""),"Incomplete","Complete")))</f>
        <v>Complete</v>
      </c>
      <c r="I541" s="39" t="s">
        <v>735</v>
      </c>
    </row>
    <row r="542" spans="2:9" ht="15" customHeight="1" x14ac:dyDescent="0.25">
      <c r="B542" s="37" t="s">
        <v>708</v>
      </c>
      <c r="C542" s="26">
        <v>28</v>
      </c>
      <c r="D542" s="38" t="s">
        <v>2680</v>
      </c>
      <c r="E542" s="59"/>
      <c r="F542" s="59" t="str">
        <f>IF(INDEX(I.Gas.P1ElectricityGeneration,28)="","",INDEX(I.Gas.P1ElectricityGeneration,28))</f>
        <v/>
      </c>
      <c r="G542" s="59"/>
      <c r="H542" s="26" t="str">
        <f>IF(I.Developer.P1=FALSE,"Complete",IF(I.Product.P1GasToPower="No","Complete",IF(AND(I.Gas.P1Count&gt;=28,F542=""),"Incomplete","Complete")))</f>
        <v>Complete</v>
      </c>
      <c r="I542" s="39" t="s">
        <v>736</v>
      </c>
    </row>
    <row r="543" spans="2:9" ht="15" customHeight="1" x14ac:dyDescent="0.25">
      <c r="B543" s="37" t="s">
        <v>708</v>
      </c>
      <c r="C543" s="26">
        <v>29</v>
      </c>
      <c r="D543" s="38" t="s">
        <v>2680</v>
      </c>
      <c r="E543" s="59"/>
      <c r="F543" s="59" t="str">
        <f>IF(INDEX(I.Gas.P1ElectricityGeneration,29)="","",INDEX(I.Gas.P1ElectricityGeneration,29))</f>
        <v/>
      </c>
      <c r="G543" s="59"/>
      <c r="H543" s="26" t="str">
        <f>IF(I.Developer.P1=FALSE,"Complete",IF(I.Product.P1GasToPower="No","Complete",IF(AND(I.Gas.P1Count&gt;=29,F543=""),"Incomplete","Complete")))</f>
        <v>Complete</v>
      </c>
      <c r="I543" s="39" t="s">
        <v>737</v>
      </c>
    </row>
    <row r="544" spans="2:9" ht="15" customHeight="1" x14ac:dyDescent="0.25">
      <c r="B544" s="37" t="s">
        <v>708</v>
      </c>
      <c r="C544" s="26">
        <v>30</v>
      </c>
      <c r="D544" s="38" t="s">
        <v>2680</v>
      </c>
      <c r="E544" s="59"/>
      <c r="F544" s="59" t="str">
        <f>IF(INDEX(I.Gas.P1ElectricityGeneration,30)="","",INDEX(I.Gas.P1ElectricityGeneration,30))</f>
        <v/>
      </c>
      <c r="G544" s="59"/>
      <c r="H544" s="26" t="str">
        <f>IF(I.Developer.P1=FALSE,"Complete",IF(I.Product.P1GasToPower="No","Complete",IF(AND(I.Gas.P1Count&gt;=30,F544=""),"Incomplete","Complete")))</f>
        <v>Complete</v>
      </c>
      <c r="I544" s="39" t="s">
        <v>738</v>
      </c>
    </row>
    <row r="545" spans="2:9" ht="15" customHeight="1" x14ac:dyDescent="0.25">
      <c r="B545" s="37" t="s">
        <v>708</v>
      </c>
      <c r="C545" s="26">
        <v>31</v>
      </c>
      <c r="D545" s="38" t="s">
        <v>2680</v>
      </c>
      <c r="E545" s="59"/>
      <c r="F545" s="59" t="str">
        <f>IF(INDEX(I.Gas.P1ElectricityGeneration,31)="","",INDEX(I.Gas.P1ElectricityGeneration,31))</f>
        <v/>
      </c>
      <c r="G545" s="59"/>
      <c r="H545" s="26" t="str">
        <f>IF(I.Developer.P1=FALSE,"Complete",IF(I.Product.P1GasToPower="No","Complete",IF(AND(I.Gas.P1Count&gt;=31,F545=""),"Incomplete","Complete")))</f>
        <v>Complete</v>
      </c>
      <c r="I545" s="39" t="s">
        <v>739</v>
      </c>
    </row>
    <row r="546" spans="2:9" ht="15" customHeight="1" x14ac:dyDescent="0.25">
      <c r="B546" s="37" t="s">
        <v>708</v>
      </c>
      <c r="C546" s="26">
        <v>32</v>
      </c>
      <c r="D546" s="38" t="s">
        <v>2680</v>
      </c>
      <c r="E546" s="59"/>
      <c r="F546" s="59" t="str">
        <f>IF(INDEX(I.Gas.P1ElectricityGeneration,32)="","",INDEX(I.Gas.P1ElectricityGeneration,32))</f>
        <v/>
      </c>
      <c r="G546" s="59"/>
      <c r="H546" s="26" t="str">
        <f>IF(I.Developer.P1=FALSE,"Complete",IF(I.Product.P1GasToPower="No","Complete",IF(AND(I.Gas.P1Count&gt;=32,F546=""),"Incomplete","Complete")))</f>
        <v>Complete</v>
      </c>
      <c r="I546" s="39" t="s">
        <v>740</v>
      </c>
    </row>
    <row r="547" spans="2:9" ht="15" customHeight="1" x14ac:dyDescent="0.25">
      <c r="B547" s="37" t="s">
        <v>708</v>
      </c>
      <c r="C547" s="26">
        <v>33</v>
      </c>
      <c r="D547" s="38" t="s">
        <v>2680</v>
      </c>
      <c r="E547" s="59"/>
      <c r="F547" s="59" t="str">
        <f>IF(INDEX(I.Gas.P1ElectricityGeneration,33)="","",INDEX(I.Gas.P1ElectricityGeneration,33))</f>
        <v/>
      </c>
      <c r="G547" s="59"/>
      <c r="H547" s="26" t="str">
        <f>IF(I.Developer.P1=FALSE,"Complete",IF(I.Product.P1GasToPower="No","Complete",IF(AND(I.Gas.P1Count&gt;=33,F547=""),"Incomplete","Complete")))</f>
        <v>Complete</v>
      </c>
      <c r="I547" s="39" t="s">
        <v>741</v>
      </c>
    </row>
    <row r="548" spans="2:9" ht="15" customHeight="1" x14ac:dyDescent="0.25">
      <c r="B548" s="37" t="s">
        <v>708</v>
      </c>
      <c r="C548" s="26">
        <v>34</v>
      </c>
      <c r="D548" s="38" t="s">
        <v>2680</v>
      </c>
      <c r="E548" s="59"/>
      <c r="F548" s="59" t="str">
        <f>IF(INDEX(I.Gas.P1ElectricityGeneration,34)="","",INDEX(I.Gas.P1ElectricityGeneration,34))</f>
        <v/>
      </c>
      <c r="G548" s="59"/>
      <c r="H548" s="26" t="str">
        <f>IF(I.Developer.P1=FALSE,"Complete",IF(I.Product.P1GasToPower="No","Complete",IF(AND(I.Gas.P1Count&gt;=34,F548=""),"Incomplete","Complete")))</f>
        <v>Complete</v>
      </c>
      <c r="I548" s="39" t="s">
        <v>742</v>
      </c>
    </row>
    <row r="549" spans="2:9" ht="15" customHeight="1" x14ac:dyDescent="0.25">
      <c r="B549" s="37" t="s">
        <v>708</v>
      </c>
      <c r="C549" s="26">
        <v>35</v>
      </c>
      <c r="D549" s="38" t="s">
        <v>2680</v>
      </c>
      <c r="E549" s="59"/>
      <c r="F549" s="59" t="str">
        <f>IF(INDEX(I.Gas.P1ElectricityGeneration,35)="","",INDEX(I.Gas.P1ElectricityGeneration,35))</f>
        <v/>
      </c>
      <c r="G549" s="59"/>
      <c r="H549" s="26" t="str">
        <f>IF(I.Developer.P1=FALSE,"Complete",IF(I.Product.P1GasToPower="No","Complete",IF(AND(I.Gas.P1Count&gt;=35,F549=""),"Incomplete","Complete")))</f>
        <v>Complete</v>
      </c>
      <c r="I549" s="39" t="s">
        <v>743</v>
      </c>
    </row>
    <row r="550" spans="2:9" ht="15" customHeight="1" x14ac:dyDescent="0.25">
      <c r="B550" s="37" t="s">
        <v>708</v>
      </c>
      <c r="C550" s="26">
        <v>36</v>
      </c>
      <c r="D550" s="38" t="s">
        <v>2680</v>
      </c>
      <c r="E550" s="59"/>
      <c r="F550" s="59" t="str">
        <f>IF(INDEX(I.Gas.P1ElectricityGeneration,36)="","",INDEX(I.Gas.P1ElectricityGeneration,36))</f>
        <v/>
      </c>
      <c r="G550" s="59"/>
      <c r="H550" s="26" t="str">
        <f>IF(I.Developer.P1=FALSE,"Complete",IF(I.Product.P1GasToPower="No","Complete",IF(AND(I.Gas.P1Count&gt;=36,F550=""),"Incomplete","Complete")))</f>
        <v>Complete</v>
      </c>
      <c r="I550" s="39" t="s">
        <v>744</v>
      </c>
    </row>
    <row r="551" spans="2:9" ht="15" customHeight="1" x14ac:dyDescent="0.25">
      <c r="B551" s="37" t="s">
        <v>708</v>
      </c>
      <c r="C551" s="26">
        <v>37</v>
      </c>
      <c r="D551" s="38" t="s">
        <v>2680</v>
      </c>
      <c r="E551" s="59"/>
      <c r="F551" s="59" t="str">
        <f>IF(INDEX(I.Gas.P1ElectricityGeneration,37)="","",INDEX(I.Gas.P1ElectricityGeneration,37))</f>
        <v/>
      </c>
      <c r="G551" s="59"/>
      <c r="H551" s="26" t="str">
        <f>IF(I.Developer.P1=FALSE,"Complete",IF(I.Product.P1GasToPower="No","Complete",IF(AND(I.Gas.P1Count&gt;=37,F551=""),"Incomplete","Complete")))</f>
        <v>Complete</v>
      </c>
      <c r="I551" s="39" t="s">
        <v>745</v>
      </c>
    </row>
    <row r="552" spans="2:9" ht="15" customHeight="1" x14ac:dyDescent="0.25">
      <c r="B552" s="37" t="s">
        <v>708</v>
      </c>
      <c r="C552" s="26">
        <v>38</v>
      </c>
      <c r="D552" s="38" t="s">
        <v>2680</v>
      </c>
      <c r="E552" s="59"/>
      <c r="F552" s="59" t="str">
        <f>IF(INDEX(I.Gas.P1ElectricityGeneration,38)="","",INDEX(I.Gas.P1ElectricityGeneration,38))</f>
        <v/>
      </c>
      <c r="G552" s="59"/>
      <c r="H552" s="26" t="str">
        <f>IF(I.Developer.P1=FALSE,"Complete",IF(I.Product.P1GasToPower="No","Complete",IF(AND(I.Gas.P1Count&gt;=38,F552=""),"Incomplete","Complete")))</f>
        <v>Complete</v>
      </c>
      <c r="I552" s="39" t="s">
        <v>746</v>
      </c>
    </row>
    <row r="553" spans="2:9" ht="15" customHeight="1" x14ac:dyDescent="0.25">
      <c r="B553" s="37" t="s">
        <v>708</v>
      </c>
      <c r="C553" s="26">
        <v>39</v>
      </c>
      <c r="D553" s="38" t="s">
        <v>2680</v>
      </c>
      <c r="E553" s="59"/>
      <c r="F553" s="59" t="str">
        <f>IF(INDEX(I.Gas.P1ElectricityGeneration,39)="","",INDEX(I.Gas.P1ElectricityGeneration,39))</f>
        <v/>
      </c>
      <c r="G553" s="59"/>
      <c r="H553" s="26" t="str">
        <f>IF(I.Developer.P1=FALSE,"Complete",IF(I.Product.P1GasToPower="No","Complete",IF(AND(I.Gas.P1Count&gt;=39,F553=""),"Incomplete","Complete")))</f>
        <v>Complete</v>
      </c>
      <c r="I553" s="39" t="s">
        <v>747</v>
      </c>
    </row>
    <row r="554" spans="2:9" ht="15" customHeight="1" x14ac:dyDescent="0.25">
      <c r="B554" s="37" t="s">
        <v>708</v>
      </c>
      <c r="C554" s="26">
        <v>40</v>
      </c>
      <c r="D554" s="38" t="s">
        <v>2680</v>
      </c>
      <c r="E554" s="59"/>
      <c r="F554" s="59" t="str">
        <f>IF(INDEX(I.Gas.P1ElectricityGeneration,40)="","",INDEX(I.Gas.P1ElectricityGeneration,40))</f>
        <v/>
      </c>
      <c r="G554" s="59"/>
      <c r="H554" s="26" t="str">
        <f>IF(I.Developer.P1=FALSE,"Complete",IF(I.Product.P1GasToPower="No","Complete",IF(AND(I.Gas.P1Count&gt;=40,F554=""),"Incomplete","Complete")))</f>
        <v>Complete</v>
      </c>
      <c r="I554" s="39" t="s">
        <v>748</v>
      </c>
    </row>
    <row r="555" spans="2:9" ht="15" customHeight="1" x14ac:dyDescent="0.25">
      <c r="B555" s="37" t="s">
        <v>708</v>
      </c>
      <c r="C555" s="26">
        <v>41</v>
      </c>
      <c r="D555" s="38" t="s">
        <v>2680</v>
      </c>
      <c r="E555" s="59"/>
      <c r="F555" s="59" t="str">
        <f>IF(INDEX(I.Gas.P1ElectricityGeneration,41)="","",INDEX(I.Gas.P1ElectricityGeneration,41))</f>
        <v/>
      </c>
      <c r="G555" s="59"/>
      <c r="H555" s="26" t="str">
        <f>IF(I.Developer.P1=FALSE,"Complete",IF(I.Product.P1GasToPower="No","Complete",IF(AND(I.Gas.P1Count&gt;=41,F555=""),"Incomplete","Complete")))</f>
        <v>Complete</v>
      </c>
      <c r="I555" s="39" t="s">
        <v>749</v>
      </c>
    </row>
    <row r="556" spans="2:9" ht="15" customHeight="1" x14ac:dyDescent="0.25">
      <c r="B556" s="37" t="s">
        <v>708</v>
      </c>
      <c r="C556" s="26">
        <v>42</v>
      </c>
      <c r="D556" s="38" t="s">
        <v>2680</v>
      </c>
      <c r="E556" s="59"/>
      <c r="F556" s="59" t="str">
        <f>IF(INDEX(I.Gas.P1ElectricityGeneration,42)="","",INDEX(I.Gas.P1ElectricityGeneration,42))</f>
        <v/>
      </c>
      <c r="G556" s="59"/>
      <c r="H556" s="26" t="str">
        <f>IF(I.Developer.P1=FALSE,"Complete",IF(I.Product.P1GasToPower="No","Complete",IF(AND(I.Gas.P1Count&gt;=42,F556=""),"Incomplete","Complete")))</f>
        <v>Complete</v>
      </c>
      <c r="I556" s="39" t="s">
        <v>750</v>
      </c>
    </row>
    <row r="557" spans="2:9" ht="15" customHeight="1" x14ac:dyDescent="0.25">
      <c r="B557" s="37" t="s">
        <v>708</v>
      </c>
      <c r="C557" s="26">
        <v>43</v>
      </c>
      <c r="D557" s="38" t="s">
        <v>2680</v>
      </c>
      <c r="E557" s="59"/>
      <c r="F557" s="59" t="str">
        <f>IF(INDEX(I.Gas.P1ElectricityGeneration,43)="","",INDEX(I.Gas.P1ElectricityGeneration,43))</f>
        <v/>
      </c>
      <c r="G557" s="59"/>
      <c r="H557" s="26" t="str">
        <f>IF(I.Developer.P1=FALSE,"Complete",IF(I.Product.P1GasToPower="No","Complete",IF(AND(I.Gas.P1Count&gt;=43,F557=""),"Incomplete","Complete")))</f>
        <v>Complete</v>
      </c>
      <c r="I557" s="39" t="s">
        <v>751</v>
      </c>
    </row>
    <row r="558" spans="2:9" ht="15" customHeight="1" x14ac:dyDescent="0.25">
      <c r="B558" s="37" t="s">
        <v>708</v>
      </c>
      <c r="C558" s="26">
        <v>44</v>
      </c>
      <c r="D558" s="38" t="s">
        <v>2680</v>
      </c>
      <c r="E558" s="59"/>
      <c r="F558" s="59" t="str">
        <f>IF(INDEX(I.Gas.P1ElectricityGeneration,44)="","",INDEX(I.Gas.P1ElectricityGeneration,44))</f>
        <v/>
      </c>
      <c r="G558" s="59"/>
      <c r="H558" s="26" t="str">
        <f>IF(I.Developer.P1=FALSE,"Complete",IF(I.Product.P1GasToPower="No","Complete",IF(AND(I.Gas.P1Count&gt;=44,F558=""),"Incomplete","Complete")))</f>
        <v>Complete</v>
      </c>
      <c r="I558" s="39" t="s">
        <v>752</v>
      </c>
    </row>
    <row r="559" spans="2:9" ht="15" customHeight="1" x14ac:dyDescent="0.25">
      <c r="B559" s="37" t="s">
        <v>708</v>
      </c>
      <c r="C559" s="26">
        <v>45</v>
      </c>
      <c r="D559" s="38" t="s">
        <v>2680</v>
      </c>
      <c r="E559" s="59"/>
      <c r="F559" s="59" t="str">
        <f>IF(INDEX(I.Gas.P1ElectricityGeneration,45)="","",INDEX(I.Gas.P1ElectricityGeneration,45))</f>
        <v/>
      </c>
      <c r="G559" s="59"/>
      <c r="H559" s="26" t="str">
        <f>IF(I.Developer.P1=FALSE,"Complete",IF(I.Product.P1GasToPower="No","Complete",IF(AND(I.Gas.P1Count&gt;=45,F559=""),"Incomplete","Complete")))</f>
        <v>Complete</v>
      </c>
      <c r="I559" s="39" t="s">
        <v>753</v>
      </c>
    </row>
    <row r="560" spans="2:9" ht="15" customHeight="1" x14ac:dyDescent="0.25">
      <c r="B560" s="37" t="s">
        <v>708</v>
      </c>
      <c r="C560" s="26">
        <v>46</v>
      </c>
      <c r="D560" s="38" t="s">
        <v>2680</v>
      </c>
      <c r="E560" s="59"/>
      <c r="F560" s="59" t="str">
        <f>IF(INDEX(I.Gas.P1ElectricityGeneration,46)="","",INDEX(I.Gas.P1ElectricityGeneration,46))</f>
        <v/>
      </c>
      <c r="G560" s="59"/>
      <c r="H560" s="26" t="str">
        <f>IF(I.Developer.P1=FALSE,"Complete",IF(I.Product.P1GasToPower="No","Complete",IF(AND(I.Gas.P1Count&gt;=46,F560=""),"Incomplete","Complete")))</f>
        <v>Complete</v>
      </c>
      <c r="I560" s="39" t="s">
        <v>754</v>
      </c>
    </row>
    <row r="561" spans="2:9" ht="15" customHeight="1" x14ac:dyDescent="0.25">
      <c r="B561" s="37" t="s">
        <v>708</v>
      </c>
      <c r="C561" s="26">
        <v>47</v>
      </c>
      <c r="D561" s="38" t="s">
        <v>2680</v>
      </c>
      <c r="E561" s="59"/>
      <c r="F561" s="59" t="str">
        <f>IF(INDEX(I.Gas.P1ElectricityGeneration,47)="","",INDEX(I.Gas.P1ElectricityGeneration,47))</f>
        <v/>
      </c>
      <c r="G561" s="59"/>
      <c r="H561" s="26" t="str">
        <f>IF(I.Developer.P1=FALSE,"Complete",IF(I.Product.P1GasToPower="No","Complete",IF(AND(I.Gas.P1Count&gt;=47,F561=""),"Incomplete","Complete")))</f>
        <v>Complete</v>
      </c>
      <c r="I561" s="39" t="s">
        <v>755</v>
      </c>
    </row>
    <row r="562" spans="2:9" ht="15" customHeight="1" x14ac:dyDescent="0.25">
      <c r="B562" s="37" t="s">
        <v>708</v>
      </c>
      <c r="C562" s="26">
        <v>48</v>
      </c>
      <c r="D562" s="38" t="s">
        <v>2680</v>
      </c>
      <c r="E562" s="59"/>
      <c r="F562" s="59" t="str">
        <f>IF(INDEX(I.Gas.P1ElectricityGeneration,48)="","",INDEX(I.Gas.P1ElectricityGeneration,48))</f>
        <v/>
      </c>
      <c r="G562" s="59"/>
      <c r="H562" s="26" t="str">
        <f>IF(I.Developer.P1=FALSE,"Complete",IF(I.Product.P1GasToPower="No","Complete",IF(AND(I.Gas.P1Count&gt;=48,F562=""),"Incomplete","Complete")))</f>
        <v>Complete</v>
      </c>
      <c r="I562" s="39" t="s">
        <v>756</v>
      </c>
    </row>
    <row r="563" spans="2:9" ht="15" customHeight="1" x14ac:dyDescent="0.25">
      <c r="B563" s="37" t="s">
        <v>708</v>
      </c>
      <c r="C563" s="26">
        <v>49</v>
      </c>
      <c r="D563" s="38" t="s">
        <v>2680</v>
      </c>
      <c r="E563" s="59"/>
      <c r="F563" s="59" t="str">
        <f>IF(INDEX(I.Gas.P1ElectricityGeneration,49)="","",INDEX(I.Gas.P1ElectricityGeneration,49))</f>
        <v/>
      </c>
      <c r="G563" s="59"/>
      <c r="H563" s="26" t="str">
        <f>IF(I.Developer.P1=FALSE,"Complete",IF(I.Product.P1GasToPower="No","Complete",IF(AND(I.Gas.P1Count&gt;=49,F563=""),"Incomplete","Complete")))</f>
        <v>Complete</v>
      </c>
      <c r="I563" s="39" t="s">
        <v>757</v>
      </c>
    </row>
    <row r="564" spans="2:9" ht="15" customHeight="1" x14ac:dyDescent="0.25">
      <c r="B564" s="40" t="s">
        <v>708</v>
      </c>
      <c r="C564" s="46">
        <v>50</v>
      </c>
      <c r="D564" s="44" t="s">
        <v>2680</v>
      </c>
      <c r="E564" s="63"/>
      <c r="F564" s="63" t="str">
        <f>IF(INDEX(I.Gas.P1ElectricityGeneration,50)="","",INDEX(I.Gas.P1ElectricityGeneration,50))</f>
        <v/>
      </c>
      <c r="G564" s="63"/>
      <c r="H564" s="46" t="str">
        <f>IF(I.Developer.P1=FALSE,"Complete",IF(I.Product.P1GasToPower="No","Complete",IF(AND(I.Gas.P1Count&gt;=50,F564=""),"Incomplete","Complete")))</f>
        <v>Complete</v>
      </c>
      <c r="I564" s="47" t="s">
        <v>758</v>
      </c>
    </row>
    <row r="565" spans="2:9" ht="15" customHeight="1" x14ac:dyDescent="0.25">
      <c r="B565" s="37" t="s">
        <v>759</v>
      </c>
      <c r="C565" s="26">
        <v>1</v>
      </c>
      <c r="D565" s="38" t="s">
        <v>2681</v>
      </c>
      <c r="E565" s="59"/>
      <c r="F565" s="59" t="str">
        <f>IF(INDEX(I.Gas.P1C1V1,1)="","",INDEX(I.Gas.P1C1V1,1))</f>
        <v/>
      </c>
      <c r="G565" s="59"/>
      <c r="H565" s="26" t="str">
        <f>IF(OR(I.Developer.P1=FALSE,I.Facility.StandardPart&lt;&gt;"Part 2"),"Complete",IF(I.Product.P1GasToPower="No","Complete",IF(AND(I.Gas.P1Count&gt;=1,F565=""),"Incomplete","Complete")))</f>
        <v>Complete</v>
      </c>
      <c r="I565" s="39" t="s">
        <v>760</v>
      </c>
    </row>
    <row r="566" spans="2:9" ht="15" customHeight="1" x14ac:dyDescent="0.25">
      <c r="B566" s="37" t="s">
        <v>759</v>
      </c>
      <c r="C566" s="26">
        <v>2</v>
      </c>
      <c r="D566" s="38" t="s">
        <v>2681</v>
      </c>
      <c r="E566" s="59"/>
      <c r="F566" s="59" t="str">
        <f>IF(INDEX(I.Gas.P1C1V1,2)="","",INDEX(I.Gas.P1C1V1,2))</f>
        <v/>
      </c>
      <c r="G566" s="59"/>
      <c r="H566" s="26" t="str">
        <f>IF(OR(I.Developer.P1=FALSE,I.Facility.StandardPart&lt;&gt;"Part 2"),"Complete",IF(I.Product.P1GasToPower="No","Complete",IF(AND(I.Gas.P1Count&gt;=2,F566=""),"Incomplete","Complete")))</f>
        <v>Complete</v>
      </c>
      <c r="I566" s="39" t="s">
        <v>761</v>
      </c>
    </row>
    <row r="567" spans="2:9" ht="15" customHeight="1" x14ac:dyDescent="0.25">
      <c r="B567" s="37" t="s">
        <v>759</v>
      </c>
      <c r="C567" s="26">
        <v>3</v>
      </c>
      <c r="D567" s="38" t="s">
        <v>2681</v>
      </c>
      <c r="E567" s="59"/>
      <c r="F567" s="59" t="str">
        <f>IF(INDEX(I.Gas.P1C1V1,3)="","",INDEX(I.Gas.P1C1V1,3))</f>
        <v/>
      </c>
      <c r="G567" s="59"/>
      <c r="H567" s="26" t="str">
        <f>IF(OR(I.Developer.P1=FALSE,I.Facility.StandardPart&lt;&gt;"Part 2"),"Complete",IF(I.Product.P1GasToPower="No","Complete",IF(AND(I.Gas.P1Count&gt;=3,F567=""),"Incomplete","Complete")))</f>
        <v>Complete</v>
      </c>
      <c r="I567" s="39" t="s">
        <v>762</v>
      </c>
    </row>
    <row r="568" spans="2:9" ht="15" customHeight="1" x14ac:dyDescent="0.25">
      <c r="B568" s="37" t="s">
        <v>759</v>
      </c>
      <c r="C568" s="26">
        <v>4</v>
      </c>
      <c r="D568" s="38" t="s">
        <v>2681</v>
      </c>
      <c r="E568" s="59"/>
      <c r="F568" s="59" t="str">
        <f>IF(INDEX(I.Gas.P1C1V1,4)="","",INDEX(I.Gas.P1C1V1,4))</f>
        <v/>
      </c>
      <c r="G568" s="59"/>
      <c r="H568" s="26" t="str">
        <f>IF(OR(I.Developer.P1=FALSE,I.Facility.StandardPart&lt;&gt;"Part 2"),"Complete",IF(I.Product.P1GasToPower="No","Complete",IF(AND(I.Gas.P1Count&gt;=4,F568=""),"Incomplete","Complete")))</f>
        <v>Complete</v>
      </c>
      <c r="I568" s="39" t="s">
        <v>763</v>
      </c>
    </row>
    <row r="569" spans="2:9" ht="15" customHeight="1" x14ac:dyDescent="0.25">
      <c r="B569" s="37" t="s">
        <v>759</v>
      </c>
      <c r="C569" s="26">
        <v>5</v>
      </c>
      <c r="D569" s="38" t="s">
        <v>2681</v>
      </c>
      <c r="E569" s="59"/>
      <c r="F569" s="59" t="str">
        <f>IF(INDEX(I.Gas.P1C1V1,5)="","",INDEX(I.Gas.P1C1V1,5))</f>
        <v/>
      </c>
      <c r="G569" s="59"/>
      <c r="H569" s="26" t="str">
        <f>IF(OR(I.Developer.P1=FALSE,I.Facility.StandardPart&lt;&gt;"Part 2"),"Complete",IF(I.Product.P1GasToPower="No","Complete",IF(AND(I.Gas.P1Count&gt;=5,F569=""),"Incomplete","Complete")))</f>
        <v>Complete</v>
      </c>
      <c r="I569" s="39" t="s">
        <v>764</v>
      </c>
    </row>
    <row r="570" spans="2:9" ht="15" customHeight="1" x14ac:dyDescent="0.25">
      <c r="B570" s="37" t="s">
        <v>759</v>
      </c>
      <c r="C570" s="26">
        <v>6</v>
      </c>
      <c r="D570" s="38" t="s">
        <v>2681</v>
      </c>
      <c r="E570" s="59"/>
      <c r="F570" s="59" t="str">
        <f>IF(INDEX(I.Gas.P1C1V1,6)="","",INDEX(I.Gas.P1C1V1,6))</f>
        <v/>
      </c>
      <c r="G570" s="59"/>
      <c r="H570" s="26" t="str">
        <f>IF(OR(I.Developer.P1=FALSE,I.Facility.StandardPart&lt;&gt;"Part 2"),"Complete",IF(I.Product.P1GasToPower="No","Complete",IF(AND(I.Gas.P1Count&gt;=6,F570=""),"Incomplete","Complete")))</f>
        <v>Complete</v>
      </c>
      <c r="I570" s="39" t="s">
        <v>765</v>
      </c>
    </row>
    <row r="571" spans="2:9" ht="15" customHeight="1" x14ac:dyDescent="0.25">
      <c r="B571" s="37" t="s">
        <v>759</v>
      </c>
      <c r="C571" s="26">
        <v>7</v>
      </c>
      <c r="D571" s="38" t="s">
        <v>2681</v>
      </c>
      <c r="E571" s="59"/>
      <c r="F571" s="59" t="str">
        <f>IF(INDEX(I.Gas.P1C1V1,7)="","",INDEX(I.Gas.P1C1V1,7))</f>
        <v/>
      </c>
      <c r="G571" s="59"/>
      <c r="H571" s="26" t="str">
        <f>IF(OR(I.Developer.P1=FALSE,I.Facility.StandardPart&lt;&gt;"Part 2"),"Complete",IF(I.Product.P1GasToPower="No","Complete",IF(AND(I.Gas.P1Count&gt;=7,F571=""),"Incomplete","Complete")))</f>
        <v>Complete</v>
      </c>
      <c r="I571" s="39" t="s">
        <v>766</v>
      </c>
    </row>
    <row r="572" spans="2:9" ht="15" customHeight="1" x14ac:dyDescent="0.25">
      <c r="B572" s="37" t="s">
        <v>759</v>
      </c>
      <c r="C572" s="26">
        <v>8</v>
      </c>
      <c r="D572" s="38" t="s">
        <v>2681</v>
      </c>
      <c r="E572" s="59"/>
      <c r="F572" s="59" t="str">
        <f>IF(INDEX(I.Gas.P1C1V1,8)="","",INDEX(I.Gas.P1C1V1,8))</f>
        <v/>
      </c>
      <c r="G572" s="59"/>
      <c r="H572" s="26" t="str">
        <f>IF(OR(I.Developer.P1=FALSE,I.Facility.StandardPart&lt;&gt;"Part 2"),"Complete",IF(I.Product.P1GasToPower="No","Complete",IF(AND(I.Gas.P1Count&gt;=8,F572=""),"Incomplete","Complete")))</f>
        <v>Complete</v>
      </c>
      <c r="I572" s="39" t="s">
        <v>767</v>
      </c>
    </row>
    <row r="573" spans="2:9" ht="15" customHeight="1" x14ac:dyDescent="0.25">
      <c r="B573" s="37" t="s">
        <v>759</v>
      </c>
      <c r="C573" s="26">
        <v>9</v>
      </c>
      <c r="D573" s="38" t="s">
        <v>2681</v>
      </c>
      <c r="E573" s="59"/>
      <c r="F573" s="59" t="str">
        <f>IF(INDEX(I.Gas.P1C1V1,9)="","",INDEX(I.Gas.P1C1V1,9))</f>
        <v/>
      </c>
      <c r="G573" s="59"/>
      <c r="H573" s="26" t="str">
        <f>IF(OR(I.Developer.P1=FALSE,I.Facility.StandardPart&lt;&gt;"Part 2"),"Complete",IF(I.Product.P1GasToPower="No","Complete",IF(AND(I.Gas.P1Count&gt;=9,F573=""),"Incomplete","Complete")))</f>
        <v>Complete</v>
      </c>
      <c r="I573" s="39" t="s">
        <v>768</v>
      </c>
    </row>
    <row r="574" spans="2:9" ht="15" customHeight="1" x14ac:dyDescent="0.25">
      <c r="B574" s="37" t="s">
        <v>759</v>
      </c>
      <c r="C574" s="26">
        <v>10</v>
      </c>
      <c r="D574" s="38" t="s">
        <v>2681</v>
      </c>
      <c r="E574" s="59"/>
      <c r="F574" s="59" t="str">
        <f>IF(INDEX(I.Gas.P1C1V1,10)="","",INDEX(I.Gas.P1C1V1,10))</f>
        <v/>
      </c>
      <c r="G574" s="59"/>
      <c r="H574" s="26" t="str">
        <f>IF(OR(I.Developer.P1=FALSE,I.Facility.StandardPart&lt;&gt;"Part 2"),"Complete",IF(I.Product.P1GasToPower="No","Complete",IF(AND(I.Gas.P1Count&gt;=10,F574=""),"Incomplete","Complete")))</f>
        <v>Complete</v>
      </c>
      <c r="I574" s="39" t="s">
        <v>769</v>
      </c>
    </row>
    <row r="575" spans="2:9" ht="15" customHeight="1" x14ac:dyDescent="0.25">
      <c r="B575" s="37" t="s">
        <v>759</v>
      </c>
      <c r="C575" s="26">
        <v>11</v>
      </c>
      <c r="D575" s="38" t="s">
        <v>2681</v>
      </c>
      <c r="E575" s="59"/>
      <c r="F575" s="59" t="str">
        <f>IF(INDEX(I.Gas.P1C1V1,11)="","",INDEX(I.Gas.P1C1V1,11))</f>
        <v/>
      </c>
      <c r="G575" s="59"/>
      <c r="H575" s="26" t="str">
        <f>IF(OR(I.Developer.P1=FALSE,I.Facility.StandardPart&lt;&gt;"Part 2"),"Complete",IF(I.Product.P1GasToPower="No","Complete",IF(AND(I.Gas.P1Count&gt;=11,F575=""),"Incomplete","Complete")))</f>
        <v>Complete</v>
      </c>
      <c r="I575" s="39" t="s">
        <v>770</v>
      </c>
    </row>
    <row r="576" spans="2:9" ht="15" customHeight="1" x14ac:dyDescent="0.25">
      <c r="B576" s="37" t="s">
        <v>759</v>
      </c>
      <c r="C576" s="26">
        <v>12</v>
      </c>
      <c r="D576" s="38" t="s">
        <v>2681</v>
      </c>
      <c r="E576" s="59"/>
      <c r="F576" s="59" t="str">
        <f>IF(INDEX(I.Gas.P1C1V1,12)="","",INDEX(I.Gas.P1C1V1,12))</f>
        <v/>
      </c>
      <c r="G576" s="59"/>
      <c r="H576" s="26" t="str">
        <f>IF(OR(I.Developer.P1=FALSE,I.Facility.StandardPart&lt;&gt;"Part 2"),"Complete",IF(I.Product.P1GasToPower="No","Complete",IF(AND(I.Gas.P1Count&gt;=12,F576=""),"Incomplete","Complete")))</f>
        <v>Complete</v>
      </c>
      <c r="I576" s="39" t="s">
        <v>771</v>
      </c>
    </row>
    <row r="577" spans="2:9" ht="15" customHeight="1" x14ac:dyDescent="0.25">
      <c r="B577" s="37" t="s">
        <v>759</v>
      </c>
      <c r="C577" s="26">
        <v>13</v>
      </c>
      <c r="D577" s="38" t="s">
        <v>2681</v>
      </c>
      <c r="E577" s="59"/>
      <c r="F577" s="59" t="str">
        <f>IF(INDEX(I.Gas.P1C1V1,13)="","",INDEX(I.Gas.P1C1V1,13))</f>
        <v/>
      </c>
      <c r="G577" s="59"/>
      <c r="H577" s="26" t="str">
        <f>IF(OR(I.Developer.P1=FALSE,I.Facility.StandardPart&lt;&gt;"Part 2"),"Complete",IF(I.Product.P1GasToPower="No","Complete",IF(AND(I.Gas.P1Count&gt;=13,F577=""),"Incomplete","Complete")))</f>
        <v>Complete</v>
      </c>
      <c r="I577" s="39" t="s">
        <v>772</v>
      </c>
    </row>
    <row r="578" spans="2:9" ht="15" customHeight="1" x14ac:dyDescent="0.25">
      <c r="B578" s="37" t="s">
        <v>759</v>
      </c>
      <c r="C578" s="26">
        <v>14</v>
      </c>
      <c r="D578" s="38" t="s">
        <v>2681</v>
      </c>
      <c r="E578" s="59"/>
      <c r="F578" s="59" t="str">
        <f>IF(INDEX(I.Gas.P1C1V1,14)="","",INDEX(I.Gas.P1C1V1,14))</f>
        <v/>
      </c>
      <c r="G578" s="59"/>
      <c r="H578" s="26" t="str">
        <f>IF(OR(I.Developer.P1=FALSE,I.Facility.StandardPart&lt;&gt;"Part 2"),"Complete",IF(I.Product.P1GasToPower="No","Complete",IF(AND(I.Gas.P1Count&gt;=14,F578=""),"Incomplete","Complete")))</f>
        <v>Complete</v>
      </c>
      <c r="I578" s="39" t="s">
        <v>773</v>
      </c>
    </row>
    <row r="579" spans="2:9" ht="15" customHeight="1" x14ac:dyDescent="0.25">
      <c r="B579" s="37" t="s">
        <v>759</v>
      </c>
      <c r="C579" s="26">
        <v>15</v>
      </c>
      <c r="D579" s="38" t="s">
        <v>2681</v>
      </c>
      <c r="E579" s="59"/>
      <c r="F579" s="59" t="str">
        <f>IF(INDEX(I.Gas.P1C1V1,15)="","",INDEX(I.Gas.P1C1V1,15))</f>
        <v/>
      </c>
      <c r="G579" s="59"/>
      <c r="H579" s="26" t="str">
        <f>IF(OR(I.Developer.P1=FALSE,I.Facility.StandardPart&lt;&gt;"Part 2"),"Complete",IF(I.Product.P1GasToPower="No","Complete",IF(AND(I.Gas.P1Count&gt;=15,F579=""),"Incomplete","Complete")))</f>
        <v>Complete</v>
      </c>
      <c r="I579" s="39" t="s">
        <v>774</v>
      </c>
    </row>
    <row r="580" spans="2:9" ht="15" customHeight="1" x14ac:dyDescent="0.25">
      <c r="B580" s="37" t="s">
        <v>759</v>
      </c>
      <c r="C580" s="26">
        <v>16</v>
      </c>
      <c r="D580" s="38" t="s">
        <v>2681</v>
      </c>
      <c r="E580" s="59"/>
      <c r="F580" s="59" t="str">
        <f>IF(INDEX(I.Gas.P1C1V1,16)="","",INDEX(I.Gas.P1C1V1,16))</f>
        <v/>
      </c>
      <c r="G580" s="59"/>
      <c r="H580" s="26" t="str">
        <f>IF(OR(I.Developer.P1=FALSE,I.Facility.StandardPart&lt;&gt;"Part 2"),"Complete",IF(I.Product.P1GasToPower="No","Complete",IF(AND(I.Gas.P1Count&gt;=16,F580=""),"Incomplete","Complete")))</f>
        <v>Complete</v>
      </c>
      <c r="I580" s="39" t="s">
        <v>775</v>
      </c>
    </row>
    <row r="581" spans="2:9" ht="15" customHeight="1" x14ac:dyDescent="0.25">
      <c r="B581" s="37" t="s">
        <v>759</v>
      </c>
      <c r="C581" s="26">
        <v>17</v>
      </c>
      <c r="D581" s="38" t="s">
        <v>2681</v>
      </c>
      <c r="E581" s="59"/>
      <c r="F581" s="59" t="str">
        <f>IF(INDEX(I.Gas.P1C1V1,17)="","",INDEX(I.Gas.P1C1V1,17))</f>
        <v/>
      </c>
      <c r="G581" s="59"/>
      <c r="H581" s="26" t="str">
        <f>IF(OR(I.Developer.P1=FALSE,I.Facility.StandardPart&lt;&gt;"Part 2"),"Complete",IF(I.Product.P1GasToPower="No","Complete",IF(AND(I.Gas.P1Count&gt;=17,F581=""),"Incomplete","Complete")))</f>
        <v>Complete</v>
      </c>
      <c r="I581" s="39" t="s">
        <v>776</v>
      </c>
    </row>
    <row r="582" spans="2:9" ht="15" customHeight="1" x14ac:dyDescent="0.25">
      <c r="B582" s="37" t="s">
        <v>759</v>
      </c>
      <c r="C582" s="26">
        <v>18</v>
      </c>
      <c r="D582" s="38" t="s">
        <v>2681</v>
      </c>
      <c r="E582" s="59"/>
      <c r="F582" s="59" t="str">
        <f>IF(INDEX(I.Gas.P1C1V1,18)="","",INDEX(I.Gas.P1C1V1,18))</f>
        <v/>
      </c>
      <c r="G582" s="59"/>
      <c r="H582" s="26" t="str">
        <f>IF(OR(I.Developer.P1=FALSE,I.Facility.StandardPart&lt;&gt;"Part 2"),"Complete",IF(I.Product.P1GasToPower="No","Complete",IF(AND(I.Gas.P1Count&gt;=18,F582=""),"Incomplete","Complete")))</f>
        <v>Complete</v>
      </c>
      <c r="I582" s="39" t="s">
        <v>777</v>
      </c>
    </row>
    <row r="583" spans="2:9" ht="15" customHeight="1" x14ac:dyDescent="0.25">
      <c r="B583" s="37" t="s">
        <v>759</v>
      </c>
      <c r="C583" s="26">
        <v>19</v>
      </c>
      <c r="D583" s="38" t="s">
        <v>2681</v>
      </c>
      <c r="E583" s="59"/>
      <c r="F583" s="59" t="str">
        <f>IF(INDEX(I.Gas.P1C1V1,19)="","",INDEX(I.Gas.P1C1V1,19))</f>
        <v/>
      </c>
      <c r="G583" s="59"/>
      <c r="H583" s="26" t="str">
        <f>IF(OR(I.Developer.P1=FALSE,I.Facility.StandardPart&lt;&gt;"Part 2"),"Complete",IF(I.Product.P1GasToPower="No","Complete",IF(AND(I.Gas.P1Count&gt;=19,F583=""),"Incomplete","Complete")))</f>
        <v>Complete</v>
      </c>
      <c r="I583" s="39" t="s">
        <v>778</v>
      </c>
    </row>
    <row r="584" spans="2:9" ht="15" customHeight="1" x14ac:dyDescent="0.25">
      <c r="B584" s="37" t="s">
        <v>759</v>
      </c>
      <c r="C584" s="26">
        <v>20</v>
      </c>
      <c r="D584" s="38" t="s">
        <v>2681</v>
      </c>
      <c r="E584" s="59"/>
      <c r="F584" s="59" t="str">
        <f>IF(INDEX(I.Gas.P1C1V1,20)="","",INDEX(I.Gas.P1C1V1,20))</f>
        <v/>
      </c>
      <c r="G584" s="59"/>
      <c r="H584" s="26" t="str">
        <f>IF(OR(I.Developer.P1=FALSE,I.Facility.StandardPart&lt;&gt;"Part 2"),"Complete",IF(I.Product.P1GasToPower="No","Complete",IF(AND(I.Gas.P1Count&gt;=20,F584=""),"Incomplete","Complete")))</f>
        <v>Complete</v>
      </c>
      <c r="I584" s="39" t="s">
        <v>779</v>
      </c>
    </row>
    <row r="585" spans="2:9" ht="15" customHeight="1" x14ac:dyDescent="0.25">
      <c r="B585" s="37" t="s">
        <v>759</v>
      </c>
      <c r="C585" s="26">
        <v>21</v>
      </c>
      <c r="D585" s="38" t="s">
        <v>2681</v>
      </c>
      <c r="E585" s="59"/>
      <c r="F585" s="59" t="str">
        <f>IF(INDEX(I.Gas.P1C1V1,21)="","",INDEX(I.Gas.P1C1V1,21))</f>
        <v/>
      </c>
      <c r="G585" s="59"/>
      <c r="H585" s="26" t="str">
        <f>IF(OR(I.Developer.P1=FALSE,I.Facility.StandardPart&lt;&gt;"Part 2"),"Complete",IF(I.Product.P1GasToPower="No","Complete",IF(AND(I.Gas.P1Count&gt;=21,F585=""),"Incomplete","Complete")))</f>
        <v>Complete</v>
      </c>
      <c r="I585" s="39" t="s">
        <v>780</v>
      </c>
    </row>
    <row r="586" spans="2:9" ht="15" customHeight="1" x14ac:dyDescent="0.25">
      <c r="B586" s="37" t="s">
        <v>759</v>
      </c>
      <c r="C586" s="26">
        <v>22</v>
      </c>
      <c r="D586" s="38" t="s">
        <v>2681</v>
      </c>
      <c r="E586" s="59"/>
      <c r="F586" s="59" t="str">
        <f>IF(INDEX(I.Gas.P1C1V1,22)="","",INDEX(I.Gas.P1C1V1,22))</f>
        <v/>
      </c>
      <c r="G586" s="59"/>
      <c r="H586" s="26" t="str">
        <f>IF(OR(I.Developer.P1=FALSE,I.Facility.StandardPart&lt;&gt;"Part 2"),"Complete",IF(I.Product.P1GasToPower="No","Complete",IF(AND(I.Gas.P1Count&gt;=22,F586=""),"Incomplete","Complete")))</f>
        <v>Complete</v>
      </c>
      <c r="I586" s="39" t="s">
        <v>781</v>
      </c>
    </row>
    <row r="587" spans="2:9" ht="15" customHeight="1" x14ac:dyDescent="0.25">
      <c r="B587" s="37" t="s">
        <v>759</v>
      </c>
      <c r="C587" s="26">
        <v>23</v>
      </c>
      <c r="D587" s="38" t="s">
        <v>2681</v>
      </c>
      <c r="E587" s="59"/>
      <c r="F587" s="59" t="str">
        <f>IF(INDEX(I.Gas.P1C1V1,23)="","",INDEX(I.Gas.P1C1V1,23))</f>
        <v/>
      </c>
      <c r="G587" s="59"/>
      <c r="H587" s="26" t="str">
        <f>IF(OR(I.Developer.P1=FALSE,I.Facility.StandardPart&lt;&gt;"Part 2"),"Complete",IF(I.Product.P1GasToPower="No","Complete",IF(AND(I.Gas.P1Count&gt;=23,F587=""),"Incomplete","Complete")))</f>
        <v>Complete</v>
      </c>
      <c r="I587" s="39" t="s">
        <v>782</v>
      </c>
    </row>
    <row r="588" spans="2:9" ht="15" customHeight="1" x14ac:dyDescent="0.25">
      <c r="B588" s="37" t="s">
        <v>759</v>
      </c>
      <c r="C588" s="26">
        <v>24</v>
      </c>
      <c r="D588" s="38" t="s">
        <v>2681</v>
      </c>
      <c r="E588" s="59"/>
      <c r="F588" s="59" t="str">
        <f>IF(INDEX(I.Gas.P1C1V1,24)="","",INDEX(I.Gas.P1C1V1,24))</f>
        <v/>
      </c>
      <c r="G588" s="59"/>
      <c r="H588" s="26" t="str">
        <f>IF(OR(I.Developer.P1=FALSE,I.Facility.StandardPart&lt;&gt;"Part 2"),"Complete",IF(I.Product.P1GasToPower="No","Complete",IF(AND(I.Gas.P1Count&gt;=24,F588=""),"Incomplete","Complete")))</f>
        <v>Complete</v>
      </c>
      <c r="I588" s="39" t="s">
        <v>783</v>
      </c>
    </row>
    <row r="589" spans="2:9" ht="15" customHeight="1" x14ac:dyDescent="0.25">
      <c r="B589" s="37" t="s">
        <v>759</v>
      </c>
      <c r="C589" s="26">
        <v>25</v>
      </c>
      <c r="D589" s="38" t="s">
        <v>2681</v>
      </c>
      <c r="E589" s="59"/>
      <c r="F589" s="59" t="str">
        <f>IF(INDEX(I.Gas.P1C1V1,25)="","",INDEX(I.Gas.P1C1V1,25))</f>
        <v/>
      </c>
      <c r="G589" s="59"/>
      <c r="H589" s="26" t="str">
        <f>IF(OR(I.Developer.P1=FALSE,I.Facility.StandardPart&lt;&gt;"Part 2"),"Complete",IF(I.Product.P1GasToPower="No","Complete",IF(AND(I.Gas.P1Count&gt;=25,F589=""),"Incomplete","Complete")))</f>
        <v>Complete</v>
      </c>
      <c r="I589" s="39" t="s">
        <v>784</v>
      </c>
    </row>
    <row r="590" spans="2:9" ht="15" customHeight="1" x14ac:dyDescent="0.25">
      <c r="B590" s="37" t="s">
        <v>759</v>
      </c>
      <c r="C590" s="26">
        <v>26</v>
      </c>
      <c r="D590" s="38" t="s">
        <v>2681</v>
      </c>
      <c r="E590" s="59"/>
      <c r="F590" s="59" t="str">
        <f>IF(INDEX(I.Gas.P1C1V1,26)="","",INDEX(I.Gas.P1C1V1,26))</f>
        <v/>
      </c>
      <c r="G590" s="59"/>
      <c r="H590" s="26" t="str">
        <f>IF(OR(I.Developer.P1=FALSE,I.Facility.StandardPart&lt;&gt;"Part 2"),"Complete",IF(I.Product.P1GasToPower="No","Complete",IF(AND(I.Gas.P1Count&gt;=26,F590=""),"Incomplete","Complete")))</f>
        <v>Complete</v>
      </c>
      <c r="I590" s="39" t="s">
        <v>785</v>
      </c>
    </row>
    <row r="591" spans="2:9" ht="15" customHeight="1" x14ac:dyDescent="0.25">
      <c r="B591" s="37" t="s">
        <v>759</v>
      </c>
      <c r="C591" s="26">
        <v>27</v>
      </c>
      <c r="D591" s="38" t="s">
        <v>2681</v>
      </c>
      <c r="E591" s="59"/>
      <c r="F591" s="59" t="str">
        <f>IF(INDEX(I.Gas.P1C1V1,27)="","",INDEX(I.Gas.P1C1V1,27))</f>
        <v/>
      </c>
      <c r="G591" s="59"/>
      <c r="H591" s="26" t="str">
        <f>IF(OR(I.Developer.P1=FALSE,I.Facility.StandardPart&lt;&gt;"Part 2"),"Complete",IF(I.Product.P1GasToPower="No","Complete",IF(AND(I.Gas.P1Count&gt;=27,F591=""),"Incomplete","Complete")))</f>
        <v>Complete</v>
      </c>
      <c r="I591" s="39" t="s">
        <v>786</v>
      </c>
    </row>
    <row r="592" spans="2:9" ht="15" customHeight="1" x14ac:dyDescent="0.25">
      <c r="B592" s="37" t="s">
        <v>759</v>
      </c>
      <c r="C592" s="26">
        <v>28</v>
      </c>
      <c r="D592" s="38" t="s">
        <v>2681</v>
      </c>
      <c r="E592" s="59"/>
      <c r="F592" s="59" t="str">
        <f>IF(INDEX(I.Gas.P1C1V1,28)="","",INDEX(I.Gas.P1C1V1,28))</f>
        <v/>
      </c>
      <c r="G592" s="59"/>
      <c r="H592" s="26" t="str">
        <f>IF(OR(I.Developer.P1=FALSE,I.Facility.StandardPart&lt;&gt;"Part 2"),"Complete",IF(I.Product.P1GasToPower="No","Complete",IF(AND(I.Gas.P1Count&gt;=28,F592=""),"Incomplete","Complete")))</f>
        <v>Complete</v>
      </c>
      <c r="I592" s="39" t="s">
        <v>787</v>
      </c>
    </row>
    <row r="593" spans="2:9" ht="15" customHeight="1" x14ac:dyDescent="0.25">
      <c r="B593" s="37" t="s">
        <v>759</v>
      </c>
      <c r="C593" s="26">
        <v>29</v>
      </c>
      <c r="D593" s="38" t="s">
        <v>2681</v>
      </c>
      <c r="E593" s="59"/>
      <c r="F593" s="59" t="str">
        <f>IF(INDEX(I.Gas.P1C1V1,29)="","",INDEX(I.Gas.P1C1V1,29))</f>
        <v/>
      </c>
      <c r="G593" s="59"/>
      <c r="H593" s="26" t="str">
        <f>IF(OR(I.Developer.P1=FALSE,I.Facility.StandardPart&lt;&gt;"Part 2"),"Complete",IF(I.Product.P1GasToPower="No","Complete",IF(AND(I.Gas.P1Count&gt;=29,F593=""),"Incomplete","Complete")))</f>
        <v>Complete</v>
      </c>
      <c r="I593" s="39" t="s">
        <v>788</v>
      </c>
    </row>
    <row r="594" spans="2:9" ht="15" customHeight="1" x14ac:dyDescent="0.25">
      <c r="B594" s="37" t="s">
        <v>759</v>
      </c>
      <c r="C594" s="26">
        <v>30</v>
      </c>
      <c r="D594" s="38" t="s">
        <v>2681</v>
      </c>
      <c r="E594" s="59"/>
      <c r="F594" s="59" t="str">
        <f>IF(INDEX(I.Gas.P1C1V1,30)="","",INDEX(I.Gas.P1C1V1,30))</f>
        <v/>
      </c>
      <c r="G594" s="59"/>
      <c r="H594" s="26" t="str">
        <f>IF(OR(I.Developer.P1=FALSE,I.Facility.StandardPart&lt;&gt;"Part 2"),"Complete",IF(I.Product.P1GasToPower="No","Complete",IF(AND(I.Gas.P1Count&gt;=30,F594=""),"Incomplete","Complete")))</f>
        <v>Complete</v>
      </c>
      <c r="I594" s="39" t="s">
        <v>789</v>
      </c>
    </row>
    <row r="595" spans="2:9" ht="15" customHeight="1" x14ac:dyDescent="0.25">
      <c r="B595" s="37" t="s">
        <v>759</v>
      </c>
      <c r="C595" s="26">
        <v>31</v>
      </c>
      <c r="D595" s="38" t="s">
        <v>2681</v>
      </c>
      <c r="E595" s="59"/>
      <c r="F595" s="59" t="str">
        <f>IF(INDEX(I.Gas.P1C1V1,31)="","",INDEX(I.Gas.P1C1V1,31))</f>
        <v/>
      </c>
      <c r="G595" s="59"/>
      <c r="H595" s="26" t="str">
        <f>IF(OR(I.Developer.P1=FALSE,I.Facility.StandardPart&lt;&gt;"Part 2"),"Complete",IF(I.Product.P1GasToPower="No","Complete",IF(AND(I.Gas.P1Count&gt;=31,F595=""),"Incomplete","Complete")))</f>
        <v>Complete</v>
      </c>
      <c r="I595" s="39" t="s">
        <v>790</v>
      </c>
    </row>
    <row r="596" spans="2:9" ht="15" customHeight="1" x14ac:dyDescent="0.25">
      <c r="B596" s="37" t="s">
        <v>759</v>
      </c>
      <c r="C596" s="26">
        <v>32</v>
      </c>
      <c r="D596" s="38" t="s">
        <v>2681</v>
      </c>
      <c r="E596" s="59"/>
      <c r="F596" s="59" t="str">
        <f>IF(INDEX(I.Gas.P1C1V1,32)="","",INDEX(I.Gas.P1C1V1,32))</f>
        <v/>
      </c>
      <c r="G596" s="59"/>
      <c r="H596" s="26" t="str">
        <f>IF(OR(I.Developer.P1=FALSE,I.Facility.StandardPart&lt;&gt;"Part 2"),"Complete",IF(I.Product.P1GasToPower="No","Complete",IF(AND(I.Gas.P1Count&gt;=32,F596=""),"Incomplete","Complete")))</f>
        <v>Complete</v>
      </c>
      <c r="I596" s="39" t="s">
        <v>791</v>
      </c>
    </row>
    <row r="597" spans="2:9" ht="15" customHeight="1" x14ac:dyDescent="0.25">
      <c r="B597" s="37" t="s">
        <v>759</v>
      </c>
      <c r="C597" s="26">
        <v>33</v>
      </c>
      <c r="D597" s="38" t="s">
        <v>2681</v>
      </c>
      <c r="E597" s="59"/>
      <c r="F597" s="59" t="str">
        <f>IF(INDEX(I.Gas.P1C1V1,33)="","",INDEX(I.Gas.P1C1V1,33))</f>
        <v/>
      </c>
      <c r="G597" s="59"/>
      <c r="H597" s="26" t="str">
        <f>IF(OR(I.Developer.P1=FALSE,I.Facility.StandardPart&lt;&gt;"Part 2"),"Complete",IF(I.Product.P1GasToPower="No","Complete",IF(AND(I.Gas.P1Count&gt;=33,F597=""),"Incomplete","Complete")))</f>
        <v>Complete</v>
      </c>
      <c r="I597" s="39" t="s">
        <v>792</v>
      </c>
    </row>
    <row r="598" spans="2:9" ht="15" customHeight="1" x14ac:dyDescent="0.25">
      <c r="B598" s="37" t="s">
        <v>759</v>
      </c>
      <c r="C598" s="26">
        <v>34</v>
      </c>
      <c r="D598" s="38" t="s">
        <v>2681</v>
      </c>
      <c r="E598" s="59"/>
      <c r="F598" s="59" t="str">
        <f>IF(INDEX(I.Gas.P1C1V1,34)="","",INDEX(I.Gas.P1C1V1,34))</f>
        <v/>
      </c>
      <c r="G598" s="59"/>
      <c r="H598" s="26" t="str">
        <f>IF(OR(I.Developer.P1=FALSE,I.Facility.StandardPart&lt;&gt;"Part 2"),"Complete",IF(I.Product.P1GasToPower="No","Complete",IF(AND(I.Gas.P1Count&gt;=34,F598=""),"Incomplete","Complete")))</f>
        <v>Complete</v>
      </c>
      <c r="I598" s="39" t="s">
        <v>793</v>
      </c>
    </row>
    <row r="599" spans="2:9" ht="15" customHeight="1" x14ac:dyDescent="0.25">
      <c r="B599" s="37" t="s">
        <v>759</v>
      </c>
      <c r="C599" s="26">
        <v>35</v>
      </c>
      <c r="D599" s="38" t="s">
        <v>2681</v>
      </c>
      <c r="E599" s="59"/>
      <c r="F599" s="59" t="str">
        <f>IF(INDEX(I.Gas.P1C1V1,35)="","",INDEX(I.Gas.P1C1V1,35))</f>
        <v/>
      </c>
      <c r="G599" s="59"/>
      <c r="H599" s="26" t="str">
        <f>IF(OR(I.Developer.P1=FALSE,I.Facility.StandardPart&lt;&gt;"Part 2"),"Complete",IF(I.Product.P1GasToPower="No","Complete",IF(AND(I.Gas.P1Count&gt;=35,F599=""),"Incomplete","Complete")))</f>
        <v>Complete</v>
      </c>
      <c r="I599" s="39" t="s">
        <v>794</v>
      </c>
    </row>
    <row r="600" spans="2:9" ht="15" customHeight="1" x14ac:dyDescent="0.25">
      <c r="B600" s="37" t="s">
        <v>759</v>
      </c>
      <c r="C600" s="26">
        <v>36</v>
      </c>
      <c r="D600" s="38" t="s">
        <v>2681</v>
      </c>
      <c r="E600" s="59"/>
      <c r="F600" s="59" t="str">
        <f>IF(INDEX(I.Gas.P1C1V1,36)="","",INDEX(I.Gas.P1C1V1,36))</f>
        <v/>
      </c>
      <c r="G600" s="59"/>
      <c r="H600" s="26" t="str">
        <f>IF(OR(I.Developer.P1=FALSE,I.Facility.StandardPart&lt;&gt;"Part 2"),"Complete",IF(I.Product.P1GasToPower="No","Complete",IF(AND(I.Gas.P1Count&gt;=36,F600=""),"Incomplete","Complete")))</f>
        <v>Complete</v>
      </c>
      <c r="I600" s="39" t="s">
        <v>795</v>
      </c>
    </row>
    <row r="601" spans="2:9" ht="15" customHeight="1" x14ac:dyDescent="0.25">
      <c r="B601" s="37" t="s">
        <v>759</v>
      </c>
      <c r="C601" s="26">
        <v>37</v>
      </c>
      <c r="D601" s="38" t="s">
        <v>2681</v>
      </c>
      <c r="E601" s="59"/>
      <c r="F601" s="59" t="str">
        <f>IF(INDEX(I.Gas.P1C1V1,37)="","",INDEX(I.Gas.P1C1V1,37))</f>
        <v/>
      </c>
      <c r="G601" s="59"/>
      <c r="H601" s="26" t="str">
        <f>IF(OR(I.Developer.P1=FALSE,I.Facility.StandardPart&lt;&gt;"Part 2"),"Complete",IF(I.Product.P1GasToPower="No","Complete",IF(AND(I.Gas.P1Count&gt;=37,F601=""),"Incomplete","Complete")))</f>
        <v>Complete</v>
      </c>
      <c r="I601" s="39" t="s">
        <v>796</v>
      </c>
    </row>
    <row r="602" spans="2:9" ht="15" customHeight="1" x14ac:dyDescent="0.25">
      <c r="B602" s="37" t="s">
        <v>759</v>
      </c>
      <c r="C602" s="26">
        <v>38</v>
      </c>
      <c r="D602" s="38" t="s">
        <v>2681</v>
      </c>
      <c r="E602" s="59"/>
      <c r="F602" s="59" t="str">
        <f>IF(INDEX(I.Gas.P1C1V1,38)="","",INDEX(I.Gas.P1C1V1,38))</f>
        <v/>
      </c>
      <c r="G602" s="59"/>
      <c r="H602" s="26" t="str">
        <f>IF(OR(I.Developer.P1=FALSE,I.Facility.StandardPart&lt;&gt;"Part 2"),"Complete",IF(I.Product.P1GasToPower="No","Complete",IF(AND(I.Gas.P1Count&gt;=38,F602=""),"Incomplete","Complete")))</f>
        <v>Complete</v>
      </c>
      <c r="I602" s="39" t="s">
        <v>797</v>
      </c>
    </row>
    <row r="603" spans="2:9" ht="15" customHeight="1" x14ac:dyDescent="0.25">
      <c r="B603" s="37" t="s">
        <v>759</v>
      </c>
      <c r="C603" s="26">
        <v>39</v>
      </c>
      <c r="D603" s="38" t="s">
        <v>2681</v>
      </c>
      <c r="E603" s="59"/>
      <c r="F603" s="59" t="str">
        <f>IF(INDEX(I.Gas.P1C1V1,39)="","",INDEX(I.Gas.P1C1V1,39))</f>
        <v/>
      </c>
      <c r="G603" s="59"/>
      <c r="H603" s="26" t="str">
        <f>IF(OR(I.Developer.P1=FALSE,I.Facility.StandardPart&lt;&gt;"Part 2"),"Complete",IF(I.Product.P1GasToPower="No","Complete",IF(AND(I.Gas.P1Count&gt;=39,F603=""),"Incomplete","Complete")))</f>
        <v>Complete</v>
      </c>
      <c r="I603" s="39" t="s">
        <v>798</v>
      </c>
    </row>
    <row r="604" spans="2:9" ht="15" customHeight="1" x14ac:dyDescent="0.25">
      <c r="B604" s="37" t="s">
        <v>759</v>
      </c>
      <c r="C604" s="26">
        <v>40</v>
      </c>
      <c r="D604" s="38" t="s">
        <v>2681</v>
      </c>
      <c r="E604" s="59"/>
      <c r="F604" s="59" t="str">
        <f>IF(INDEX(I.Gas.P1C1V1,40)="","",INDEX(I.Gas.P1C1V1,40))</f>
        <v/>
      </c>
      <c r="G604" s="59"/>
      <c r="H604" s="26" t="str">
        <f>IF(OR(I.Developer.P1=FALSE,I.Facility.StandardPart&lt;&gt;"Part 2"),"Complete",IF(I.Product.P1GasToPower="No","Complete",IF(AND(I.Gas.P1Count&gt;=40,F604=""),"Incomplete","Complete")))</f>
        <v>Complete</v>
      </c>
      <c r="I604" s="39" t="s">
        <v>799</v>
      </c>
    </row>
    <row r="605" spans="2:9" ht="15" customHeight="1" x14ac:dyDescent="0.25">
      <c r="B605" s="37" t="s">
        <v>759</v>
      </c>
      <c r="C605" s="26">
        <v>41</v>
      </c>
      <c r="D605" s="38" t="s">
        <v>2681</v>
      </c>
      <c r="E605" s="59"/>
      <c r="F605" s="59" t="str">
        <f>IF(INDEX(I.Gas.P1C1V1,41)="","",INDEX(I.Gas.P1C1V1,41))</f>
        <v/>
      </c>
      <c r="G605" s="59"/>
      <c r="H605" s="26" t="str">
        <f>IF(OR(I.Developer.P1=FALSE,I.Facility.StandardPart&lt;&gt;"Part 2"),"Complete",IF(I.Product.P1GasToPower="No","Complete",IF(AND(I.Gas.P1Count&gt;=41,F605=""),"Incomplete","Complete")))</f>
        <v>Complete</v>
      </c>
      <c r="I605" s="39" t="s">
        <v>800</v>
      </c>
    </row>
    <row r="606" spans="2:9" ht="15" customHeight="1" x14ac:dyDescent="0.25">
      <c r="B606" s="37" t="s">
        <v>759</v>
      </c>
      <c r="C606" s="26">
        <v>42</v>
      </c>
      <c r="D606" s="38" t="s">
        <v>2681</v>
      </c>
      <c r="E606" s="59"/>
      <c r="F606" s="59" t="str">
        <f>IF(INDEX(I.Gas.P1C1V1,42)="","",INDEX(I.Gas.P1C1V1,42))</f>
        <v/>
      </c>
      <c r="G606" s="59"/>
      <c r="H606" s="26" t="str">
        <f>IF(OR(I.Developer.P1=FALSE,I.Facility.StandardPart&lt;&gt;"Part 2"),"Complete",IF(I.Product.P1GasToPower="No","Complete",IF(AND(I.Gas.P1Count&gt;=42,F606=""),"Incomplete","Complete")))</f>
        <v>Complete</v>
      </c>
      <c r="I606" s="39" t="s">
        <v>801</v>
      </c>
    </row>
    <row r="607" spans="2:9" ht="15" customHeight="1" x14ac:dyDescent="0.25">
      <c r="B607" s="37" t="s">
        <v>759</v>
      </c>
      <c r="C607" s="26">
        <v>43</v>
      </c>
      <c r="D607" s="38" t="s">
        <v>2681</v>
      </c>
      <c r="E607" s="59"/>
      <c r="F607" s="59" t="str">
        <f>IF(INDEX(I.Gas.P1C1V1,43)="","",INDEX(I.Gas.P1C1V1,43))</f>
        <v/>
      </c>
      <c r="G607" s="59"/>
      <c r="H607" s="26" t="str">
        <f>IF(OR(I.Developer.P1=FALSE,I.Facility.StandardPart&lt;&gt;"Part 2"),"Complete",IF(I.Product.P1GasToPower="No","Complete",IF(AND(I.Gas.P1Count&gt;=43,F607=""),"Incomplete","Complete")))</f>
        <v>Complete</v>
      </c>
      <c r="I607" s="39" t="s">
        <v>802</v>
      </c>
    </row>
    <row r="608" spans="2:9" ht="15" customHeight="1" x14ac:dyDescent="0.25">
      <c r="B608" s="37" t="s">
        <v>759</v>
      </c>
      <c r="C608" s="26">
        <v>44</v>
      </c>
      <c r="D608" s="38" t="s">
        <v>2681</v>
      </c>
      <c r="E608" s="59"/>
      <c r="F608" s="59" t="str">
        <f>IF(INDEX(I.Gas.P1C1V1,44)="","",INDEX(I.Gas.P1C1V1,44))</f>
        <v/>
      </c>
      <c r="G608" s="59"/>
      <c r="H608" s="26" t="str">
        <f>IF(OR(I.Developer.P1=FALSE,I.Facility.StandardPart&lt;&gt;"Part 2"),"Complete",IF(I.Product.P1GasToPower="No","Complete",IF(AND(I.Gas.P1Count&gt;=44,F608=""),"Incomplete","Complete")))</f>
        <v>Complete</v>
      </c>
      <c r="I608" s="39" t="s">
        <v>803</v>
      </c>
    </row>
    <row r="609" spans="2:9" ht="15" customHeight="1" x14ac:dyDescent="0.25">
      <c r="B609" s="37" t="s">
        <v>759</v>
      </c>
      <c r="C609" s="26">
        <v>45</v>
      </c>
      <c r="D609" s="38" t="s">
        <v>2681</v>
      </c>
      <c r="E609" s="59"/>
      <c r="F609" s="59" t="str">
        <f>IF(INDEX(I.Gas.P1C1V1,45)="","",INDEX(I.Gas.P1C1V1,45))</f>
        <v/>
      </c>
      <c r="G609" s="59"/>
      <c r="H609" s="26" t="str">
        <f>IF(OR(I.Developer.P1=FALSE,I.Facility.StandardPart&lt;&gt;"Part 2"),"Complete",IF(I.Product.P1GasToPower="No","Complete",IF(AND(I.Gas.P1Count&gt;=45,F609=""),"Incomplete","Complete")))</f>
        <v>Complete</v>
      </c>
      <c r="I609" s="39" t="s">
        <v>804</v>
      </c>
    </row>
    <row r="610" spans="2:9" ht="15" customHeight="1" x14ac:dyDescent="0.25">
      <c r="B610" s="37" t="s">
        <v>759</v>
      </c>
      <c r="C610" s="26">
        <v>46</v>
      </c>
      <c r="D610" s="38" t="s">
        <v>2681</v>
      </c>
      <c r="E610" s="59"/>
      <c r="F610" s="59" t="str">
        <f>IF(INDEX(I.Gas.P1C1V1,46)="","",INDEX(I.Gas.P1C1V1,46))</f>
        <v/>
      </c>
      <c r="G610" s="59"/>
      <c r="H610" s="26" t="str">
        <f>IF(OR(I.Developer.P1=FALSE,I.Facility.StandardPart&lt;&gt;"Part 2"),"Complete",IF(I.Product.P1GasToPower="No","Complete",IF(AND(I.Gas.P1Count&gt;=46,F610=""),"Incomplete","Complete")))</f>
        <v>Complete</v>
      </c>
      <c r="I610" s="39" t="s">
        <v>805</v>
      </c>
    </row>
    <row r="611" spans="2:9" ht="15" customHeight="1" x14ac:dyDescent="0.25">
      <c r="B611" s="37" t="s">
        <v>759</v>
      </c>
      <c r="C611" s="26">
        <v>47</v>
      </c>
      <c r="D611" s="38" t="s">
        <v>2681</v>
      </c>
      <c r="E611" s="59"/>
      <c r="F611" s="59" t="str">
        <f>IF(INDEX(I.Gas.P1C1V1,47)="","",INDEX(I.Gas.P1C1V1,47))</f>
        <v/>
      </c>
      <c r="G611" s="59"/>
      <c r="H611" s="26" t="str">
        <f>IF(OR(I.Developer.P1=FALSE,I.Facility.StandardPart&lt;&gt;"Part 2"),"Complete",IF(I.Product.P1GasToPower="No","Complete",IF(AND(I.Gas.P1Count&gt;=47,F611=""),"Incomplete","Complete")))</f>
        <v>Complete</v>
      </c>
      <c r="I611" s="39" t="s">
        <v>806</v>
      </c>
    </row>
    <row r="612" spans="2:9" ht="15" customHeight="1" x14ac:dyDescent="0.25">
      <c r="B612" s="37" t="s">
        <v>759</v>
      </c>
      <c r="C612" s="26">
        <v>48</v>
      </c>
      <c r="D612" s="38" t="s">
        <v>2681</v>
      </c>
      <c r="E612" s="59"/>
      <c r="F612" s="59" t="str">
        <f>IF(INDEX(I.Gas.P1C1V1,48)="","",INDEX(I.Gas.P1C1V1,48))</f>
        <v/>
      </c>
      <c r="G612" s="59"/>
      <c r="H612" s="26" t="str">
        <f>IF(OR(I.Developer.P1=FALSE,I.Facility.StandardPart&lt;&gt;"Part 2"),"Complete",IF(I.Product.P1GasToPower="No","Complete",IF(AND(I.Gas.P1Count&gt;=48,F612=""),"Incomplete","Complete")))</f>
        <v>Complete</v>
      </c>
      <c r="I612" s="39" t="s">
        <v>807</v>
      </c>
    </row>
    <row r="613" spans="2:9" ht="15" customHeight="1" x14ac:dyDescent="0.25">
      <c r="B613" s="37" t="s">
        <v>759</v>
      </c>
      <c r="C613" s="26">
        <v>49</v>
      </c>
      <c r="D613" s="38" t="s">
        <v>2681</v>
      </c>
      <c r="E613" s="59"/>
      <c r="F613" s="59" t="str">
        <f>IF(INDEX(I.Gas.P1C1V1,49)="","",INDEX(I.Gas.P1C1V1,49))</f>
        <v/>
      </c>
      <c r="G613" s="59"/>
      <c r="H613" s="26" t="str">
        <f>IF(OR(I.Developer.P1=FALSE,I.Facility.StandardPart&lt;&gt;"Part 2"),"Complete",IF(I.Product.P1GasToPower="No","Complete",IF(AND(I.Gas.P1Count&gt;=49,F613=""),"Incomplete","Complete")))</f>
        <v>Complete</v>
      </c>
      <c r="I613" s="39" t="s">
        <v>808</v>
      </c>
    </row>
    <row r="614" spans="2:9" ht="15" customHeight="1" x14ac:dyDescent="0.25">
      <c r="B614" s="40" t="s">
        <v>759</v>
      </c>
      <c r="C614" s="46">
        <v>50</v>
      </c>
      <c r="D614" s="44" t="s">
        <v>2681</v>
      </c>
      <c r="E614" s="63"/>
      <c r="F614" s="63" t="str">
        <f>IF(INDEX(I.Gas.P1C1V1,50)="","",INDEX(I.Gas.P1C1V1,50))</f>
        <v/>
      </c>
      <c r="G614" s="63"/>
      <c r="H614" s="46" t="str">
        <f>IF(OR(I.Developer.P1=FALSE,I.Facility.StandardPart&lt;&gt;"Part 2"),"Complete",IF(I.Product.P1GasToPower="No","Complete",IF(AND(I.Gas.P1Count&gt;=50,F614=""),"Incomplete","Complete")))</f>
        <v>Complete</v>
      </c>
      <c r="I614" s="47" t="s">
        <v>809</v>
      </c>
    </row>
    <row r="615" spans="2:9" ht="15" customHeight="1" x14ac:dyDescent="0.25">
      <c r="B615" s="37" t="s">
        <v>810</v>
      </c>
      <c r="C615" s="26">
        <v>1</v>
      </c>
      <c r="D615" s="38" t="s">
        <v>2682</v>
      </c>
      <c r="E615" s="59"/>
      <c r="F615" s="59" t="str">
        <f>IF(INDEX(I.Gas.P1C1E1,1)="","",INDEX(I.Gas.P1C1E1,1))</f>
        <v/>
      </c>
      <c r="G615" s="59"/>
      <c r="H615" s="26" t="str">
        <f>IF(OR(I.Developer.P1=FALSE,I.Facility.StandardPart="Part 2"),"Complete",IF(I.Product.P1GasToPower="No","Complete",IF(AND(I.Gas.P1Count&gt;=1,F615=""),"Incomplete","Complete")))</f>
        <v>Complete</v>
      </c>
      <c r="I615" s="39" t="s">
        <v>811</v>
      </c>
    </row>
    <row r="616" spans="2:9" ht="15" customHeight="1" x14ac:dyDescent="0.25">
      <c r="B616" s="37" t="s">
        <v>810</v>
      </c>
      <c r="C616" s="26">
        <v>2</v>
      </c>
      <c r="D616" s="38" t="s">
        <v>2682</v>
      </c>
      <c r="E616" s="59"/>
      <c r="F616" s="59" t="str">
        <f>IF(INDEX(I.Gas.P1C1E1,2)="","",INDEX(I.Gas.P1C1E1,2))</f>
        <v/>
      </c>
      <c r="G616" s="59"/>
      <c r="H616" s="26" t="str">
        <f>IF(OR(I.Developer.P1=FALSE,I.Facility.StandardPart="Part 2"),"Complete",IF(I.Product.P1GasToPower="No","Complete",IF(AND(I.Gas.P1Count&gt;=2,F616=""),"Incomplete","Complete")))</f>
        <v>Complete</v>
      </c>
      <c r="I616" s="39" t="s">
        <v>812</v>
      </c>
    </row>
    <row r="617" spans="2:9" ht="15" customHeight="1" x14ac:dyDescent="0.25">
      <c r="B617" s="37" t="s">
        <v>810</v>
      </c>
      <c r="C617" s="26">
        <v>3</v>
      </c>
      <c r="D617" s="38" t="s">
        <v>2682</v>
      </c>
      <c r="E617" s="59"/>
      <c r="F617" s="59" t="str">
        <f>IF(INDEX(I.Gas.P1C1E1,3)="","",INDEX(I.Gas.P1C1E1,3))</f>
        <v/>
      </c>
      <c r="G617" s="59"/>
      <c r="H617" s="26" t="str">
        <f>IF(OR(I.Developer.P1=FALSE,I.Facility.StandardPart="Part 2"),"Complete",IF(I.Product.P1GasToPower="No","Complete",IF(AND(I.Gas.P1Count&gt;=3,F617=""),"Incomplete","Complete")))</f>
        <v>Complete</v>
      </c>
      <c r="I617" s="39" t="s">
        <v>813</v>
      </c>
    </row>
    <row r="618" spans="2:9" ht="15" customHeight="1" x14ac:dyDescent="0.25">
      <c r="B618" s="37" t="s">
        <v>810</v>
      </c>
      <c r="C618" s="26">
        <v>4</v>
      </c>
      <c r="D618" s="38" t="s">
        <v>2682</v>
      </c>
      <c r="E618" s="59"/>
      <c r="F618" s="59" t="str">
        <f>IF(INDEX(I.Gas.P1C1E1,4)="","",INDEX(I.Gas.P1C1E1,4))</f>
        <v/>
      </c>
      <c r="G618" s="59"/>
      <c r="H618" s="26" t="str">
        <f>IF(OR(I.Developer.P1=FALSE,I.Facility.StandardPart="Part 2"),"Complete",IF(I.Product.P1GasToPower="No","Complete",IF(AND(I.Gas.P1Count&gt;=4,F618=""),"Incomplete","Complete")))</f>
        <v>Complete</v>
      </c>
      <c r="I618" s="39" t="s">
        <v>814</v>
      </c>
    </row>
    <row r="619" spans="2:9" ht="15" customHeight="1" x14ac:dyDescent="0.25">
      <c r="B619" s="37" t="s">
        <v>810</v>
      </c>
      <c r="C619" s="26">
        <v>5</v>
      </c>
      <c r="D619" s="38" t="s">
        <v>2682</v>
      </c>
      <c r="E619" s="59"/>
      <c r="F619" s="59" t="str">
        <f>IF(INDEX(I.Gas.P1C1E1,5)="","",INDEX(I.Gas.P1C1E1,5))</f>
        <v/>
      </c>
      <c r="G619" s="59"/>
      <c r="H619" s="26" t="str">
        <f>IF(OR(I.Developer.P1=FALSE,I.Facility.StandardPart="Part 2"),"Complete",IF(I.Product.P1GasToPower="No","Complete",IF(AND(I.Gas.P1Count&gt;=5,F619=""),"Incomplete","Complete")))</f>
        <v>Complete</v>
      </c>
      <c r="I619" s="39" t="s">
        <v>815</v>
      </c>
    </row>
    <row r="620" spans="2:9" ht="15" customHeight="1" x14ac:dyDescent="0.25">
      <c r="B620" s="37" t="s">
        <v>810</v>
      </c>
      <c r="C620" s="26">
        <v>6</v>
      </c>
      <c r="D620" s="38" t="s">
        <v>2682</v>
      </c>
      <c r="E620" s="59"/>
      <c r="F620" s="59" t="str">
        <f>IF(INDEX(I.Gas.P1C1E1,6)="","",INDEX(I.Gas.P1C1E1,6))</f>
        <v/>
      </c>
      <c r="G620" s="59"/>
      <c r="H620" s="26" t="str">
        <f>IF(OR(I.Developer.P1=FALSE,I.Facility.StandardPart="Part 2"),"Complete",IF(I.Product.P1GasToPower="No","Complete",IF(AND(I.Gas.P1Count&gt;=6,F620=""),"Incomplete","Complete")))</f>
        <v>Complete</v>
      </c>
      <c r="I620" s="39" t="s">
        <v>816</v>
      </c>
    </row>
    <row r="621" spans="2:9" ht="15" customHeight="1" x14ac:dyDescent="0.25">
      <c r="B621" s="37" t="s">
        <v>810</v>
      </c>
      <c r="C621" s="26">
        <v>7</v>
      </c>
      <c r="D621" s="38" t="s">
        <v>2682</v>
      </c>
      <c r="E621" s="59"/>
      <c r="F621" s="59" t="str">
        <f>IF(INDEX(I.Gas.P1C1E1,7)="","",INDEX(I.Gas.P1C1E1,7))</f>
        <v/>
      </c>
      <c r="G621" s="59"/>
      <c r="H621" s="26" t="str">
        <f>IF(OR(I.Developer.P1=FALSE,I.Facility.StandardPart="Part 2"),"Complete",IF(I.Product.P1GasToPower="No","Complete",IF(AND(I.Gas.P1Count&gt;=7,F621=""),"Incomplete","Complete")))</f>
        <v>Complete</v>
      </c>
      <c r="I621" s="39" t="s">
        <v>817</v>
      </c>
    </row>
    <row r="622" spans="2:9" ht="15" customHeight="1" x14ac:dyDescent="0.25">
      <c r="B622" s="37" t="s">
        <v>810</v>
      </c>
      <c r="C622" s="26">
        <v>8</v>
      </c>
      <c r="D622" s="38" t="s">
        <v>2682</v>
      </c>
      <c r="E622" s="59"/>
      <c r="F622" s="59" t="str">
        <f>IF(INDEX(I.Gas.P1C1E1,8)="","",INDEX(I.Gas.P1C1E1,8))</f>
        <v/>
      </c>
      <c r="G622" s="59"/>
      <c r="H622" s="26" t="str">
        <f>IF(OR(I.Developer.P1=FALSE,I.Facility.StandardPart="Part 2"),"Complete",IF(I.Product.P1GasToPower="No","Complete",IF(AND(I.Gas.P1Count&gt;=8,F622=""),"Incomplete","Complete")))</f>
        <v>Complete</v>
      </c>
      <c r="I622" s="39" t="s">
        <v>818</v>
      </c>
    </row>
    <row r="623" spans="2:9" ht="15" customHeight="1" x14ac:dyDescent="0.25">
      <c r="B623" s="37" t="s">
        <v>810</v>
      </c>
      <c r="C623" s="26">
        <v>9</v>
      </c>
      <c r="D623" s="38" t="s">
        <v>2682</v>
      </c>
      <c r="E623" s="59"/>
      <c r="F623" s="59" t="str">
        <f>IF(INDEX(I.Gas.P1C1E1,9)="","",INDEX(I.Gas.P1C1E1,9))</f>
        <v/>
      </c>
      <c r="G623" s="59"/>
      <c r="H623" s="26" t="str">
        <f>IF(OR(I.Developer.P1=FALSE,I.Facility.StandardPart="Part 2"),"Complete",IF(I.Product.P1GasToPower="No","Complete",IF(AND(I.Gas.P1Count&gt;=9,F623=""),"Incomplete","Complete")))</f>
        <v>Complete</v>
      </c>
      <c r="I623" s="39" t="s">
        <v>819</v>
      </c>
    </row>
    <row r="624" spans="2:9" ht="15" customHeight="1" x14ac:dyDescent="0.25">
      <c r="B624" s="37" t="s">
        <v>810</v>
      </c>
      <c r="C624" s="26">
        <v>10</v>
      </c>
      <c r="D624" s="38" t="s">
        <v>2682</v>
      </c>
      <c r="E624" s="59"/>
      <c r="F624" s="59" t="str">
        <f>IF(INDEX(I.Gas.P1C1E1,10)="","",INDEX(I.Gas.P1C1E1,10))</f>
        <v/>
      </c>
      <c r="G624" s="59"/>
      <c r="H624" s="26" t="str">
        <f>IF(OR(I.Developer.P1=FALSE,I.Facility.StandardPart="Part 2"),"Complete",IF(I.Product.P1GasToPower="No","Complete",IF(AND(I.Gas.P1Count&gt;=10,F624=""),"Incomplete","Complete")))</f>
        <v>Complete</v>
      </c>
      <c r="I624" s="39" t="s">
        <v>820</v>
      </c>
    </row>
    <row r="625" spans="2:9" ht="15" customHeight="1" x14ac:dyDescent="0.25">
      <c r="B625" s="37" t="s">
        <v>810</v>
      </c>
      <c r="C625" s="26">
        <v>11</v>
      </c>
      <c r="D625" s="38" t="s">
        <v>2682</v>
      </c>
      <c r="E625" s="59"/>
      <c r="F625" s="59" t="str">
        <f>IF(INDEX(I.Gas.P1C1E1,11)="","",INDEX(I.Gas.P1C1E1,11))</f>
        <v/>
      </c>
      <c r="G625" s="59"/>
      <c r="H625" s="26" t="str">
        <f>IF(OR(I.Developer.P1=FALSE,I.Facility.StandardPart="Part 2"),"Complete",IF(I.Product.P1GasToPower="No","Complete",IF(AND(I.Gas.P1Count&gt;=11,F625=""),"Incomplete","Complete")))</f>
        <v>Complete</v>
      </c>
      <c r="I625" s="39" t="s">
        <v>821</v>
      </c>
    </row>
    <row r="626" spans="2:9" ht="15" customHeight="1" x14ac:dyDescent="0.25">
      <c r="B626" s="37" t="s">
        <v>810</v>
      </c>
      <c r="C626" s="26">
        <v>12</v>
      </c>
      <c r="D626" s="38" t="s">
        <v>2682</v>
      </c>
      <c r="E626" s="59"/>
      <c r="F626" s="59" t="str">
        <f>IF(INDEX(I.Gas.P1C1E1,12)="","",INDEX(I.Gas.P1C1E1,12))</f>
        <v/>
      </c>
      <c r="G626" s="59"/>
      <c r="H626" s="26" t="str">
        <f>IF(OR(I.Developer.P1=FALSE,I.Facility.StandardPart="Part 2"),"Complete",IF(I.Product.P1GasToPower="No","Complete",IF(AND(I.Gas.P1Count&gt;=12,F626=""),"Incomplete","Complete")))</f>
        <v>Complete</v>
      </c>
      <c r="I626" s="39" t="s">
        <v>822</v>
      </c>
    </row>
    <row r="627" spans="2:9" ht="15" customHeight="1" x14ac:dyDescent="0.25">
      <c r="B627" s="37" t="s">
        <v>810</v>
      </c>
      <c r="C627" s="26">
        <v>13</v>
      </c>
      <c r="D627" s="38" t="s">
        <v>2682</v>
      </c>
      <c r="E627" s="59"/>
      <c r="F627" s="59" t="str">
        <f>IF(INDEX(I.Gas.P1C1E1,13)="","",INDEX(I.Gas.P1C1E1,13))</f>
        <v/>
      </c>
      <c r="G627" s="59"/>
      <c r="H627" s="26" t="str">
        <f>IF(OR(I.Developer.P1=FALSE,I.Facility.StandardPart="Part 2"),"Complete",IF(I.Product.P1GasToPower="No","Complete",IF(AND(I.Gas.P1Count&gt;=13,F627=""),"Incomplete","Complete")))</f>
        <v>Complete</v>
      </c>
      <c r="I627" s="39" t="s">
        <v>823</v>
      </c>
    </row>
    <row r="628" spans="2:9" ht="15" customHeight="1" x14ac:dyDescent="0.25">
      <c r="B628" s="37" t="s">
        <v>810</v>
      </c>
      <c r="C628" s="26">
        <v>14</v>
      </c>
      <c r="D628" s="38" t="s">
        <v>2682</v>
      </c>
      <c r="E628" s="59"/>
      <c r="F628" s="59" t="str">
        <f>IF(INDEX(I.Gas.P1C1E1,14)="","",INDEX(I.Gas.P1C1E1,14))</f>
        <v/>
      </c>
      <c r="G628" s="59"/>
      <c r="H628" s="26" t="str">
        <f>IF(OR(I.Developer.P1=FALSE,I.Facility.StandardPart="Part 2"),"Complete",IF(I.Product.P1GasToPower="No","Complete",IF(AND(I.Gas.P1Count&gt;=14,F628=""),"Incomplete","Complete")))</f>
        <v>Complete</v>
      </c>
      <c r="I628" s="39" t="s">
        <v>824</v>
      </c>
    </row>
    <row r="629" spans="2:9" ht="15" customHeight="1" x14ac:dyDescent="0.25">
      <c r="B629" s="37" t="s">
        <v>810</v>
      </c>
      <c r="C629" s="26">
        <v>15</v>
      </c>
      <c r="D629" s="38" t="s">
        <v>2682</v>
      </c>
      <c r="E629" s="59"/>
      <c r="F629" s="59" t="str">
        <f>IF(INDEX(I.Gas.P1C1E1,15)="","",INDEX(I.Gas.P1C1E1,15))</f>
        <v/>
      </c>
      <c r="G629" s="59"/>
      <c r="H629" s="26" t="str">
        <f>IF(OR(I.Developer.P1=FALSE,I.Facility.StandardPart="Part 2"),"Complete",IF(I.Product.P1GasToPower="No","Complete",IF(AND(I.Gas.P1Count&gt;=15,F629=""),"Incomplete","Complete")))</f>
        <v>Complete</v>
      </c>
      <c r="I629" s="39" t="s">
        <v>825</v>
      </c>
    </row>
    <row r="630" spans="2:9" ht="15" customHeight="1" x14ac:dyDescent="0.25">
      <c r="B630" s="37" t="s">
        <v>810</v>
      </c>
      <c r="C630" s="26">
        <v>16</v>
      </c>
      <c r="D630" s="38" t="s">
        <v>2682</v>
      </c>
      <c r="E630" s="59"/>
      <c r="F630" s="59" t="str">
        <f>IF(INDEX(I.Gas.P1C1E1,16)="","",INDEX(I.Gas.P1C1E1,16))</f>
        <v/>
      </c>
      <c r="G630" s="59"/>
      <c r="H630" s="26" t="str">
        <f>IF(OR(I.Developer.P1=FALSE,I.Facility.StandardPart="Part 2"),"Complete",IF(I.Product.P1GasToPower="No","Complete",IF(AND(I.Gas.P1Count&gt;=16,F630=""),"Incomplete","Complete")))</f>
        <v>Complete</v>
      </c>
      <c r="I630" s="39" t="s">
        <v>826</v>
      </c>
    </row>
    <row r="631" spans="2:9" ht="15" customHeight="1" x14ac:dyDescent="0.25">
      <c r="B631" s="37" t="s">
        <v>810</v>
      </c>
      <c r="C631" s="26">
        <v>17</v>
      </c>
      <c r="D631" s="38" t="s">
        <v>2682</v>
      </c>
      <c r="E631" s="59"/>
      <c r="F631" s="59" t="str">
        <f>IF(INDEX(I.Gas.P1C1E1,17)="","",INDEX(I.Gas.P1C1E1,17))</f>
        <v/>
      </c>
      <c r="G631" s="59"/>
      <c r="H631" s="26" t="str">
        <f>IF(OR(I.Developer.P1=FALSE,I.Facility.StandardPart="Part 2"),"Complete",IF(I.Product.P1GasToPower="No","Complete",IF(AND(I.Gas.P1Count&gt;=17,F631=""),"Incomplete","Complete")))</f>
        <v>Complete</v>
      </c>
      <c r="I631" s="39" t="s">
        <v>827</v>
      </c>
    </row>
    <row r="632" spans="2:9" ht="15" customHeight="1" x14ac:dyDescent="0.25">
      <c r="B632" s="37" t="s">
        <v>810</v>
      </c>
      <c r="C632" s="26">
        <v>18</v>
      </c>
      <c r="D632" s="38" t="s">
        <v>2682</v>
      </c>
      <c r="E632" s="59"/>
      <c r="F632" s="59" t="str">
        <f>IF(INDEX(I.Gas.P1C1E1,18)="","",INDEX(I.Gas.P1C1E1,18))</f>
        <v/>
      </c>
      <c r="G632" s="59"/>
      <c r="H632" s="26" t="str">
        <f>IF(OR(I.Developer.P1=FALSE,I.Facility.StandardPart="Part 2"),"Complete",IF(I.Product.P1GasToPower="No","Complete",IF(AND(I.Gas.P1Count&gt;=18,F632=""),"Incomplete","Complete")))</f>
        <v>Complete</v>
      </c>
      <c r="I632" s="39" t="s">
        <v>828</v>
      </c>
    </row>
    <row r="633" spans="2:9" ht="15" customHeight="1" x14ac:dyDescent="0.25">
      <c r="B633" s="37" t="s">
        <v>810</v>
      </c>
      <c r="C633" s="26">
        <v>19</v>
      </c>
      <c r="D633" s="38" t="s">
        <v>2682</v>
      </c>
      <c r="E633" s="59"/>
      <c r="F633" s="59" t="str">
        <f>IF(INDEX(I.Gas.P1C1E1,19)="","",INDEX(I.Gas.P1C1E1,19))</f>
        <v/>
      </c>
      <c r="G633" s="59"/>
      <c r="H633" s="26" t="str">
        <f>IF(OR(I.Developer.P1=FALSE,I.Facility.StandardPart="Part 2"),"Complete",IF(I.Product.P1GasToPower="No","Complete",IF(AND(I.Gas.P1Count&gt;=19,F633=""),"Incomplete","Complete")))</f>
        <v>Complete</v>
      </c>
      <c r="I633" s="39" t="s">
        <v>829</v>
      </c>
    </row>
    <row r="634" spans="2:9" ht="15" customHeight="1" x14ac:dyDescent="0.25">
      <c r="B634" s="37" t="s">
        <v>810</v>
      </c>
      <c r="C634" s="26">
        <v>20</v>
      </c>
      <c r="D634" s="38" t="s">
        <v>2682</v>
      </c>
      <c r="E634" s="59"/>
      <c r="F634" s="59" t="str">
        <f>IF(INDEX(I.Gas.P1C1E1,20)="","",INDEX(I.Gas.P1C1E1,20))</f>
        <v/>
      </c>
      <c r="G634" s="59"/>
      <c r="H634" s="26" t="str">
        <f>IF(OR(I.Developer.P1=FALSE,I.Facility.StandardPart="Part 2"),"Complete",IF(I.Product.P1GasToPower="No","Complete",IF(AND(I.Gas.P1Count&gt;=20,F634=""),"Incomplete","Complete")))</f>
        <v>Complete</v>
      </c>
      <c r="I634" s="39" t="s">
        <v>830</v>
      </c>
    </row>
    <row r="635" spans="2:9" ht="15" customHeight="1" x14ac:dyDescent="0.25">
      <c r="B635" s="37" t="s">
        <v>810</v>
      </c>
      <c r="C635" s="26">
        <v>21</v>
      </c>
      <c r="D635" s="38" t="s">
        <v>2682</v>
      </c>
      <c r="E635" s="59"/>
      <c r="F635" s="59" t="str">
        <f>IF(INDEX(I.Gas.P1C1E1,21)="","",INDEX(I.Gas.P1C1E1,21))</f>
        <v/>
      </c>
      <c r="G635" s="59"/>
      <c r="H635" s="26" t="str">
        <f>IF(OR(I.Developer.P1=FALSE,I.Facility.StandardPart="Part 2"),"Complete",IF(I.Product.P1GasToPower="No","Complete",IF(AND(I.Gas.P1Count&gt;=21,F635=""),"Incomplete","Complete")))</f>
        <v>Complete</v>
      </c>
      <c r="I635" s="39" t="s">
        <v>831</v>
      </c>
    </row>
    <row r="636" spans="2:9" ht="15" customHeight="1" x14ac:dyDescent="0.25">
      <c r="B636" s="37" t="s">
        <v>810</v>
      </c>
      <c r="C636" s="26">
        <v>22</v>
      </c>
      <c r="D636" s="38" t="s">
        <v>2682</v>
      </c>
      <c r="E636" s="59"/>
      <c r="F636" s="59" t="str">
        <f>IF(INDEX(I.Gas.P1C1E1,22)="","",INDEX(I.Gas.P1C1E1,22))</f>
        <v/>
      </c>
      <c r="G636" s="59"/>
      <c r="H636" s="26" t="str">
        <f>IF(OR(I.Developer.P1=FALSE,I.Facility.StandardPart="Part 2"),"Complete",IF(I.Product.P1GasToPower="No","Complete",IF(AND(I.Gas.P1Count&gt;=22,F636=""),"Incomplete","Complete")))</f>
        <v>Complete</v>
      </c>
      <c r="I636" s="39" t="s">
        <v>832</v>
      </c>
    </row>
    <row r="637" spans="2:9" ht="15" customHeight="1" x14ac:dyDescent="0.25">
      <c r="B637" s="37" t="s">
        <v>810</v>
      </c>
      <c r="C637" s="26">
        <v>23</v>
      </c>
      <c r="D637" s="38" t="s">
        <v>2682</v>
      </c>
      <c r="E637" s="59"/>
      <c r="F637" s="59" t="str">
        <f>IF(INDEX(I.Gas.P1C1E1,23)="","",INDEX(I.Gas.P1C1E1,23))</f>
        <v/>
      </c>
      <c r="G637" s="59"/>
      <c r="H637" s="26" t="str">
        <f>IF(OR(I.Developer.P1=FALSE,I.Facility.StandardPart="Part 2"),"Complete",IF(I.Product.P1GasToPower="No","Complete",IF(AND(I.Gas.P1Count&gt;=23,F637=""),"Incomplete","Complete")))</f>
        <v>Complete</v>
      </c>
      <c r="I637" s="39" t="s">
        <v>833</v>
      </c>
    </row>
    <row r="638" spans="2:9" ht="15" customHeight="1" x14ac:dyDescent="0.25">
      <c r="B638" s="37" t="s">
        <v>810</v>
      </c>
      <c r="C638" s="26">
        <v>24</v>
      </c>
      <c r="D638" s="38" t="s">
        <v>2682</v>
      </c>
      <c r="E638" s="59"/>
      <c r="F638" s="59" t="str">
        <f>IF(INDEX(I.Gas.P1C1E1,24)="","",INDEX(I.Gas.P1C1E1,24))</f>
        <v/>
      </c>
      <c r="G638" s="59"/>
      <c r="H638" s="26" t="str">
        <f>IF(OR(I.Developer.P1=FALSE,I.Facility.StandardPart="Part 2"),"Complete",IF(I.Product.P1GasToPower="No","Complete",IF(AND(I.Gas.P1Count&gt;=24,F638=""),"Incomplete","Complete")))</f>
        <v>Complete</v>
      </c>
      <c r="I638" s="39" t="s">
        <v>834</v>
      </c>
    </row>
    <row r="639" spans="2:9" ht="15" customHeight="1" x14ac:dyDescent="0.25">
      <c r="B639" s="37" t="s">
        <v>810</v>
      </c>
      <c r="C639" s="26">
        <v>25</v>
      </c>
      <c r="D639" s="38" t="s">
        <v>2682</v>
      </c>
      <c r="E639" s="59"/>
      <c r="F639" s="59" t="str">
        <f>IF(INDEX(I.Gas.P1C1E1,25)="","",INDEX(I.Gas.P1C1E1,25))</f>
        <v/>
      </c>
      <c r="G639" s="59"/>
      <c r="H639" s="26" t="str">
        <f>IF(OR(I.Developer.P1=FALSE,I.Facility.StandardPart="Part 2"),"Complete",IF(I.Product.P1GasToPower="No","Complete",IF(AND(I.Gas.P1Count&gt;=25,F639=""),"Incomplete","Complete")))</f>
        <v>Complete</v>
      </c>
      <c r="I639" s="39" t="s">
        <v>835</v>
      </c>
    </row>
    <row r="640" spans="2:9" ht="15" customHeight="1" x14ac:dyDescent="0.25">
      <c r="B640" s="37" t="s">
        <v>810</v>
      </c>
      <c r="C640" s="26">
        <v>26</v>
      </c>
      <c r="D640" s="38" t="s">
        <v>2682</v>
      </c>
      <c r="E640" s="59"/>
      <c r="F640" s="59" t="str">
        <f>IF(INDEX(I.Gas.P1C1E1,26)="","",INDEX(I.Gas.P1C1E1,26))</f>
        <v/>
      </c>
      <c r="G640" s="59"/>
      <c r="H640" s="26" t="str">
        <f>IF(OR(I.Developer.P1=FALSE,I.Facility.StandardPart="Part 2"),"Complete",IF(I.Product.P1GasToPower="No","Complete",IF(AND(I.Gas.P1Count&gt;=26,F640=""),"Incomplete","Complete")))</f>
        <v>Complete</v>
      </c>
      <c r="I640" s="39" t="s">
        <v>836</v>
      </c>
    </row>
    <row r="641" spans="2:9" ht="15" customHeight="1" x14ac:dyDescent="0.25">
      <c r="B641" s="37" t="s">
        <v>810</v>
      </c>
      <c r="C641" s="26">
        <v>27</v>
      </c>
      <c r="D641" s="38" t="s">
        <v>2682</v>
      </c>
      <c r="E641" s="59"/>
      <c r="F641" s="59" t="str">
        <f>IF(INDEX(I.Gas.P1C1E1,27)="","",INDEX(I.Gas.P1C1E1,27))</f>
        <v/>
      </c>
      <c r="G641" s="59"/>
      <c r="H641" s="26" t="str">
        <f>IF(OR(I.Developer.P1=FALSE,I.Facility.StandardPart="Part 2"),"Complete",IF(I.Product.P1GasToPower="No","Complete",IF(AND(I.Gas.P1Count&gt;=27,F641=""),"Incomplete","Complete")))</f>
        <v>Complete</v>
      </c>
      <c r="I641" s="39" t="s">
        <v>837</v>
      </c>
    </row>
    <row r="642" spans="2:9" ht="15" customHeight="1" x14ac:dyDescent="0.25">
      <c r="B642" s="37" t="s">
        <v>810</v>
      </c>
      <c r="C642" s="26">
        <v>28</v>
      </c>
      <c r="D642" s="38" t="s">
        <v>2682</v>
      </c>
      <c r="E642" s="59"/>
      <c r="F642" s="59" t="str">
        <f>IF(INDEX(I.Gas.P1C1E1,28)="","",INDEX(I.Gas.P1C1E1,28))</f>
        <v/>
      </c>
      <c r="G642" s="59"/>
      <c r="H642" s="26" t="str">
        <f>IF(OR(I.Developer.P1=FALSE,I.Facility.StandardPart="Part 2"),"Complete",IF(I.Product.P1GasToPower="No","Complete",IF(AND(I.Gas.P1Count&gt;=28,F642=""),"Incomplete","Complete")))</f>
        <v>Complete</v>
      </c>
      <c r="I642" s="39" t="s">
        <v>838</v>
      </c>
    </row>
    <row r="643" spans="2:9" ht="15" customHeight="1" x14ac:dyDescent="0.25">
      <c r="B643" s="37" t="s">
        <v>810</v>
      </c>
      <c r="C643" s="26">
        <v>29</v>
      </c>
      <c r="D643" s="38" t="s">
        <v>2682</v>
      </c>
      <c r="E643" s="59"/>
      <c r="F643" s="59" t="str">
        <f>IF(INDEX(I.Gas.P1C1E1,29)="","",INDEX(I.Gas.P1C1E1,29))</f>
        <v/>
      </c>
      <c r="G643" s="59"/>
      <c r="H643" s="26" t="str">
        <f>IF(OR(I.Developer.P1=FALSE,I.Facility.StandardPart="Part 2"),"Complete",IF(I.Product.P1GasToPower="No","Complete",IF(AND(I.Gas.P1Count&gt;=29,F643=""),"Incomplete","Complete")))</f>
        <v>Complete</v>
      </c>
      <c r="I643" s="39" t="s">
        <v>839</v>
      </c>
    </row>
    <row r="644" spans="2:9" ht="15" customHeight="1" x14ac:dyDescent="0.25">
      <c r="B644" s="37" t="s">
        <v>810</v>
      </c>
      <c r="C644" s="26">
        <v>30</v>
      </c>
      <c r="D644" s="38" t="s">
        <v>2682</v>
      </c>
      <c r="E644" s="59"/>
      <c r="F644" s="59" t="str">
        <f>IF(INDEX(I.Gas.P1C1E1,30)="","",INDEX(I.Gas.P1C1E1,30))</f>
        <v/>
      </c>
      <c r="G644" s="59"/>
      <c r="H644" s="26" t="str">
        <f>IF(OR(I.Developer.P1=FALSE,I.Facility.StandardPart="Part 2"),"Complete",IF(I.Product.P1GasToPower="No","Complete",IF(AND(I.Gas.P1Count&gt;=30,F644=""),"Incomplete","Complete")))</f>
        <v>Complete</v>
      </c>
      <c r="I644" s="39" t="s">
        <v>840</v>
      </c>
    </row>
    <row r="645" spans="2:9" ht="15" customHeight="1" x14ac:dyDescent="0.25">
      <c r="B645" s="37" t="s">
        <v>810</v>
      </c>
      <c r="C645" s="26">
        <v>31</v>
      </c>
      <c r="D645" s="38" t="s">
        <v>2682</v>
      </c>
      <c r="E645" s="59"/>
      <c r="F645" s="59" t="str">
        <f>IF(INDEX(I.Gas.P1C1E1,31)="","",INDEX(I.Gas.P1C1E1,31))</f>
        <v/>
      </c>
      <c r="G645" s="59"/>
      <c r="H645" s="26" t="str">
        <f>IF(OR(I.Developer.P1=FALSE,I.Facility.StandardPart="Part 2"),"Complete",IF(I.Product.P1GasToPower="No","Complete",IF(AND(I.Gas.P1Count&gt;=31,F645=""),"Incomplete","Complete")))</f>
        <v>Complete</v>
      </c>
      <c r="I645" s="39" t="s">
        <v>841</v>
      </c>
    </row>
    <row r="646" spans="2:9" ht="15" customHeight="1" x14ac:dyDescent="0.25">
      <c r="B646" s="37" t="s">
        <v>810</v>
      </c>
      <c r="C646" s="26">
        <v>32</v>
      </c>
      <c r="D646" s="38" t="s">
        <v>2682</v>
      </c>
      <c r="E646" s="59"/>
      <c r="F646" s="59" t="str">
        <f>IF(INDEX(I.Gas.P1C1E1,32)="","",INDEX(I.Gas.P1C1E1,32))</f>
        <v/>
      </c>
      <c r="G646" s="59"/>
      <c r="H646" s="26" t="str">
        <f>IF(OR(I.Developer.P1=FALSE,I.Facility.StandardPart="Part 2"),"Complete",IF(I.Product.P1GasToPower="No","Complete",IF(AND(I.Gas.P1Count&gt;=32,F646=""),"Incomplete","Complete")))</f>
        <v>Complete</v>
      </c>
      <c r="I646" s="39" t="s">
        <v>842</v>
      </c>
    </row>
    <row r="647" spans="2:9" ht="15" customHeight="1" x14ac:dyDescent="0.25">
      <c r="B647" s="37" t="s">
        <v>810</v>
      </c>
      <c r="C647" s="26">
        <v>33</v>
      </c>
      <c r="D647" s="38" t="s">
        <v>2682</v>
      </c>
      <c r="E647" s="59"/>
      <c r="F647" s="59" t="str">
        <f>IF(INDEX(I.Gas.P1C1E1,33)="","",INDEX(I.Gas.P1C1E1,33))</f>
        <v/>
      </c>
      <c r="G647" s="59"/>
      <c r="H647" s="26" t="str">
        <f>IF(OR(I.Developer.P1=FALSE,I.Facility.StandardPart="Part 2"),"Complete",IF(I.Product.P1GasToPower="No","Complete",IF(AND(I.Gas.P1Count&gt;=33,F647=""),"Incomplete","Complete")))</f>
        <v>Complete</v>
      </c>
      <c r="I647" s="39" t="s">
        <v>843</v>
      </c>
    </row>
    <row r="648" spans="2:9" ht="15" customHeight="1" x14ac:dyDescent="0.25">
      <c r="B648" s="37" t="s">
        <v>810</v>
      </c>
      <c r="C648" s="26">
        <v>34</v>
      </c>
      <c r="D648" s="38" t="s">
        <v>2682</v>
      </c>
      <c r="E648" s="59"/>
      <c r="F648" s="59" t="str">
        <f>IF(INDEX(I.Gas.P1C1E1,34)="","",INDEX(I.Gas.P1C1E1,34))</f>
        <v/>
      </c>
      <c r="G648" s="59"/>
      <c r="H648" s="26" t="str">
        <f>IF(OR(I.Developer.P1=FALSE,I.Facility.StandardPart="Part 2"),"Complete",IF(I.Product.P1GasToPower="No","Complete",IF(AND(I.Gas.P1Count&gt;=34,F648=""),"Incomplete","Complete")))</f>
        <v>Complete</v>
      </c>
      <c r="I648" s="39" t="s">
        <v>844</v>
      </c>
    </row>
    <row r="649" spans="2:9" ht="15" customHeight="1" x14ac:dyDescent="0.25">
      <c r="B649" s="37" t="s">
        <v>810</v>
      </c>
      <c r="C649" s="26">
        <v>35</v>
      </c>
      <c r="D649" s="38" t="s">
        <v>2682</v>
      </c>
      <c r="E649" s="59"/>
      <c r="F649" s="59" t="str">
        <f>IF(INDEX(I.Gas.P1C1E1,35)="","",INDEX(I.Gas.P1C1E1,35))</f>
        <v/>
      </c>
      <c r="G649" s="59"/>
      <c r="H649" s="26" t="str">
        <f>IF(OR(I.Developer.P1=FALSE,I.Facility.StandardPart="Part 2"),"Complete",IF(I.Product.P1GasToPower="No","Complete",IF(AND(I.Gas.P1Count&gt;=35,F649=""),"Incomplete","Complete")))</f>
        <v>Complete</v>
      </c>
      <c r="I649" s="39" t="s">
        <v>845</v>
      </c>
    </row>
    <row r="650" spans="2:9" ht="15" customHeight="1" x14ac:dyDescent="0.25">
      <c r="B650" s="37" t="s">
        <v>810</v>
      </c>
      <c r="C650" s="26">
        <v>36</v>
      </c>
      <c r="D650" s="38" t="s">
        <v>2682</v>
      </c>
      <c r="E650" s="59"/>
      <c r="F650" s="59" t="str">
        <f>IF(INDEX(I.Gas.P1C1E1,36)="","",INDEX(I.Gas.P1C1E1,36))</f>
        <v/>
      </c>
      <c r="G650" s="59"/>
      <c r="H650" s="26" t="str">
        <f>IF(OR(I.Developer.P1=FALSE,I.Facility.StandardPart="Part 2"),"Complete",IF(I.Product.P1GasToPower="No","Complete",IF(AND(I.Gas.P1Count&gt;=36,F650=""),"Incomplete","Complete")))</f>
        <v>Complete</v>
      </c>
      <c r="I650" s="39" t="s">
        <v>846</v>
      </c>
    </row>
    <row r="651" spans="2:9" ht="15" customHeight="1" x14ac:dyDescent="0.25">
      <c r="B651" s="37" t="s">
        <v>810</v>
      </c>
      <c r="C651" s="26">
        <v>37</v>
      </c>
      <c r="D651" s="38" t="s">
        <v>2682</v>
      </c>
      <c r="E651" s="59"/>
      <c r="F651" s="59" t="str">
        <f>IF(INDEX(I.Gas.P1C1E1,37)="","",INDEX(I.Gas.P1C1E1,37))</f>
        <v/>
      </c>
      <c r="G651" s="59"/>
      <c r="H651" s="26" t="str">
        <f>IF(OR(I.Developer.P1=FALSE,I.Facility.StandardPart="Part 2"),"Complete",IF(I.Product.P1GasToPower="No","Complete",IF(AND(I.Gas.P1Count&gt;=37,F651=""),"Incomplete","Complete")))</f>
        <v>Complete</v>
      </c>
      <c r="I651" s="39" t="s">
        <v>847</v>
      </c>
    </row>
    <row r="652" spans="2:9" ht="15" customHeight="1" x14ac:dyDescent="0.25">
      <c r="B652" s="37" t="s">
        <v>810</v>
      </c>
      <c r="C652" s="26">
        <v>38</v>
      </c>
      <c r="D652" s="38" t="s">
        <v>2682</v>
      </c>
      <c r="E652" s="59"/>
      <c r="F652" s="59" t="str">
        <f>IF(INDEX(I.Gas.P1C1E1,38)="","",INDEX(I.Gas.P1C1E1,38))</f>
        <v/>
      </c>
      <c r="G652" s="59"/>
      <c r="H652" s="26" t="str">
        <f>IF(OR(I.Developer.P1=FALSE,I.Facility.StandardPart="Part 2"),"Complete",IF(I.Product.P1GasToPower="No","Complete",IF(AND(I.Gas.P1Count&gt;=38,F652=""),"Incomplete","Complete")))</f>
        <v>Complete</v>
      </c>
      <c r="I652" s="39" t="s">
        <v>848</v>
      </c>
    </row>
    <row r="653" spans="2:9" ht="15" customHeight="1" x14ac:dyDescent="0.25">
      <c r="B653" s="37" t="s">
        <v>810</v>
      </c>
      <c r="C653" s="26">
        <v>39</v>
      </c>
      <c r="D653" s="38" t="s">
        <v>2682</v>
      </c>
      <c r="E653" s="59"/>
      <c r="F653" s="59" t="str">
        <f>IF(INDEX(I.Gas.P1C1E1,39)="","",INDEX(I.Gas.P1C1E1,39))</f>
        <v/>
      </c>
      <c r="G653" s="59"/>
      <c r="H653" s="26" t="str">
        <f>IF(OR(I.Developer.P1=FALSE,I.Facility.StandardPart="Part 2"),"Complete",IF(I.Product.P1GasToPower="No","Complete",IF(AND(I.Gas.P1Count&gt;=39,F653=""),"Incomplete","Complete")))</f>
        <v>Complete</v>
      </c>
      <c r="I653" s="39" t="s">
        <v>849</v>
      </c>
    </row>
    <row r="654" spans="2:9" ht="15" customHeight="1" x14ac:dyDescent="0.25">
      <c r="B654" s="37" t="s">
        <v>810</v>
      </c>
      <c r="C654" s="26">
        <v>40</v>
      </c>
      <c r="D654" s="38" t="s">
        <v>2682</v>
      </c>
      <c r="E654" s="59"/>
      <c r="F654" s="59" t="str">
        <f>IF(INDEX(I.Gas.P1C1E1,40)="","",INDEX(I.Gas.P1C1E1,40))</f>
        <v/>
      </c>
      <c r="G654" s="59"/>
      <c r="H654" s="26" t="str">
        <f>IF(OR(I.Developer.P1=FALSE,I.Facility.StandardPart="Part 2"),"Complete",IF(I.Product.P1GasToPower="No","Complete",IF(AND(I.Gas.P1Count&gt;=40,F654=""),"Incomplete","Complete")))</f>
        <v>Complete</v>
      </c>
      <c r="I654" s="39" t="s">
        <v>850</v>
      </c>
    </row>
    <row r="655" spans="2:9" ht="15" customHeight="1" x14ac:dyDescent="0.25">
      <c r="B655" s="37" t="s">
        <v>810</v>
      </c>
      <c r="C655" s="26">
        <v>41</v>
      </c>
      <c r="D655" s="38" t="s">
        <v>2682</v>
      </c>
      <c r="E655" s="59"/>
      <c r="F655" s="59" t="str">
        <f>IF(INDEX(I.Gas.P1C1E1,41)="","",INDEX(I.Gas.P1C1E1,41))</f>
        <v/>
      </c>
      <c r="G655" s="59"/>
      <c r="H655" s="26" t="str">
        <f>IF(OR(I.Developer.P1=FALSE,I.Facility.StandardPart="Part 2"),"Complete",IF(I.Product.P1GasToPower="No","Complete",IF(AND(I.Gas.P1Count&gt;=41,F655=""),"Incomplete","Complete")))</f>
        <v>Complete</v>
      </c>
      <c r="I655" s="39" t="s">
        <v>851</v>
      </c>
    </row>
    <row r="656" spans="2:9" ht="15" customHeight="1" x14ac:dyDescent="0.25">
      <c r="B656" s="37" t="s">
        <v>810</v>
      </c>
      <c r="C656" s="26">
        <v>42</v>
      </c>
      <c r="D656" s="38" t="s">
        <v>2682</v>
      </c>
      <c r="E656" s="59"/>
      <c r="F656" s="59" t="str">
        <f>IF(INDEX(I.Gas.P1C1E1,42)="","",INDEX(I.Gas.P1C1E1,42))</f>
        <v/>
      </c>
      <c r="G656" s="59"/>
      <c r="H656" s="26" t="str">
        <f>IF(OR(I.Developer.P1=FALSE,I.Facility.StandardPart="Part 2"),"Complete",IF(I.Product.P1GasToPower="No","Complete",IF(AND(I.Gas.P1Count&gt;=42,F656=""),"Incomplete","Complete")))</f>
        <v>Complete</v>
      </c>
      <c r="I656" s="39" t="s">
        <v>852</v>
      </c>
    </row>
    <row r="657" spans="2:9" ht="15" customHeight="1" x14ac:dyDescent="0.25">
      <c r="B657" s="37" t="s">
        <v>810</v>
      </c>
      <c r="C657" s="26">
        <v>43</v>
      </c>
      <c r="D657" s="38" t="s">
        <v>2682</v>
      </c>
      <c r="E657" s="59"/>
      <c r="F657" s="59" t="str">
        <f>IF(INDEX(I.Gas.P1C1E1,43)="","",INDEX(I.Gas.P1C1E1,43))</f>
        <v/>
      </c>
      <c r="G657" s="59"/>
      <c r="H657" s="26" t="str">
        <f>IF(OR(I.Developer.P1=FALSE,I.Facility.StandardPart="Part 2"),"Complete",IF(I.Product.P1GasToPower="No","Complete",IF(AND(I.Gas.P1Count&gt;=43,F657=""),"Incomplete","Complete")))</f>
        <v>Complete</v>
      </c>
      <c r="I657" s="39" t="s">
        <v>853</v>
      </c>
    </row>
    <row r="658" spans="2:9" ht="15" customHeight="1" x14ac:dyDescent="0.25">
      <c r="B658" s="37" t="s">
        <v>810</v>
      </c>
      <c r="C658" s="26">
        <v>44</v>
      </c>
      <c r="D658" s="38" t="s">
        <v>2682</v>
      </c>
      <c r="E658" s="59"/>
      <c r="F658" s="59" t="str">
        <f>IF(INDEX(I.Gas.P1C1E1,44)="","",INDEX(I.Gas.P1C1E1,44))</f>
        <v/>
      </c>
      <c r="G658" s="59"/>
      <c r="H658" s="26" t="str">
        <f>IF(OR(I.Developer.P1=FALSE,I.Facility.StandardPart="Part 2"),"Complete",IF(I.Product.P1GasToPower="No","Complete",IF(AND(I.Gas.P1Count&gt;=44,F658=""),"Incomplete","Complete")))</f>
        <v>Complete</v>
      </c>
      <c r="I658" s="39" t="s">
        <v>854</v>
      </c>
    </row>
    <row r="659" spans="2:9" ht="15" customHeight="1" x14ac:dyDescent="0.25">
      <c r="B659" s="37" t="s">
        <v>810</v>
      </c>
      <c r="C659" s="26">
        <v>45</v>
      </c>
      <c r="D659" s="38" t="s">
        <v>2682</v>
      </c>
      <c r="E659" s="59"/>
      <c r="F659" s="59" t="str">
        <f>IF(INDEX(I.Gas.P1C1E1,45)="","",INDEX(I.Gas.P1C1E1,45))</f>
        <v/>
      </c>
      <c r="G659" s="59"/>
      <c r="H659" s="26" t="str">
        <f>IF(OR(I.Developer.P1=FALSE,I.Facility.StandardPart="Part 2"),"Complete",IF(I.Product.P1GasToPower="No","Complete",IF(AND(I.Gas.P1Count&gt;=45,F659=""),"Incomplete","Complete")))</f>
        <v>Complete</v>
      </c>
      <c r="I659" s="39" t="s">
        <v>855</v>
      </c>
    </row>
    <row r="660" spans="2:9" ht="15" customHeight="1" x14ac:dyDescent="0.25">
      <c r="B660" s="37" t="s">
        <v>810</v>
      </c>
      <c r="C660" s="26">
        <v>46</v>
      </c>
      <c r="D660" s="38" t="s">
        <v>2682</v>
      </c>
      <c r="E660" s="59"/>
      <c r="F660" s="59" t="str">
        <f>IF(INDEX(I.Gas.P1C1E1,46)="","",INDEX(I.Gas.P1C1E1,46))</f>
        <v/>
      </c>
      <c r="G660" s="59"/>
      <c r="H660" s="26" t="str">
        <f>IF(OR(I.Developer.P1=FALSE,I.Facility.StandardPart="Part 2"),"Complete",IF(I.Product.P1GasToPower="No","Complete",IF(AND(I.Gas.P1Count&gt;=46,F660=""),"Incomplete","Complete")))</f>
        <v>Complete</v>
      </c>
      <c r="I660" s="39" t="s">
        <v>856</v>
      </c>
    </row>
    <row r="661" spans="2:9" ht="15" customHeight="1" x14ac:dyDescent="0.25">
      <c r="B661" s="37" t="s">
        <v>810</v>
      </c>
      <c r="C661" s="26">
        <v>47</v>
      </c>
      <c r="D661" s="38" t="s">
        <v>2682</v>
      </c>
      <c r="E661" s="59"/>
      <c r="F661" s="59" t="str">
        <f>IF(INDEX(I.Gas.P1C1E1,47)="","",INDEX(I.Gas.P1C1E1,47))</f>
        <v/>
      </c>
      <c r="G661" s="59"/>
      <c r="H661" s="26" t="str">
        <f>IF(OR(I.Developer.P1=FALSE,I.Facility.StandardPart="Part 2"),"Complete",IF(I.Product.P1GasToPower="No","Complete",IF(AND(I.Gas.P1Count&gt;=47,F661=""),"Incomplete","Complete")))</f>
        <v>Complete</v>
      </c>
      <c r="I661" s="39" t="s">
        <v>857</v>
      </c>
    </row>
    <row r="662" spans="2:9" ht="15" customHeight="1" x14ac:dyDescent="0.25">
      <c r="B662" s="37" t="s">
        <v>810</v>
      </c>
      <c r="C662" s="26">
        <v>48</v>
      </c>
      <c r="D662" s="38" t="s">
        <v>2682</v>
      </c>
      <c r="E662" s="59"/>
      <c r="F662" s="59" t="str">
        <f>IF(INDEX(I.Gas.P1C1E1,48)="","",INDEX(I.Gas.P1C1E1,48))</f>
        <v/>
      </c>
      <c r="G662" s="59"/>
      <c r="H662" s="26" t="str">
        <f>IF(OR(I.Developer.P1=FALSE,I.Facility.StandardPart="Part 2"),"Complete",IF(I.Product.P1GasToPower="No","Complete",IF(AND(I.Gas.P1Count&gt;=48,F662=""),"Incomplete","Complete")))</f>
        <v>Complete</v>
      </c>
      <c r="I662" s="39" t="s">
        <v>858</v>
      </c>
    </row>
    <row r="663" spans="2:9" ht="15" customHeight="1" x14ac:dyDescent="0.25">
      <c r="B663" s="37" t="s">
        <v>810</v>
      </c>
      <c r="C663" s="26">
        <v>49</v>
      </c>
      <c r="D663" s="38" t="s">
        <v>2682</v>
      </c>
      <c r="E663" s="59"/>
      <c r="F663" s="59" t="str">
        <f>IF(INDEX(I.Gas.P1C1E1,49)="","",INDEX(I.Gas.P1C1E1,49))</f>
        <v/>
      </c>
      <c r="G663" s="59"/>
      <c r="H663" s="26" t="str">
        <f>IF(OR(I.Developer.P1=FALSE,I.Facility.StandardPart="Part 2"),"Complete",IF(I.Product.P1GasToPower="No","Complete",IF(AND(I.Gas.P1Count&gt;=49,F663=""),"Incomplete","Complete")))</f>
        <v>Complete</v>
      </c>
      <c r="I663" s="39" t="s">
        <v>859</v>
      </c>
    </row>
    <row r="664" spans="2:9" ht="15" customHeight="1" x14ac:dyDescent="0.25">
      <c r="B664" s="40" t="s">
        <v>810</v>
      </c>
      <c r="C664" s="46">
        <v>50</v>
      </c>
      <c r="D664" s="44" t="s">
        <v>2682</v>
      </c>
      <c r="E664" s="63"/>
      <c r="F664" s="63" t="str">
        <f>IF(INDEX(I.Gas.P1C1E1,50)="","",INDEX(I.Gas.P1C1E1,50))</f>
        <v/>
      </c>
      <c r="G664" s="63"/>
      <c r="H664" s="46" t="str">
        <f>IF(OR(I.Developer.P1=FALSE,I.Facility.StandardPart="Part 2"),"Complete",IF(I.Product.P1GasToPower="No","Complete",IF(AND(I.Gas.P1Count&gt;=50,F664=""),"Incomplete","Complete")))</f>
        <v>Complete</v>
      </c>
      <c r="I664" s="47" t="s">
        <v>860</v>
      </c>
    </row>
    <row r="665" spans="2:9" ht="15" customHeight="1" x14ac:dyDescent="0.25">
      <c r="B665" s="37" t="s">
        <v>861</v>
      </c>
      <c r="C665" s="26">
        <v>1</v>
      </c>
      <c r="D665" s="38" t="s">
        <v>2683</v>
      </c>
      <c r="E665" s="59"/>
      <c r="F665" s="59" t="str">
        <f>IF(INDEX(I.Gas.P1C1E2,1)="","",INDEX(I.Gas.P1C1E2,1))</f>
        <v/>
      </c>
      <c r="G665" s="59"/>
      <c r="H665" s="26" t="str">
        <f>IF(OR(I.Developer.P1=FALSE,I.Facility.StandardPart="Part 2"),"Complete",IF(I.Product.P1GasToPower="No","Complete",IF(AND(I.Gas.P1Count&gt;=1,F665=""),"Incomplete","Complete")))</f>
        <v>Complete</v>
      </c>
      <c r="I665" s="39" t="s">
        <v>862</v>
      </c>
    </row>
    <row r="666" spans="2:9" ht="15" customHeight="1" x14ac:dyDescent="0.25">
      <c r="B666" s="37" t="s">
        <v>861</v>
      </c>
      <c r="C666" s="26">
        <v>2</v>
      </c>
      <c r="D666" s="38" t="s">
        <v>2683</v>
      </c>
      <c r="E666" s="59"/>
      <c r="F666" s="59" t="str">
        <f>IF(INDEX(I.Gas.P1C1E2,2)="","",INDEX(I.Gas.P1C1E2,2))</f>
        <v/>
      </c>
      <c r="G666" s="59"/>
      <c r="H666" s="26" t="str">
        <f>IF(OR(I.Developer.P1=FALSE,I.Facility.StandardPart="Part 2"),"Complete",IF(I.Product.P1GasToPower="No","Complete",IF(AND(I.Gas.P1Count&gt;=2,F666=""),"Incomplete","Complete")))</f>
        <v>Complete</v>
      </c>
      <c r="I666" s="39" t="s">
        <v>863</v>
      </c>
    </row>
    <row r="667" spans="2:9" ht="15" customHeight="1" x14ac:dyDescent="0.25">
      <c r="B667" s="37" t="s">
        <v>861</v>
      </c>
      <c r="C667" s="26">
        <v>3</v>
      </c>
      <c r="D667" s="38" t="s">
        <v>2683</v>
      </c>
      <c r="E667" s="59"/>
      <c r="F667" s="59" t="str">
        <f>IF(INDEX(I.Gas.P1C1E2,3)="","",INDEX(I.Gas.P1C1E2,3))</f>
        <v/>
      </c>
      <c r="G667" s="59"/>
      <c r="H667" s="26" t="str">
        <f>IF(OR(I.Developer.P1=FALSE,I.Facility.StandardPart="Part 2"),"Complete",IF(I.Product.P1GasToPower="No","Complete",IF(AND(I.Gas.P1Count&gt;=3,F667=""),"Incomplete","Complete")))</f>
        <v>Complete</v>
      </c>
      <c r="I667" s="39" t="s">
        <v>864</v>
      </c>
    </row>
    <row r="668" spans="2:9" ht="15" customHeight="1" x14ac:dyDescent="0.25">
      <c r="B668" s="37" t="s">
        <v>861</v>
      </c>
      <c r="C668" s="26">
        <v>4</v>
      </c>
      <c r="D668" s="38" t="s">
        <v>2683</v>
      </c>
      <c r="E668" s="59"/>
      <c r="F668" s="59" t="str">
        <f>IF(INDEX(I.Gas.P1C1E2,4)="","",INDEX(I.Gas.P1C1E2,4))</f>
        <v/>
      </c>
      <c r="G668" s="59"/>
      <c r="H668" s="26" t="str">
        <f>IF(OR(I.Developer.P1=FALSE,I.Facility.StandardPart="Part 2"),"Complete",IF(I.Product.P1GasToPower="No","Complete",IF(AND(I.Gas.P1Count&gt;=4,F668=""),"Incomplete","Complete")))</f>
        <v>Complete</v>
      </c>
      <c r="I668" s="39" t="s">
        <v>865</v>
      </c>
    </row>
    <row r="669" spans="2:9" ht="15" customHeight="1" x14ac:dyDescent="0.25">
      <c r="B669" s="37" t="s">
        <v>861</v>
      </c>
      <c r="C669" s="26">
        <v>5</v>
      </c>
      <c r="D669" s="38" t="s">
        <v>2683</v>
      </c>
      <c r="E669" s="59"/>
      <c r="F669" s="59" t="str">
        <f>IF(INDEX(I.Gas.P1C1E2,5)="","",INDEX(I.Gas.P1C1E2,5))</f>
        <v/>
      </c>
      <c r="G669" s="59"/>
      <c r="H669" s="26" t="str">
        <f>IF(OR(I.Developer.P1=FALSE,I.Facility.StandardPart="Part 2"),"Complete",IF(I.Product.P1GasToPower="No","Complete",IF(AND(I.Gas.P1Count&gt;=5,F669=""),"Incomplete","Complete")))</f>
        <v>Complete</v>
      </c>
      <c r="I669" s="39" t="s">
        <v>866</v>
      </c>
    </row>
    <row r="670" spans="2:9" ht="15" customHeight="1" x14ac:dyDescent="0.25">
      <c r="B670" s="37" t="s">
        <v>861</v>
      </c>
      <c r="C670" s="26">
        <v>6</v>
      </c>
      <c r="D670" s="38" t="s">
        <v>2683</v>
      </c>
      <c r="E670" s="59"/>
      <c r="F670" s="59" t="str">
        <f>IF(INDEX(I.Gas.P1C1E2,6)="","",INDEX(I.Gas.P1C1E2,6))</f>
        <v/>
      </c>
      <c r="G670" s="59"/>
      <c r="H670" s="26" t="str">
        <f>IF(OR(I.Developer.P1=FALSE,I.Facility.StandardPart="Part 2"),"Complete",IF(I.Product.P1GasToPower="No","Complete",IF(AND(I.Gas.P1Count&gt;=6,F670=""),"Incomplete","Complete")))</f>
        <v>Complete</v>
      </c>
      <c r="I670" s="39" t="s">
        <v>867</v>
      </c>
    </row>
    <row r="671" spans="2:9" ht="15" customHeight="1" x14ac:dyDescent="0.25">
      <c r="B671" s="37" t="s">
        <v>861</v>
      </c>
      <c r="C671" s="26">
        <v>7</v>
      </c>
      <c r="D671" s="38" t="s">
        <v>2683</v>
      </c>
      <c r="E671" s="59"/>
      <c r="F671" s="59" t="str">
        <f>IF(INDEX(I.Gas.P1C1E2,7)="","",INDEX(I.Gas.P1C1E2,7))</f>
        <v/>
      </c>
      <c r="G671" s="59"/>
      <c r="H671" s="26" t="str">
        <f>IF(OR(I.Developer.P1=FALSE,I.Facility.StandardPart="Part 2"),"Complete",IF(I.Product.P1GasToPower="No","Complete",IF(AND(I.Gas.P1Count&gt;=7,F671=""),"Incomplete","Complete")))</f>
        <v>Complete</v>
      </c>
      <c r="I671" s="39" t="s">
        <v>868</v>
      </c>
    </row>
    <row r="672" spans="2:9" ht="15" customHeight="1" x14ac:dyDescent="0.25">
      <c r="B672" s="37" t="s">
        <v>861</v>
      </c>
      <c r="C672" s="26">
        <v>8</v>
      </c>
      <c r="D672" s="38" t="s">
        <v>2683</v>
      </c>
      <c r="E672" s="59"/>
      <c r="F672" s="59" t="str">
        <f>IF(INDEX(I.Gas.P1C1E2,8)="","",INDEX(I.Gas.P1C1E2,8))</f>
        <v/>
      </c>
      <c r="G672" s="59"/>
      <c r="H672" s="26" t="str">
        <f>IF(OR(I.Developer.P1=FALSE,I.Facility.StandardPart="Part 2"),"Complete",IF(I.Product.P1GasToPower="No","Complete",IF(AND(I.Gas.P1Count&gt;=8,F672=""),"Incomplete","Complete")))</f>
        <v>Complete</v>
      </c>
      <c r="I672" s="39" t="s">
        <v>869</v>
      </c>
    </row>
    <row r="673" spans="2:9" ht="15" customHeight="1" x14ac:dyDescent="0.25">
      <c r="B673" s="37" t="s">
        <v>861</v>
      </c>
      <c r="C673" s="26">
        <v>9</v>
      </c>
      <c r="D673" s="38" t="s">
        <v>2683</v>
      </c>
      <c r="E673" s="59"/>
      <c r="F673" s="59" t="str">
        <f>IF(INDEX(I.Gas.P1C1E2,9)="","",INDEX(I.Gas.P1C1E2,9))</f>
        <v/>
      </c>
      <c r="G673" s="59"/>
      <c r="H673" s="26" t="str">
        <f>IF(OR(I.Developer.P1=FALSE,I.Facility.StandardPart="Part 2"),"Complete",IF(I.Product.P1GasToPower="No","Complete",IF(AND(I.Gas.P1Count&gt;=9,F673=""),"Incomplete","Complete")))</f>
        <v>Complete</v>
      </c>
      <c r="I673" s="39" t="s">
        <v>870</v>
      </c>
    </row>
    <row r="674" spans="2:9" ht="15" customHeight="1" x14ac:dyDescent="0.25">
      <c r="B674" s="37" t="s">
        <v>861</v>
      </c>
      <c r="C674" s="26">
        <v>10</v>
      </c>
      <c r="D674" s="38" t="s">
        <v>2683</v>
      </c>
      <c r="E674" s="59"/>
      <c r="F674" s="59" t="str">
        <f>IF(INDEX(I.Gas.P1C1E2,10)="","",INDEX(I.Gas.P1C1E2,10))</f>
        <v/>
      </c>
      <c r="G674" s="59"/>
      <c r="H674" s="26" t="str">
        <f>IF(OR(I.Developer.P1=FALSE,I.Facility.StandardPart="Part 2"),"Complete",IF(I.Product.P1GasToPower="No","Complete",IF(AND(I.Gas.P1Count&gt;=10,F674=""),"Incomplete","Complete")))</f>
        <v>Complete</v>
      </c>
      <c r="I674" s="39" t="s">
        <v>871</v>
      </c>
    </row>
    <row r="675" spans="2:9" ht="15" customHeight="1" x14ac:dyDescent="0.25">
      <c r="B675" s="37" t="s">
        <v>861</v>
      </c>
      <c r="C675" s="26">
        <v>11</v>
      </c>
      <c r="D675" s="38" t="s">
        <v>2683</v>
      </c>
      <c r="E675" s="59"/>
      <c r="F675" s="59" t="str">
        <f>IF(INDEX(I.Gas.P1C1E2,11)="","",INDEX(I.Gas.P1C1E2,11))</f>
        <v/>
      </c>
      <c r="G675" s="59"/>
      <c r="H675" s="26" t="str">
        <f>IF(OR(I.Developer.P1=FALSE,I.Facility.StandardPart="Part 2"),"Complete",IF(I.Product.P1GasToPower="No","Complete",IF(AND(I.Gas.P1Count&gt;=11,F675=""),"Incomplete","Complete")))</f>
        <v>Complete</v>
      </c>
      <c r="I675" s="39" t="s">
        <v>872</v>
      </c>
    </row>
    <row r="676" spans="2:9" ht="15" customHeight="1" x14ac:dyDescent="0.25">
      <c r="B676" s="37" t="s">
        <v>861</v>
      </c>
      <c r="C676" s="26">
        <v>12</v>
      </c>
      <c r="D676" s="38" t="s">
        <v>2683</v>
      </c>
      <c r="E676" s="59"/>
      <c r="F676" s="59" t="str">
        <f>IF(INDEX(I.Gas.P1C1E2,12)="","",INDEX(I.Gas.P1C1E2,12))</f>
        <v/>
      </c>
      <c r="G676" s="59"/>
      <c r="H676" s="26" t="str">
        <f>IF(OR(I.Developer.P1=FALSE,I.Facility.StandardPart="Part 2"),"Complete",IF(I.Product.P1GasToPower="No","Complete",IF(AND(I.Gas.P1Count&gt;=12,F676=""),"Incomplete","Complete")))</f>
        <v>Complete</v>
      </c>
      <c r="I676" s="39" t="s">
        <v>873</v>
      </c>
    </row>
    <row r="677" spans="2:9" ht="15" customHeight="1" x14ac:dyDescent="0.25">
      <c r="B677" s="37" t="s">
        <v>861</v>
      </c>
      <c r="C677" s="26">
        <v>13</v>
      </c>
      <c r="D677" s="38" t="s">
        <v>2683</v>
      </c>
      <c r="E677" s="59"/>
      <c r="F677" s="59" t="str">
        <f>IF(INDEX(I.Gas.P1C1E2,13)="","",INDEX(I.Gas.P1C1E2,13))</f>
        <v/>
      </c>
      <c r="G677" s="59"/>
      <c r="H677" s="26" t="str">
        <f>IF(OR(I.Developer.P1=FALSE,I.Facility.StandardPart="Part 2"),"Complete",IF(I.Product.P1GasToPower="No","Complete",IF(AND(I.Gas.P1Count&gt;=13,F677=""),"Incomplete","Complete")))</f>
        <v>Complete</v>
      </c>
      <c r="I677" s="39" t="s">
        <v>874</v>
      </c>
    </row>
    <row r="678" spans="2:9" ht="15" customHeight="1" x14ac:dyDescent="0.25">
      <c r="B678" s="37" t="s">
        <v>861</v>
      </c>
      <c r="C678" s="26">
        <v>14</v>
      </c>
      <c r="D678" s="38" t="s">
        <v>2683</v>
      </c>
      <c r="E678" s="59"/>
      <c r="F678" s="59" t="str">
        <f>IF(INDEX(I.Gas.P1C1E2,14)="","",INDEX(I.Gas.P1C1E2,14))</f>
        <v/>
      </c>
      <c r="G678" s="59"/>
      <c r="H678" s="26" t="str">
        <f>IF(OR(I.Developer.P1=FALSE,I.Facility.StandardPart="Part 2"),"Complete",IF(I.Product.P1GasToPower="No","Complete",IF(AND(I.Gas.P1Count&gt;=14,F678=""),"Incomplete","Complete")))</f>
        <v>Complete</v>
      </c>
      <c r="I678" s="39" t="s">
        <v>875</v>
      </c>
    </row>
    <row r="679" spans="2:9" ht="15" customHeight="1" x14ac:dyDescent="0.25">
      <c r="B679" s="37" t="s">
        <v>861</v>
      </c>
      <c r="C679" s="26">
        <v>15</v>
      </c>
      <c r="D679" s="38" t="s">
        <v>2683</v>
      </c>
      <c r="E679" s="59"/>
      <c r="F679" s="59" t="str">
        <f>IF(INDEX(I.Gas.P1C1E2,15)="","",INDEX(I.Gas.P1C1E2,15))</f>
        <v/>
      </c>
      <c r="G679" s="59"/>
      <c r="H679" s="26" t="str">
        <f>IF(OR(I.Developer.P1=FALSE,I.Facility.StandardPart="Part 2"),"Complete",IF(I.Product.P1GasToPower="No","Complete",IF(AND(I.Gas.P1Count&gt;=15,F679=""),"Incomplete","Complete")))</f>
        <v>Complete</v>
      </c>
      <c r="I679" s="39" t="s">
        <v>876</v>
      </c>
    </row>
    <row r="680" spans="2:9" ht="15" customHeight="1" x14ac:dyDescent="0.25">
      <c r="B680" s="37" t="s">
        <v>861</v>
      </c>
      <c r="C680" s="26">
        <v>16</v>
      </c>
      <c r="D680" s="38" t="s">
        <v>2683</v>
      </c>
      <c r="E680" s="59"/>
      <c r="F680" s="59" t="str">
        <f>IF(INDEX(I.Gas.P1C1E2,16)="","",INDEX(I.Gas.P1C1E2,16))</f>
        <v/>
      </c>
      <c r="G680" s="59"/>
      <c r="H680" s="26" t="str">
        <f>IF(OR(I.Developer.P1=FALSE,I.Facility.StandardPart="Part 2"),"Complete",IF(I.Product.P1GasToPower="No","Complete",IF(AND(I.Gas.P1Count&gt;=16,F680=""),"Incomplete","Complete")))</f>
        <v>Complete</v>
      </c>
      <c r="I680" s="39" t="s">
        <v>877</v>
      </c>
    </row>
    <row r="681" spans="2:9" ht="15" customHeight="1" x14ac:dyDescent="0.25">
      <c r="B681" s="37" t="s">
        <v>861</v>
      </c>
      <c r="C681" s="26">
        <v>17</v>
      </c>
      <c r="D681" s="38" t="s">
        <v>2683</v>
      </c>
      <c r="E681" s="59"/>
      <c r="F681" s="59" t="str">
        <f>IF(INDEX(I.Gas.P1C1E2,17)="","",INDEX(I.Gas.P1C1E2,17))</f>
        <v/>
      </c>
      <c r="G681" s="59"/>
      <c r="H681" s="26" t="str">
        <f>IF(OR(I.Developer.P1=FALSE,I.Facility.StandardPart="Part 2"),"Complete",IF(I.Product.P1GasToPower="No","Complete",IF(AND(I.Gas.P1Count&gt;=17,F681=""),"Incomplete","Complete")))</f>
        <v>Complete</v>
      </c>
      <c r="I681" s="39" t="s">
        <v>878</v>
      </c>
    </row>
    <row r="682" spans="2:9" ht="15" customHeight="1" x14ac:dyDescent="0.25">
      <c r="B682" s="37" t="s">
        <v>861</v>
      </c>
      <c r="C682" s="26">
        <v>18</v>
      </c>
      <c r="D682" s="38" t="s">
        <v>2683</v>
      </c>
      <c r="E682" s="59"/>
      <c r="F682" s="59" t="str">
        <f>IF(INDEX(I.Gas.P1C1E2,18)="","",INDEX(I.Gas.P1C1E2,18))</f>
        <v/>
      </c>
      <c r="G682" s="59"/>
      <c r="H682" s="26" t="str">
        <f>IF(OR(I.Developer.P1=FALSE,I.Facility.StandardPart="Part 2"),"Complete",IF(I.Product.P1GasToPower="No","Complete",IF(AND(I.Gas.P1Count&gt;=18,F682=""),"Incomplete","Complete")))</f>
        <v>Complete</v>
      </c>
      <c r="I682" s="39" t="s">
        <v>879</v>
      </c>
    </row>
    <row r="683" spans="2:9" ht="15" customHeight="1" x14ac:dyDescent="0.25">
      <c r="B683" s="37" t="s">
        <v>861</v>
      </c>
      <c r="C683" s="26">
        <v>19</v>
      </c>
      <c r="D683" s="38" t="s">
        <v>2683</v>
      </c>
      <c r="E683" s="59"/>
      <c r="F683" s="59" t="str">
        <f>IF(INDEX(I.Gas.P1C1E2,19)="","",INDEX(I.Gas.P1C1E2,19))</f>
        <v/>
      </c>
      <c r="G683" s="59"/>
      <c r="H683" s="26" t="str">
        <f>IF(OR(I.Developer.P1=FALSE,I.Facility.StandardPart="Part 2"),"Complete",IF(I.Product.P1GasToPower="No","Complete",IF(AND(I.Gas.P1Count&gt;=19,F683=""),"Incomplete","Complete")))</f>
        <v>Complete</v>
      </c>
      <c r="I683" s="39" t="s">
        <v>880</v>
      </c>
    </row>
    <row r="684" spans="2:9" ht="15" customHeight="1" x14ac:dyDescent="0.25">
      <c r="B684" s="37" t="s">
        <v>861</v>
      </c>
      <c r="C684" s="26">
        <v>20</v>
      </c>
      <c r="D684" s="38" t="s">
        <v>2683</v>
      </c>
      <c r="E684" s="59"/>
      <c r="F684" s="59" t="str">
        <f>IF(INDEX(I.Gas.P1C1E2,20)="","",INDEX(I.Gas.P1C1E2,20))</f>
        <v/>
      </c>
      <c r="G684" s="59"/>
      <c r="H684" s="26" t="str">
        <f>IF(OR(I.Developer.P1=FALSE,I.Facility.StandardPart="Part 2"),"Complete",IF(I.Product.P1GasToPower="No","Complete",IF(AND(I.Gas.P1Count&gt;=20,F684=""),"Incomplete","Complete")))</f>
        <v>Complete</v>
      </c>
      <c r="I684" s="39" t="s">
        <v>881</v>
      </c>
    </row>
    <row r="685" spans="2:9" ht="15" customHeight="1" x14ac:dyDescent="0.25">
      <c r="B685" s="37" t="s">
        <v>861</v>
      </c>
      <c r="C685" s="26">
        <v>21</v>
      </c>
      <c r="D685" s="38" t="s">
        <v>2683</v>
      </c>
      <c r="E685" s="59"/>
      <c r="F685" s="59" t="str">
        <f>IF(INDEX(I.Gas.P1C1E2,21)="","",INDEX(I.Gas.P1C1E2,21))</f>
        <v/>
      </c>
      <c r="G685" s="59"/>
      <c r="H685" s="26" t="str">
        <f>IF(OR(I.Developer.P1=FALSE,I.Facility.StandardPart="Part 2"),"Complete",IF(I.Product.P1GasToPower="No","Complete",IF(AND(I.Gas.P1Count&gt;=21,F685=""),"Incomplete","Complete")))</f>
        <v>Complete</v>
      </c>
      <c r="I685" s="39" t="s">
        <v>882</v>
      </c>
    </row>
    <row r="686" spans="2:9" ht="15" customHeight="1" x14ac:dyDescent="0.25">
      <c r="B686" s="37" t="s">
        <v>861</v>
      </c>
      <c r="C686" s="26">
        <v>22</v>
      </c>
      <c r="D686" s="38" t="s">
        <v>2683</v>
      </c>
      <c r="E686" s="59"/>
      <c r="F686" s="59" t="str">
        <f>IF(INDEX(I.Gas.P1C1E2,22)="","",INDEX(I.Gas.P1C1E2,22))</f>
        <v/>
      </c>
      <c r="G686" s="59"/>
      <c r="H686" s="26" t="str">
        <f>IF(OR(I.Developer.P1=FALSE,I.Facility.StandardPart="Part 2"),"Complete",IF(I.Product.P1GasToPower="No","Complete",IF(AND(I.Gas.P1Count&gt;=22,F686=""),"Incomplete","Complete")))</f>
        <v>Complete</v>
      </c>
      <c r="I686" s="39" t="s">
        <v>883</v>
      </c>
    </row>
    <row r="687" spans="2:9" ht="15" customHeight="1" x14ac:dyDescent="0.25">
      <c r="B687" s="37" t="s">
        <v>861</v>
      </c>
      <c r="C687" s="26">
        <v>23</v>
      </c>
      <c r="D687" s="38" t="s">
        <v>2683</v>
      </c>
      <c r="E687" s="59"/>
      <c r="F687" s="59" t="str">
        <f>IF(INDEX(I.Gas.P1C1E2,23)="","",INDEX(I.Gas.P1C1E2,23))</f>
        <v/>
      </c>
      <c r="G687" s="59"/>
      <c r="H687" s="26" t="str">
        <f>IF(OR(I.Developer.P1=FALSE,I.Facility.StandardPart="Part 2"),"Complete",IF(I.Product.P1GasToPower="No","Complete",IF(AND(I.Gas.P1Count&gt;=23,F687=""),"Incomplete","Complete")))</f>
        <v>Complete</v>
      </c>
      <c r="I687" s="39" t="s">
        <v>884</v>
      </c>
    </row>
    <row r="688" spans="2:9" ht="15" customHeight="1" x14ac:dyDescent="0.25">
      <c r="B688" s="37" t="s">
        <v>861</v>
      </c>
      <c r="C688" s="26">
        <v>24</v>
      </c>
      <c r="D688" s="38" t="s">
        <v>2683</v>
      </c>
      <c r="E688" s="59"/>
      <c r="F688" s="59" t="str">
        <f>IF(INDEX(I.Gas.P1C1E2,24)="","",INDEX(I.Gas.P1C1E2,24))</f>
        <v/>
      </c>
      <c r="G688" s="59"/>
      <c r="H688" s="26" t="str">
        <f>IF(OR(I.Developer.P1=FALSE,I.Facility.StandardPart="Part 2"),"Complete",IF(I.Product.P1GasToPower="No","Complete",IF(AND(I.Gas.P1Count&gt;=24,F688=""),"Incomplete","Complete")))</f>
        <v>Complete</v>
      </c>
      <c r="I688" s="39" t="s">
        <v>885</v>
      </c>
    </row>
    <row r="689" spans="2:9" ht="15" customHeight="1" x14ac:dyDescent="0.25">
      <c r="B689" s="37" t="s">
        <v>861</v>
      </c>
      <c r="C689" s="26">
        <v>25</v>
      </c>
      <c r="D689" s="38" t="s">
        <v>2683</v>
      </c>
      <c r="E689" s="59"/>
      <c r="F689" s="59" t="str">
        <f>IF(INDEX(I.Gas.P1C1E2,25)="","",INDEX(I.Gas.P1C1E2,25))</f>
        <v/>
      </c>
      <c r="G689" s="59"/>
      <c r="H689" s="26" t="str">
        <f>IF(OR(I.Developer.P1=FALSE,I.Facility.StandardPart="Part 2"),"Complete",IF(I.Product.P1GasToPower="No","Complete",IF(AND(I.Gas.P1Count&gt;=25,F689=""),"Incomplete","Complete")))</f>
        <v>Complete</v>
      </c>
      <c r="I689" s="39" t="s">
        <v>886</v>
      </c>
    </row>
    <row r="690" spans="2:9" ht="15" customHeight="1" x14ac:dyDescent="0.25">
      <c r="B690" s="37" t="s">
        <v>861</v>
      </c>
      <c r="C690" s="26">
        <v>26</v>
      </c>
      <c r="D690" s="38" t="s">
        <v>2683</v>
      </c>
      <c r="E690" s="59"/>
      <c r="F690" s="59" t="str">
        <f>IF(INDEX(I.Gas.P1C1E2,26)="","",INDEX(I.Gas.P1C1E2,26))</f>
        <v/>
      </c>
      <c r="G690" s="59"/>
      <c r="H690" s="26" t="str">
        <f>IF(OR(I.Developer.P1=FALSE,I.Facility.StandardPart="Part 2"),"Complete",IF(I.Product.P1GasToPower="No","Complete",IF(AND(I.Gas.P1Count&gt;=26,F690=""),"Incomplete","Complete")))</f>
        <v>Complete</v>
      </c>
      <c r="I690" s="39" t="s">
        <v>887</v>
      </c>
    </row>
    <row r="691" spans="2:9" ht="15" customHeight="1" x14ac:dyDescent="0.25">
      <c r="B691" s="37" t="s">
        <v>861</v>
      </c>
      <c r="C691" s="26">
        <v>27</v>
      </c>
      <c r="D691" s="38" t="s">
        <v>2683</v>
      </c>
      <c r="E691" s="59"/>
      <c r="F691" s="59" t="str">
        <f>IF(INDEX(I.Gas.P1C1E2,27)="","",INDEX(I.Gas.P1C1E2,27))</f>
        <v/>
      </c>
      <c r="G691" s="59"/>
      <c r="H691" s="26" t="str">
        <f>IF(OR(I.Developer.P1=FALSE,I.Facility.StandardPart="Part 2"),"Complete",IF(I.Product.P1GasToPower="No","Complete",IF(AND(I.Gas.P1Count&gt;=27,F691=""),"Incomplete","Complete")))</f>
        <v>Complete</v>
      </c>
      <c r="I691" s="39" t="s">
        <v>888</v>
      </c>
    </row>
    <row r="692" spans="2:9" ht="15" customHeight="1" x14ac:dyDescent="0.25">
      <c r="B692" s="37" t="s">
        <v>861</v>
      </c>
      <c r="C692" s="26">
        <v>28</v>
      </c>
      <c r="D692" s="38" t="s">
        <v>2683</v>
      </c>
      <c r="E692" s="59"/>
      <c r="F692" s="59" t="str">
        <f>IF(INDEX(I.Gas.P1C1E2,28)="","",INDEX(I.Gas.P1C1E2,28))</f>
        <v/>
      </c>
      <c r="G692" s="59"/>
      <c r="H692" s="26" t="str">
        <f>IF(OR(I.Developer.P1=FALSE,I.Facility.StandardPart="Part 2"),"Complete",IF(I.Product.P1GasToPower="No","Complete",IF(AND(I.Gas.P1Count&gt;=28,F692=""),"Incomplete","Complete")))</f>
        <v>Complete</v>
      </c>
      <c r="I692" s="39" t="s">
        <v>889</v>
      </c>
    </row>
    <row r="693" spans="2:9" ht="15" customHeight="1" x14ac:dyDescent="0.25">
      <c r="B693" s="37" t="s">
        <v>861</v>
      </c>
      <c r="C693" s="26">
        <v>29</v>
      </c>
      <c r="D693" s="38" t="s">
        <v>2683</v>
      </c>
      <c r="E693" s="59"/>
      <c r="F693" s="59" t="str">
        <f>IF(INDEX(I.Gas.P1C1E2,29)="","",INDEX(I.Gas.P1C1E2,29))</f>
        <v/>
      </c>
      <c r="G693" s="59"/>
      <c r="H693" s="26" t="str">
        <f>IF(OR(I.Developer.P1=FALSE,I.Facility.StandardPart="Part 2"),"Complete",IF(I.Product.P1GasToPower="No","Complete",IF(AND(I.Gas.P1Count&gt;=29,F693=""),"Incomplete","Complete")))</f>
        <v>Complete</v>
      </c>
      <c r="I693" s="39" t="s">
        <v>890</v>
      </c>
    </row>
    <row r="694" spans="2:9" ht="15" customHeight="1" x14ac:dyDescent="0.25">
      <c r="B694" s="37" t="s">
        <v>861</v>
      </c>
      <c r="C694" s="26">
        <v>30</v>
      </c>
      <c r="D694" s="38" t="s">
        <v>2683</v>
      </c>
      <c r="E694" s="59"/>
      <c r="F694" s="59" t="str">
        <f>IF(INDEX(I.Gas.P1C1E2,30)="","",INDEX(I.Gas.P1C1E2,30))</f>
        <v/>
      </c>
      <c r="G694" s="59"/>
      <c r="H694" s="26" t="str">
        <f>IF(OR(I.Developer.P1=FALSE,I.Facility.StandardPart="Part 2"),"Complete",IF(I.Product.P1GasToPower="No","Complete",IF(AND(I.Gas.P1Count&gt;=30,F694=""),"Incomplete","Complete")))</f>
        <v>Complete</v>
      </c>
      <c r="I694" s="39" t="s">
        <v>891</v>
      </c>
    </row>
    <row r="695" spans="2:9" ht="15" customHeight="1" x14ac:dyDescent="0.25">
      <c r="B695" s="37" t="s">
        <v>861</v>
      </c>
      <c r="C695" s="26">
        <v>31</v>
      </c>
      <c r="D695" s="38" t="s">
        <v>2683</v>
      </c>
      <c r="E695" s="59"/>
      <c r="F695" s="59" t="str">
        <f>IF(INDEX(I.Gas.P1C1E2,31)="","",INDEX(I.Gas.P1C1E2,31))</f>
        <v/>
      </c>
      <c r="G695" s="59"/>
      <c r="H695" s="26" t="str">
        <f>IF(OR(I.Developer.P1=FALSE,I.Facility.StandardPart="Part 2"),"Complete",IF(I.Product.P1GasToPower="No","Complete",IF(AND(I.Gas.P1Count&gt;=31,F695=""),"Incomplete","Complete")))</f>
        <v>Complete</v>
      </c>
      <c r="I695" s="39" t="s">
        <v>892</v>
      </c>
    </row>
    <row r="696" spans="2:9" ht="15" customHeight="1" x14ac:dyDescent="0.25">
      <c r="B696" s="37" t="s">
        <v>861</v>
      </c>
      <c r="C696" s="26">
        <v>32</v>
      </c>
      <c r="D696" s="38" t="s">
        <v>2683</v>
      </c>
      <c r="E696" s="59"/>
      <c r="F696" s="59" t="str">
        <f>IF(INDEX(I.Gas.P1C1E2,32)="","",INDEX(I.Gas.P1C1E2,32))</f>
        <v/>
      </c>
      <c r="G696" s="59"/>
      <c r="H696" s="26" t="str">
        <f>IF(OR(I.Developer.P1=FALSE,I.Facility.StandardPart="Part 2"),"Complete",IF(I.Product.P1GasToPower="No","Complete",IF(AND(I.Gas.P1Count&gt;=32,F696=""),"Incomplete","Complete")))</f>
        <v>Complete</v>
      </c>
      <c r="I696" s="39" t="s">
        <v>893</v>
      </c>
    </row>
    <row r="697" spans="2:9" ht="15" customHeight="1" x14ac:dyDescent="0.25">
      <c r="B697" s="37" t="s">
        <v>861</v>
      </c>
      <c r="C697" s="26">
        <v>33</v>
      </c>
      <c r="D697" s="38" t="s">
        <v>2683</v>
      </c>
      <c r="E697" s="59"/>
      <c r="F697" s="59" t="str">
        <f>IF(INDEX(I.Gas.P1C1E2,33)="","",INDEX(I.Gas.P1C1E2,33))</f>
        <v/>
      </c>
      <c r="G697" s="59"/>
      <c r="H697" s="26" t="str">
        <f>IF(OR(I.Developer.P1=FALSE,I.Facility.StandardPart="Part 2"),"Complete",IF(I.Product.P1GasToPower="No","Complete",IF(AND(I.Gas.P1Count&gt;=33,F697=""),"Incomplete","Complete")))</f>
        <v>Complete</v>
      </c>
      <c r="I697" s="39" t="s">
        <v>894</v>
      </c>
    </row>
    <row r="698" spans="2:9" ht="15" customHeight="1" x14ac:dyDescent="0.25">
      <c r="B698" s="37" t="s">
        <v>861</v>
      </c>
      <c r="C698" s="26">
        <v>34</v>
      </c>
      <c r="D698" s="38" t="s">
        <v>2683</v>
      </c>
      <c r="E698" s="59"/>
      <c r="F698" s="59" t="str">
        <f>IF(INDEX(I.Gas.P1C1E2,34)="","",INDEX(I.Gas.P1C1E2,34))</f>
        <v/>
      </c>
      <c r="G698" s="59"/>
      <c r="H698" s="26" t="str">
        <f>IF(OR(I.Developer.P1=FALSE,I.Facility.StandardPart="Part 2"),"Complete",IF(I.Product.P1GasToPower="No","Complete",IF(AND(I.Gas.P1Count&gt;=34,F698=""),"Incomplete","Complete")))</f>
        <v>Complete</v>
      </c>
      <c r="I698" s="39" t="s">
        <v>895</v>
      </c>
    </row>
    <row r="699" spans="2:9" ht="15" customHeight="1" x14ac:dyDescent="0.25">
      <c r="B699" s="37" t="s">
        <v>861</v>
      </c>
      <c r="C699" s="26">
        <v>35</v>
      </c>
      <c r="D699" s="38" t="s">
        <v>2683</v>
      </c>
      <c r="E699" s="59"/>
      <c r="F699" s="59" t="str">
        <f>IF(INDEX(I.Gas.P1C1E2,35)="","",INDEX(I.Gas.P1C1E2,35))</f>
        <v/>
      </c>
      <c r="G699" s="59"/>
      <c r="H699" s="26" t="str">
        <f>IF(OR(I.Developer.P1=FALSE,I.Facility.StandardPart="Part 2"),"Complete",IF(I.Product.P1GasToPower="No","Complete",IF(AND(I.Gas.P1Count&gt;=35,F699=""),"Incomplete","Complete")))</f>
        <v>Complete</v>
      </c>
      <c r="I699" s="39" t="s">
        <v>896</v>
      </c>
    </row>
    <row r="700" spans="2:9" ht="15" customHeight="1" x14ac:dyDescent="0.25">
      <c r="B700" s="37" t="s">
        <v>861</v>
      </c>
      <c r="C700" s="26">
        <v>36</v>
      </c>
      <c r="D700" s="38" t="s">
        <v>2683</v>
      </c>
      <c r="E700" s="59"/>
      <c r="F700" s="59" t="str">
        <f>IF(INDEX(I.Gas.P1C1E2,36)="","",INDEX(I.Gas.P1C1E2,36))</f>
        <v/>
      </c>
      <c r="G700" s="59"/>
      <c r="H700" s="26" t="str">
        <f>IF(OR(I.Developer.P1=FALSE,I.Facility.StandardPart="Part 2"),"Complete",IF(I.Product.P1GasToPower="No","Complete",IF(AND(I.Gas.P1Count&gt;=36,F700=""),"Incomplete","Complete")))</f>
        <v>Complete</v>
      </c>
      <c r="I700" s="39" t="s">
        <v>897</v>
      </c>
    </row>
    <row r="701" spans="2:9" ht="15" customHeight="1" x14ac:dyDescent="0.25">
      <c r="B701" s="37" t="s">
        <v>861</v>
      </c>
      <c r="C701" s="26">
        <v>37</v>
      </c>
      <c r="D701" s="38" t="s">
        <v>2683</v>
      </c>
      <c r="E701" s="59"/>
      <c r="F701" s="59" t="str">
        <f>IF(INDEX(I.Gas.P1C1E2,37)="","",INDEX(I.Gas.P1C1E2,37))</f>
        <v/>
      </c>
      <c r="G701" s="59"/>
      <c r="H701" s="26" t="str">
        <f>IF(OR(I.Developer.P1=FALSE,I.Facility.StandardPart="Part 2"),"Complete",IF(I.Product.P1GasToPower="No","Complete",IF(AND(I.Gas.P1Count&gt;=37,F701=""),"Incomplete","Complete")))</f>
        <v>Complete</v>
      </c>
      <c r="I701" s="39" t="s">
        <v>898</v>
      </c>
    </row>
    <row r="702" spans="2:9" ht="15" customHeight="1" x14ac:dyDescent="0.25">
      <c r="B702" s="37" t="s">
        <v>861</v>
      </c>
      <c r="C702" s="26">
        <v>38</v>
      </c>
      <c r="D702" s="38" t="s">
        <v>2683</v>
      </c>
      <c r="E702" s="59"/>
      <c r="F702" s="59" t="str">
        <f>IF(INDEX(I.Gas.P1C1E2,38)="","",INDEX(I.Gas.P1C1E2,38))</f>
        <v/>
      </c>
      <c r="G702" s="59"/>
      <c r="H702" s="26" t="str">
        <f>IF(OR(I.Developer.P1=FALSE,I.Facility.StandardPart="Part 2"),"Complete",IF(I.Product.P1GasToPower="No","Complete",IF(AND(I.Gas.P1Count&gt;=38,F702=""),"Incomplete","Complete")))</f>
        <v>Complete</v>
      </c>
      <c r="I702" s="39" t="s">
        <v>899</v>
      </c>
    </row>
    <row r="703" spans="2:9" ht="15" customHeight="1" x14ac:dyDescent="0.25">
      <c r="B703" s="37" t="s">
        <v>861</v>
      </c>
      <c r="C703" s="26">
        <v>39</v>
      </c>
      <c r="D703" s="38" t="s">
        <v>2683</v>
      </c>
      <c r="E703" s="59"/>
      <c r="F703" s="59" t="str">
        <f>IF(INDEX(I.Gas.P1C1E2,39)="","",INDEX(I.Gas.P1C1E2,39))</f>
        <v/>
      </c>
      <c r="G703" s="59"/>
      <c r="H703" s="26" t="str">
        <f>IF(OR(I.Developer.P1=FALSE,I.Facility.StandardPart="Part 2"),"Complete",IF(I.Product.P1GasToPower="No","Complete",IF(AND(I.Gas.P1Count&gt;=39,F703=""),"Incomplete","Complete")))</f>
        <v>Complete</v>
      </c>
      <c r="I703" s="39" t="s">
        <v>900</v>
      </c>
    </row>
    <row r="704" spans="2:9" ht="15" customHeight="1" x14ac:dyDescent="0.25">
      <c r="B704" s="37" t="s">
        <v>861</v>
      </c>
      <c r="C704" s="26">
        <v>40</v>
      </c>
      <c r="D704" s="38" t="s">
        <v>2683</v>
      </c>
      <c r="E704" s="59"/>
      <c r="F704" s="59" t="str">
        <f>IF(INDEX(I.Gas.P1C1E2,40)="","",INDEX(I.Gas.P1C1E2,40))</f>
        <v/>
      </c>
      <c r="G704" s="59"/>
      <c r="H704" s="26" t="str">
        <f>IF(OR(I.Developer.P1=FALSE,I.Facility.StandardPart="Part 2"),"Complete",IF(I.Product.P1GasToPower="No","Complete",IF(AND(I.Gas.P1Count&gt;=40,F704=""),"Incomplete","Complete")))</f>
        <v>Complete</v>
      </c>
      <c r="I704" s="39" t="s">
        <v>901</v>
      </c>
    </row>
    <row r="705" spans="2:9" ht="15" customHeight="1" x14ac:dyDescent="0.25">
      <c r="B705" s="37" t="s">
        <v>861</v>
      </c>
      <c r="C705" s="26">
        <v>41</v>
      </c>
      <c r="D705" s="38" t="s">
        <v>2683</v>
      </c>
      <c r="E705" s="59"/>
      <c r="F705" s="59" t="str">
        <f>IF(INDEX(I.Gas.P1C1E2,41)="","",INDEX(I.Gas.P1C1E2,41))</f>
        <v/>
      </c>
      <c r="G705" s="59"/>
      <c r="H705" s="26" t="str">
        <f>IF(OR(I.Developer.P1=FALSE,I.Facility.StandardPart="Part 2"),"Complete",IF(I.Product.P1GasToPower="No","Complete",IF(AND(I.Gas.P1Count&gt;=41,F705=""),"Incomplete","Complete")))</f>
        <v>Complete</v>
      </c>
      <c r="I705" s="39" t="s">
        <v>902</v>
      </c>
    </row>
    <row r="706" spans="2:9" ht="15" customHeight="1" x14ac:dyDescent="0.25">
      <c r="B706" s="37" t="s">
        <v>861</v>
      </c>
      <c r="C706" s="26">
        <v>42</v>
      </c>
      <c r="D706" s="38" t="s">
        <v>2683</v>
      </c>
      <c r="E706" s="59"/>
      <c r="F706" s="59" t="str">
        <f>IF(INDEX(I.Gas.P1C1E2,42)="","",INDEX(I.Gas.P1C1E2,42))</f>
        <v/>
      </c>
      <c r="G706" s="59"/>
      <c r="H706" s="26" t="str">
        <f>IF(OR(I.Developer.P1=FALSE,I.Facility.StandardPart="Part 2"),"Complete",IF(I.Product.P1GasToPower="No","Complete",IF(AND(I.Gas.P1Count&gt;=42,F706=""),"Incomplete","Complete")))</f>
        <v>Complete</v>
      </c>
      <c r="I706" s="39" t="s">
        <v>903</v>
      </c>
    </row>
    <row r="707" spans="2:9" ht="15" customHeight="1" x14ac:dyDescent="0.25">
      <c r="B707" s="37" t="s">
        <v>861</v>
      </c>
      <c r="C707" s="26">
        <v>43</v>
      </c>
      <c r="D707" s="38" t="s">
        <v>2683</v>
      </c>
      <c r="E707" s="59"/>
      <c r="F707" s="59" t="str">
        <f>IF(INDEX(I.Gas.P1C1E2,43)="","",INDEX(I.Gas.P1C1E2,43))</f>
        <v/>
      </c>
      <c r="G707" s="59"/>
      <c r="H707" s="26" t="str">
        <f>IF(OR(I.Developer.P1=FALSE,I.Facility.StandardPart="Part 2"),"Complete",IF(I.Product.P1GasToPower="No","Complete",IF(AND(I.Gas.P1Count&gt;=43,F707=""),"Incomplete","Complete")))</f>
        <v>Complete</v>
      </c>
      <c r="I707" s="39" t="s">
        <v>904</v>
      </c>
    </row>
    <row r="708" spans="2:9" ht="15" customHeight="1" x14ac:dyDescent="0.25">
      <c r="B708" s="37" t="s">
        <v>861</v>
      </c>
      <c r="C708" s="26">
        <v>44</v>
      </c>
      <c r="D708" s="38" t="s">
        <v>2683</v>
      </c>
      <c r="E708" s="59"/>
      <c r="F708" s="59" t="str">
        <f>IF(INDEX(I.Gas.P1C1E2,44)="","",INDEX(I.Gas.P1C1E2,44))</f>
        <v/>
      </c>
      <c r="G708" s="59"/>
      <c r="H708" s="26" t="str">
        <f>IF(OR(I.Developer.P1=FALSE,I.Facility.StandardPart="Part 2"),"Complete",IF(I.Product.P1GasToPower="No","Complete",IF(AND(I.Gas.P1Count&gt;=44,F708=""),"Incomplete","Complete")))</f>
        <v>Complete</v>
      </c>
      <c r="I708" s="39" t="s">
        <v>905</v>
      </c>
    </row>
    <row r="709" spans="2:9" ht="15" customHeight="1" x14ac:dyDescent="0.25">
      <c r="B709" s="37" t="s">
        <v>861</v>
      </c>
      <c r="C709" s="26">
        <v>45</v>
      </c>
      <c r="D709" s="38" t="s">
        <v>2683</v>
      </c>
      <c r="E709" s="59"/>
      <c r="F709" s="59" t="str">
        <f>IF(INDEX(I.Gas.P1C1E2,45)="","",INDEX(I.Gas.P1C1E2,45))</f>
        <v/>
      </c>
      <c r="G709" s="59"/>
      <c r="H709" s="26" t="str">
        <f>IF(OR(I.Developer.P1=FALSE,I.Facility.StandardPart="Part 2"),"Complete",IF(I.Product.P1GasToPower="No","Complete",IF(AND(I.Gas.P1Count&gt;=45,F709=""),"Incomplete","Complete")))</f>
        <v>Complete</v>
      </c>
      <c r="I709" s="39" t="s">
        <v>906</v>
      </c>
    </row>
    <row r="710" spans="2:9" ht="15" customHeight="1" x14ac:dyDescent="0.25">
      <c r="B710" s="37" t="s">
        <v>861</v>
      </c>
      <c r="C710" s="26">
        <v>46</v>
      </c>
      <c r="D710" s="38" t="s">
        <v>2683</v>
      </c>
      <c r="E710" s="59"/>
      <c r="F710" s="59" t="str">
        <f>IF(INDEX(I.Gas.P1C1E2,46)="","",INDEX(I.Gas.P1C1E2,46))</f>
        <v/>
      </c>
      <c r="G710" s="59"/>
      <c r="H710" s="26" t="str">
        <f>IF(OR(I.Developer.P1=FALSE,I.Facility.StandardPart="Part 2"),"Complete",IF(I.Product.P1GasToPower="No","Complete",IF(AND(I.Gas.P1Count&gt;=46,F710=""),"Incomplete","Complete")))</f>
        <v>Complete</v>
      </c>
      <c r="I710" s="39" t="s">
        <v>907</v>
      </c>
    </row>
    <row r="711" spans="2:9" ht="15" customHeight="1" x14ac:dyDescent="0.25">
      <c r="B711" s="37" t="s">
        <v>861</v>
      </c>
      <c r="C711" s="26">
        <v>47</v>
      </c>
      <c r="D711" s="38" t="s">
        <v>2683</v>
      </c>
      <c r="E711" s="59"/>
      <c r="F711" s="59" t="str">
        <f>IF(INDEX(I.Gas.P1C1E2,47)="","",INDEX(I.Gas.P1C1E2,47))</f>
        <v/>
      </c>
      <c r="G711" s="59"/>
      <c r="H711" s="26" t="str">
        <f>IF(OR(I.Developer.P1=FALSE,I.Facility.StandardPart="Part 2"),"Complete",IF(I.Product.P1GasToPower="No","Complete",IF(AND(I.Gas.P1Count&gt;=47,F711=""),"Incomplete","Complete")))</f>
        <v>Complete</v>
      </c>
      <c r="I711" s="39" t="s">
        <v>908</v>
      </c>
    </row>
    <row r="712" spans="2:9" ht="15" customHeight="1" x14ac:dyDescent="0.25">
      <c r="B712" s="37" t="s">
        <v>861</v>
      </c>
      <c r="C712" s="26">
        <v>48</v>
      </c>
      <c r="D712" s="38" t="s">
        <v>2683</v>
      </c>
      <c r="E712" s="59"/>
      <c r="F712" s="59" t="str">
        <f>IF(INDEX(I.Gas.P1C1E2,48)="","",INDEX(I.Gas.P1C1E2,48))</f>
        <v/>
      </c>
      <c r="G712" s="59"/>
      <c r="H712" s="26" t="str">
        <f>IF(OR(I.Developer.P1=FALSE,I.Facility.StandardPart="Part 2"),"Complete",IF(I.Product.P1GasToPower="No","Complete",IF(AND(I.Gas.P1Count&gt;=48,F712=""),"Incomplete","Complete")))</f>
        <v>Complete</v>
      </c>
      <c r="I712" s="39" t="s">
        <v>909</v>
      </c>
    </row>
    <row r="713" spans="2:9" ht="15" customHeight="1" x14ac:dyDescent="0.25">
      <c r="B713" s="37" t="s">
        <v>861</v>
      </c>
      <c r="C713" s="26">
        <v>49</v>
      </c>
      <c r="D713" s="38" t="s">
        <v>2683</v>
      </c>
      <c r="E713" s="59"/>
      <c r="F713" s="59" t="str">
        <f>IF(INDEX(I.Gas.P1C1E2,49)="","",INDEX(I.Gas.P1C1E2,49))</f>
        <v/>
      </c>
      <c r="G713" s="59"/>
      <c r="H713" s="26" t="str">
        <f>IF(OR(I.Developer.P1=FALSE,I.Facility.StandardPart="Part 2"),"Complete",IF(I.Product.P1GasToPower="No","Complete",IF(AND(I.Gas.P1Count&gt;=49,F713=""),"Incomplete","Complete")))</f>
        <v>Complete</v>
      </c>
      <c r="I713" s="39" t="s">
        <v>910</v>
      </c>
    </row>
    <row r="714" spans="2:9" ht="15" customHeight="1" x14ac:dyDescent="0.25">
      <c r="B714" s="40" t="s">
        <v>861</v>
      </c>
      <c r="C714" s="46">
        <v>50</v>
      </c>
      <c r="D714" s="44" t="s">
        <v>2683</v>
      </c>
      <c r="E714" s="63"/>
      <c r="F714" s="63" t="str">
        <f>IF(INDEX(I.Gas.P1C1E2,50)="","",INDEX(I.Gas.P1C1E2,50))</f>
        <v/>
      </c>
      <c r="G714" s="63"/>
      <c r="H714" s="46" t="str">
        <f>IF(OR(I.Developer.P1=FALSE,I.Facility.StandardPart="Part 2"),"Complete",IF(I.Product.P1GasToPower="No","Complete",IF(AND(I.Gas.P1Count&gt;=50,F714=""),"Incomplete","Complete")))</f>
        <v>Complete</v>
      </c>
      <c r="I714" s="47" t="s">
        <v>911</v>
      </c>
    </row>
    <row r="715" spans="2:9" ht="15" customHeight="1" x14ac:dyDescent="0.25">
      <c r="B715" s="37" t="s">
        <v>912</v>
      </c>
      <c r="C715" s="26">
        <v>1</v>
      </c>
      <c r="D715" s="38" t="s">
        <v>2684</v>
      </c>
      <c r="E715" s="59"/>
      <c r="F715" s="59" t="str">
        <f>IF(INDEX(I.Gas.P1C1E3,1)="","",INDEX(I.Gas.P1C1E3,1))</f>
        <v/>
      </c>
      <c r="G715" s="59"/>
      <c r="H715" s="26" t="str">
        <f>IF(OR(I.Developer.P1=FALSE,I.Facility.StandardPart="Part 2"),"Complete",IF(I.Product.P1GasToPower="No","Complete",IF(AND(I.Gas.P1Count&gt;=1,F715=""),"Incomplete","Complete")))</f>
        <v>Complete</v>
      </c>
      <c r="I715" s="39" t="s">
        <v>913</v>
      </c>
    </row>
    <row r="716" spans="2:9" ht="15" customHeight="1" x14ac:dyDescent="0.25">
      <c r="B716" s="37" t="s">
        <v>912</v>
      </c>
      <c r="C716" s="26">
        <v>2</v>
      </c>
      <c r="D716" s="38" t="s">
        <v>2684</v>
      </c>
      <c r="E716" s="59"/>
      <c r="F716" s="59" t="str">
        <f>IF(INDEX(I.Gas.P1C1E3,2)="","",INDEX(I.Gas.P1C1E3,2))</f>
        <v/>
      </c>
      <c r="G716" s="59"/>
      <c r="H716" s="26" t="str">
        <f>IF(OR(I.Developer.P1=FALSE,I.Facility.StandardPart="Part 2"),"Complete",IF(I.Product.P1GasToPower="No","Complete",IF(AND(I.Gas.P1Count&gt;=2,F716=""),"Incomplete","Complete")))</f>
        <v>Complete</v>
      </c>
      <c r="I716" s="39" t="s">
        <v>914</v>
      </c>
    </row>
    <row r="717" spans="2:9" ht="15" customHeight="1" x14ac:dyDescent="0.25">
      <c r="B717" s="37" t="s">
        <v>912</v>
      </c>
      <c r="C717" s="26">
        <v>3</v>
      </c>
      <c r="D717" s="38" t="s">
        <v>2684</v>
      </c>
      <c r="E717" s="59"/>
      <c r="F717" s="59" t="str">
        <f>IF(INDEX(I.Gas.P1C1E3,3)="","",INDEX(I.Gas.P1C1E3,3))</f>
        <v/>
      </c>
      <c r="G717" s="59"/>
      <c r="H717" s="26" t="str">
        <f>IF(OR(I.Developer.P1=FALSE,I.Facility.StandardPart="Part 2"),"Complete",IF(I.Product.P1GasToPower="No","Complete",IF(AND(I.Gas.P1Count&gt;=3,F717=""),"Incomplete","Complete")))</f>
        <v>Complete</v>
      </c>
      <c r="I717" s="39" t="s">
        <v>915</v>
      </c>
    </row>
    <row r="718" spans="2:9" ht="15" customHeight="1" x14ac:dyDescent="0.25">
      <c r="B718" s="37" t="s">
        <v>912</v>
      </c>
      <c r="C718" s="26">
        <v>4</v>
      </c>
      <c r="D718" s="38" t="s">
        <v>2684</v>
      </c>
      <c r="E718" s="59"/>
      <c r="F718" s="59" t="str">
        <f>IF(INDEX(I.Gas.P1C1E3,4)="","",INDEX(I.Gas.P1C1E3,4))</f>
        <v/>
      </c>
      <c r="G718" s="59"/>
      <c r="H718" s="26" t="str">
        <f>IF(OR(I.Developer.P1=FALSE,I.Facility.StandardPart="Part 2"),"Complete",IF(I.Product.P1GasToPower="No","Complete",IF(AND(I.Gas.P1Count&gt;=4,F718=""),"Incomplete","Complete")))</f>
        <v>Complete</v>
      </c>
      <c r="I718" s="39" t="s">
        <v>916</v>
      </c>
    </row>
    <row r="719" spans="2:9" ht="15" customHeight="1" x14ac:dyDescent="0.25">
      <c r="B719" s="37" t="s">
        <v>912</v>
      </c>
      <c r="C719" s="26">
        <v>5</v>
      </c>
      <c r="D719" s="38" t="s">
        <v>2684</v>
      </c>
      <c r="E719" s="59"/>
      <c r="F719" s="59" t="str">
        <f>IF(INDEX(I.Gas.P1C1E3,5)="","",INDEX(I.Gas.P1C1E3,5))</f>
        <v/>
      </c>
      <c r="G719" s="59"/>
      <c r="H719" s="26" t="str">
        <f>IF(OR(I.Developer.P1=FALSE,I.Facility.StandardPart="Part 2"),"Complete",IF(I.Product.P1GasToPower="No","Complete",IF(AND(I.Gas.P1Count&gt;=5,F719=""),"Incomplete","Complete")))</f>
        <v>Complete</v>
      </c>
      <c r="I719" s="39" t="s">
        <v>917</v>
      </c>
    </row>
    <row r="720" spans="2:9" ht="15" customHeight="1" x14ac:dyDescent="0.25">
      <c r="B720" s="37" t="s">
        <v>912</v>
      </c>
      <c r="C720" s="26">
        <v>6</v>
      </c>
      <c r="D720" s="38" t="s">
        <v>2684</v>
      </c>
      <c r="E720" s="59"/>
      <c r="F720" s="59" t="str">
        <f>IF(INDEX(I.Gas.P1C1E3,6)="","",INDEX(I.Gas.P1C1E3,6))</f>
        <v/>
      </c>
      <c r="G720" s="59"/>
      <c r="H720" s="26" t="str">
        <f>IF(OR(I.Developer.P1=FALSE,I.Facility.StandardPart="Part 2"),"Complete",IF(I.Product.P1GasToPower="No","Complete",IF(AND(I.Gas.P1Count&gt;=6,F720=""),"Incomplete","Complete")))</f>
        <v>Complete</v>
      </c>
      <c r="I720" s="39" t="s">
        <v>918</v>
      </c>
    </row>
    <row r="721" spans="2:9" ht="15" customHeight="1" x14ac:dyDescent="0.25">
      <c r="B721" s="37" t="s">
        <v>912</v>
      </c>
      <c r="C721" s="26">
        <v>7</v>
      </c>
      <c r="D721" s="38" t="s">
        <v>2684</v>
      </c>
      <c r="E721" s="59"/>
      <c r="F721" s="59" t="str">
        <f>IF(INDEX(I.Gas.P1C1E3,7)="","",INDEX(I.Gas.P1C1E3,7))</f>
        <v/>
      </c>
      <c r="G721" s="59"/>
      <c r="H721" s="26" t="str">
        <f>IF(OR(I.Developer.P1=FALSE,I.Facility.StandardPart="Part 2"),"Complete",IF(I.Product.P1GasToPower="No","Complete",IF(AND(I.Gas.P1Count&gt;=7,F721=""),"Incomplete","Complete")))</f>
        <v>Complete</v>
      </c>
      <c r="I721" s="39" t="s">
        <v>919</v>
      </c>
    </row>
    <row r="722" spans="2:9" ht="15" customHeight="1" x14ac:dyDescent="0.25">
      <c r="B722" s="37" t="s">
        <v>912</v>
      </c>
      <c r="C722" s="26">
        <v>8</v>
      </c>
      <c r="D722" s="38" t="s">
        <v>2684</v>
      </c>
      <c r="E722" s="59"/>
      <c r="F722" s="59" t="str">
        <f>IF(INDEX(I.Gas.P1C1E3,8)="","",INDEX(I.Gas.P1C1E3,8))</f>
        <v/>
      </c>
      <c r="G722" s="59"/>
      <c r="H722" s="26" t="str">
        <f>IF(OR(I.Developer.P1=FALSE,I.Facility.StandardPart="Part 2"),"Complete",IF(I.Product.P1GasToPower="No","Complete",IF(AND(I.Gas.P1Count&gt;=8,F722=""),"Incomplete","Complete")))</f>
        <v>Complete</v>
      </c>
      <c r="I722" s="39" t="s">
        <v>920</v>
      </c>
    </row>
    <row r="723" spans="2:9" ht="15" customHeight="1" x14ac:dyDescent="0.25">
      <c r="B723" s="37" t="s">
        <v>912</v>
      </c>
      <c r="C723" s="26">
        <v>9</v>
      </c>
      <c r="D723" s="38" t="s">
        <v>2684</v>
      </c>
      <c r="E723" s="59"/>
      <c r="F723" s="59" t="str">
        <f>IF(INDEX(I.Gas.P1C1E3,9)="","",INDEX(I.Gas.P1C1E3,9))</f>
        <v/>
      </c>
      <c r="G723" s="59"/>
      <c r="H723" s="26" t="str">
        <f>IF(OR(I.Developer.P1=FALSE,I.Facility.StandardPart="Part 2"),"Complete",IF(I.Product.P1GasToPower="No","Complete",IF(AND(I.Gas.P1Count&gt;=9,F723=""),"Incomplete","Complete")))</f>
        <v>Complete</v>
      </c>
      <c r="I723" s="39" t="s">
        <v>921</v>
      </c>
    </row>
    <row r="724" spans="2:9" ht="15" customHeight="1" x14ac:dyDescent="0.25">
      <c r="B724" s="37" t="s">
        <v>912</v>
      </c>
      <c r="C724" s="26">
        <v>10</v>
      </c>
      <c r="D724" s="38" t="s">
        <v>2684</v>
      </c>
      <c r="E724" s="59"/>
      <c r="F724" s="59" t="str">
        <f>IF(INDEX(I.Gas.P1C1E3,10)="","",INDEX(I.Gas.P1C1E3,10))</f>
        <v/>
      </c>
      <c r="G724" s="59"/>
      <c r="H724" s="26" t="str">
        <f>IF(OR(I.Developer.P1=FALSE,I.Facility.StandardPart="Part 2"),"Complete",IF(I.Product.P1GasToPower="No","Complete",IF(AND(I.Gas.P1Count&gt;=10,F724=""),"Incomplete","Complete")))</f>
        <v>Complete</v>
      </c>
      <c r="I724" s="39" t="s">
        <v>922</v>
      </c>
    </row>
    <row r="725" spans="2:9" ht="15" customHeight="1" x14ac:dyDescent="0.25">
      <c r="B725" s="37" t="s">
        <v>912</v>
      </c>
      <c r="C725" s="26">
        <v>11</v>
      </c>
      <c r="D725" s="38" t="s">
        <v>2684</v>
      </c>
      <c r="E725" s="59"/>
      <c r="F725" s="59" t="str">
        <f>IF(INDEX(I.Gas.P1C1E3,11)="","",INDEX(I.Gas.P1C1E3,11))</f>
        <v/>
      </c>
      <c r="G725" s="59"/>
      <c r="H725" s="26" t="str">
        <f>IF(OR(I.Developer.P1=FALSE,I.Facility.StandardPart="Part 2"),"Complete",IF(I.Product.P1GasToPower="No","Complete",IF(AND(I.Gas.P1Count&gt;=11,F725=""),"Incomplete","Complete")))</f>
        <v>Complete</v>
      </c>
      <c r="I725" s="39" t="s">
        <v>923</v>
      </c>
    </row>
    <row r="726" spans="2:9" ht="15" customHeight="1" x14ac:dyDescent="0.25">
      <c r="B726" s="37" t="s">
        <v>912</v>
      </c>
      <c r="C726" s="26">
        <v>12</v>
      </c>
      <c r="D726" s="38" t="s">
        <v>2684</v>
      </c>
      <c r="E726" s="59"/>
      <c r="F726" s="59" t="str">
        <f>IF(INDEX(I.Gas.P1C1E3,12)="","",INDEX(I.Gas.P1C1E3,12))</f>
        <v/>
      </c>
      <c r="G726" s="59"/>
      <c r="H726" s="26" t="str">
        <f>IF(OR(I.Developer.P1=FALSE,I.Facility.StandardPart="Part 2"),"Complete",IF(I.Product.P1GasToPower="No","Complete",IF(AND(I.Gas.P1Count&gt;=12,F726=""),"Incomplete","Complete")))</f>
        <v>Complete</v>
      </c>
      <c r="I726" s="39" t="s">
        <v>924</v>
      </c>
    </row>
    <row r="727" spans="2:9" ht="15" customHeight="1" x14ac:dyDescent="0.25">
      <c r="B727" s="37" t="s">
        <v>912</v>
      </c>
      <c r="C727" s="26">
        <v>13</v>
      </c>
      <c r="D727" s="38" t="s">
        <v>2684</v>
      </c>
      <c r="E727" s="59"/>
      <c r="F727" s="59" t="str">
        <f>IF(INDEX(I.Gas.P1C1E3,13)="","",INDEX(I.Gas.P1C1E3,13))</f>
        <v/>
      </c>
      <c r="G727" s="59"/>
      <c r="H727" s="26" t="str">
        <f>IF(OR(I.Developer.P1=FALSE,I.Facility.StandardPart="Part 2"),"Complete",IF(I.Product.P1GasToPower="No","Complete",IF(AND(I.Gas.P1Count&gt;=13,F727=""),"Incomplete","Complete")))</f>
        <v>Complete</v>
      </c>
      <c r="I727" s="39" t="s">
        <v>925</v>
      </c>
    </row>
    <row r="728" spans="2:9" ht="15" customHeight="1" x14ac:dyDescent="0.25">
      <c r="B728" s="37" t="s">
        <v>912</v>
      </c>
      <c r="C728" s="26">
        <v>14</v>
      </c>
      <c r="D728" s="38" t="s">
        <v>2684</v>
      </c>
      <c r="E728" s="59"/>
      <c r="F728" s="59" t="str">
        <f>IF(INDEX(I.Gas.P1C1E3,14)="","",INDEX(I.Gas.P1C1E3,14))</f>
        <v/>
      </c>
      <c r="G728" s="59"/>
      <c r="H728" s="26" t="str">
        <f>IF(OR(I.Developer.P1=FALSE,I.Facility.StandardPart="Part 2"),"Complete",IF(I.Product.P1GasToPower="No","Complete",IF(AND(I.Gas.P1Count&gt;=14,F728=""),"Incomplete","Complete")))</f>
        <v>Complete</v>
      </c>
      <c r="I728" s="39" t="s">
        <v>926</v>
      </c>
    </row>
    <row r="729" spans="2:9" ht="15" customHeight="1" x14ac:dyDescent="0.25">
      <c r="B729" s="37" t="s">
        <v>912</v>
      </c>
      <c r="C729" s="26">
        <v>15</v>
      </c>
      <c r="D729" s="38" t="s">
        <v>2684</v>
      </c>
      <c r="E729" s="59"/>
      <c r="F729" s="59" t="str">
        <f>IF(INDEX(I.Gas.P1C1E3,15)="","",INDEX(I.Gas.P1C1E3,15))</f>
        <v/>
      </c>
      <c r="G729" s="59"/>
      <c r="H729" s="26" t="str">
        <f>IF(OR(I.Developer.P1=FALSE,I.Facility.StandardPart="Part 2"),"Complete",IF(I.Product.P1GasToPower="No","Complete",IF(AND(I.Gas.P1Count&gt;=15,F729=""),"Incomplete","Complete")))</f>
        <v>Complete</v>
      </c>
      <c r="I729" s="39" t="s">
        <v>927</v>
      </c>
    </row>
    <row r="730" spans="2:9" ht="15" customHeight="1" x14ac:dyDescent="0.25">
      <c r="B730" s="37" t="s">
        <v>912</v>
      </c>
      <c r="C730" s="26">
        <v>16</v>
      </c>
      <c r="D730" s="38" t="s">
        <v>2684</v>
      </c>
      <c r="E730" s="59"/>
      <c r="F730" s="59" t="str">
        <f>IF(INDEX(I.Gas.P1C1E3,16)="","",INDEX(I.Gas.P1C1E3,16))</f>
        <v/>
      </c>
      <c r="G730" s="59"/>
      <c r="H730" s="26" t="str">
        <f>IF(OR(I.Developer.P1=FALSE,I.Facility.StandardPart="Part 2"),"Complete",IF(I.Product.P1GasToPower="No","Complete",IF(AND(I.Gas.P1Count&gt;=16,F730=""),"Incomplete","Complete")))</f>
        <v>Complete</v>
      </c>
      <c r="I730" s="39" t="s">
        <v>928</v>
      </c>
    </row>
    <row r="731" spans="2:9" ht="15" customHeight="1" x14ac:dyDescent="0.25">
      <c r="B731" s="37" t="s">
        <v>912</v>
      </c>
      <c r="C731" s="26">
        <v>17</v>
      </c>
      <c r="D731" s="38" t="s">
        <v>2684</v>
      </c>
      <c r="E731" s="59"/>
      <c r="F731" s="59" t="str">
        <f>IF(INDEX(I.Gas.P1C1E3,17)="","",INDEX(I.Gas.P1C1E3,17))</f>
        <v/>
      </c>
      <c r="G731" s="59"/>
      <c r="H731" s="26" t="str">
        <f>IF(OR(I.Developer.P1=FALSE,I.Facility.StandardPart="Part 2"),"Complete",IF(I.Product.P1GasToPower="No","Complete",IF(AND(I.Gas.P1Count&gt;=17,F731=""),"Incomplete","Complete")))</f>
        <v>Complete</v>
      </c>
      <c r="I731" s="39" t="s">
        <v>929</v>
      </c>
    </row>
    <row r="732" spans="2:9" ht="15" customHeight="1" x14ac:dyDescent="0.25">
      <c r="B732" s="37" t="s">
        <v>912</v>
      </c>
      <c r="C732" s="26">
        <v>18</v>
      </c>
      <c r="D732" s="38" t="s">
        <v>2684</v>
      </c>
      <c r="E732" s="59"/>
      <c r="F732" s="59" t="str">
        <f>IF(INDEX(I.Gas.P1C1E3,18)="","",INDEX(I.Gas.P1C1E3,18))</f>
        <v/>
      </c>
      <c r="G732" s="59"/>
      <c r="H732" s="26" t="str">
        <f>IF(OR(I.Developer.P1=FALSE,I.Facility.StandardPart="Part 2"),"Complete",IF(I.Product.P1GasToPower="No","Complete",IF(AND(I.Gas.P1Count&gt;=18,F732=""),"Incomplete","Complete")))</f>
        <v>Complete</v>
      </c>
      <c r="I732" s="39" t="s">
        <v>930</v>
      </c>
    </row>
    <row r="733" spans="2:9" ht="15" customHeight="1" x14ac:dyDescent="0.25">
      <c r="B733" s="37" t="s">
        <v>912</v>
      </c>
      <c r="C733" s="26">
        <v>19</v>
      </c>
      <c r="D733" s="38" t="s">
        <v>2684</v>
      </c>
      <c r="E733" s="59"/>
      <c r="F733" s="59" t="str">
        <f>IF(INDEX(I.Gas.P1C1E3,19)="","",INDEX(I.Gas.P1C1E3,19))</f>
        <v/>
      </c>
      <c r="G733" s="59"/>
      <c r="H733" s="26" t="str">
        <f>IF(OR(I.Developer.P1=FALSE,I.Facility.StandardPart="Part 2"),"Complete",IF(I.Product.P1GasToPower="No","Complete",IF(AND(I.Gas.P1Count&gt;=19,F733=""),"Incomplete","Complete")))</f>
        <v>Complete</v>
      </c>
      <c r="I733" s="39" t="s">
        <v>931</v>
      </c>
    </row>
    <row r="734" spans="2:9" ht="15" customHeight="1" x14ac:dyDescent="0.25">
      <c r="B734" s="37" t="s">
        <v>912</v>
      </c>
      <c r="C734" s="26">
        <v>20</v>
      </c>
      <c r="D734" s="38" t="s">
        <v>2684</v>
      </c>
      <c r="E734" s="59"/>
      <c r="F734" s="59" t="str">
        <f>IF(INDEX(I.Gas.P1C1E3,20)="","",INDEX(I.Gas.P1C1E3,20))</f>
        <v/>
      </c>
      <c r="G734" s="59"/>
      <c r="H734" s="26" t="str">
        <f>IF(OR(I.Developer.P1=FALSE,I.Facility.StandardPart="Part 2"),"Complete",IF(I.Product.P1GasToPower="No","Complete",IF(AND(I.Gas.P1Count&gt;=20,F734=""),"Incomplete","Complete")))</f>
        <v>Complete</v>
      </c>
      <c r="I734" s="39" t="s">
        <v>932</v>
      </c>
    </row>
    <row r="735" spans="2:9" ht="15" customHeight="1" x14ac:dyDescent="0.25">
      <c r="B735" s="37" t="s">
        <v>912</v>
      </c>
      <c r="C735" s="26">
        <v>21</v>
      </c>
      <c r="D735" s="38" t="s">
        <v>2684</v>
      </c>
      <c r="E735" s="59"/>
      <c r="F735" s="59" t="str">
        <f>IF(INDEX(I.Gas.P1C1E3,21)="","",INDEX(I.Gas.P1C1E3,21))</f>
        <v/>
      </c>
      <c r="G735" s="59"/>
      <c r="H735" s="26" t="str">
        <f>IF(OR(I.Developer.P1=FALSE,I.Facility.StandardPart="Part 2"),"Complete",IF(I.Product.P1GasToPower="No","Complete",IF(AND(I.Gas.P1Count&gt;=21,F735=""),"Incomplete","Complete")))</f>
        <v>Complete</v>
      </c>
      <c r="I735" s="39" t="s">
        <v>933</v>
      </c>
    </row>
    <row r="736" spans="2:9" ht="15" customHeight="1" x14ac:dyDescent="0.25">
      <c r="B736" s="37" t="s">
        <v>912</v>
      </c>
      <c r="C736" s="26">
        <v>22</v>
      </c>
      <c r="D736" s="38" t="s">
        <v>2684</v>
      </c>
      <c r="E736" s="59"/>
      <c r="F736" s="59" t="str">
        <f>IF(INDEX(I.Gas.P1C1E3,22)="","",INDEX(I.Gas.P1C1E3,22))</f>
        <v/>
      </c>
      <c r="G736" s="59"/>
      <c r="H736" s="26" t="str">
        <f>IF(OR(I.Developer.P1=FALSE,I.Facility.StandardPart="Part 2"),"Complete",IF(I.Product.P1GasToPower="No","Complete",IF(AND(I.Gas.P1Count&gt;=22,F736=""),"Incomplete","Complete")))</f>
        <v>Complete</v>
      </c>
      <c r="I736" s="39" t="s">
        <v>934</v>
      </c>
    </row>
    <row r="737" spans="2:9" ht="15" customHeight="1" x14ac:dyDescent="0.25">
      <c r="B737" s="37" t="s">
        <v>912</v>
      </c>
      <c r="C737" s="26">
        <v>23</v>
      </c>
      <c r="D737" s="38" t="s">
        <v>2684</v>
      </c>
      <c r="E737" s="59"/>
      <c r="F737" s="59" t="str">
        <f>IF(INDEX(I.Gas.P1C1E3,23)="","",INDEX(I.Gas.P1C1E3,23))</f>
        <v/>
      </c>
      <c r="G737" s="59"/>
      <c r="H737" s="26" t="str">
        <f>IF(OR(I.Developer.P1=FALSE,I.Facility.StandardPart="Part 2"),"Complete",IF(I.Product.P1GasToPower="No","Complete",IF(AND(I.Gas.P1Count&gt;=23,F737=""),"Incomplete","Complete")))</f>
        <v>Complete</v>
      </c>
      <c r="I737" s="39" t="s">
        <v>935</v>
      </c>
    </row>
    <row r="738" spans="2:9" ht="15" customHeight="1" x14ac:dyDescent="0.25">
      <c r="B738" s="37" t="s">
        <v>912</v>
      </c>
      <c r="C738" s="26">
        <v>24</v>
      </c>
      <c r="D738" s="38" t="s">
        <v>2684</v>
      </c>
      <c r="E738" s="59"/>
      <c r="F738" s="59" t="str">
        <f>IF(INDEX(I.Gas.P1C1E3,24)="","",INDEX(I.Gas.P1C1E3,24))</f>
        <v/>
      </c>
      <c r="G738" s="59"/>
      <c r="H738" s="26" t="str">
        <f>IF(OR(I.Developer.P1=FALSE,I.Facility.StandardPart="Part 2"),"Complete",IF(I.Product.P1GasToPower="No","Complete",IF(AND(I.Gas.P1Count&gt;=24,F738=""),"Incomplete","Complete")))</f>
        <v>Complete</v>
      </c>
      <c r="I738" s="39" t="s">
        <v>936</v>
      </c>
    </row>
    <row r="739" spans="2:9" ht="15" customHeight="1" x14ac:dyDescent="0.25">
      <c r="B739" s="37" t="s">
        <v>912</v>
      </c>
      <c r="C739" s="26">
        <v>25</v>
      </c>
      <c r="D739" s="38" t="s">
        <v>2684</v>
      </c>
      <c r="E739" s="59"/>
      <c r="F739" s="59" t="str">
        <f>IF(INDEX(I.Gas.P1C1E3,25)="","",INDEX(I.Gas.P1C1E3,25))</f>
        <v/>
      </c>
      <c r="G739" s="59"/>
      <c r="H739" s="26" t="str">
        <f>IF(OR(I.Developer.P1=FALSE,I.Facility.StandardPart="Part 2"),"Complete",IF(I.Product.P1GasToPower="No","Complete",IF(AND(I.Gas.P1Count&gt;=25,F739=""),"Incomplete","Complete")))</f>
        <v>Complete</v>
      </c>
      <c r="I739" s="39" t="s">
        <v>937</v>
      </c>
    </row>
    <row r="740" spans="2:9" ht="15" customHeight="1" x14ac:dyDescent="0.25">
      <c r="B740" s="37" t="s">
        <v>912</v>
      </c>
      <c r="C740" s="26">
        <v>26</v>
      </c>
      <c r="D740" s="38" t="s">
        <v>2684</v>
      </c>
      <c r="E740" s="59"/>
      <c r="F740" s="59" t="str">
        <f>IF(INDEX(I.Gas.P1C1E3,26)="","",INDEX(I.Gas.P1C1E3,26))</f>
        <v/>
      </c>
      <c r="G740" s="59"/>
      <c r="H740" s="26" t="str">
        <f>IF(OR(I.Developer.P1=FALSE,I.Facility.StandardPart="Part 2"),"Complete",IF(I.Product.P1GasToPower="No","Complete",IF(AND(I.Gas.P1Count&gt;=26,F740=""),"Incomplete","Complete")))</f>
        <v>Complete</v>
      </c>
      <c r="I740" s="39" t="s">
        <v>938</v>
      </c>
    </row>
    <row r="741" spans="2:9" ht="15" customHeight="1" x14ac:dyDescent="0.25">
      <c r="B741" s="37" t="s">
        <v>912</v>
      </c>
      <c r="C741" s="26">
        <v>27</v>
      </c>
      <c r="D741" s="38" t="s">
        <v>2684</v>
      </c>
      <c r="E741" s="59"/>
      <c r="F741" s="59" t="str">
        <f>IF(INDEX(I.Gas.P1C1E3,27)="","",INDEX(I.Gas.P1C1E3,27))</f>
        <v/>
      </c>
      <c r="G741" s="59"/>
      <c r="H741" s="26" t="str">
        <f>IF(OR(I.Developer.P1=FALSE,I.Facility.StandardPart="Part 2"),"Complete",IF(I.Product.P1GasToPower="No","Complete",IF(AND(I.Gas.P1Count&gt;=27,F741=""),"Incomplete","Complete")))</f>
        <v>Complete</v>
      </c>
      <c r="I741" s="39" t="s">
        <v>939</v>
      </c>
    </row>
    <row r="742" spans="2:9" ht="15" customHeight="1" x14ac:dyDescent="0.25">
      <c r="B742" s="37" t="s">
        <v>912</v>
      </c>
      <c r="C742" s="26">
        <v>28</v>
      </c>
      <c r="D742" s="38" t="s">
        <v>2684</v>
      </c>
      <c r="E742" s="59"/>
      <c r="F742" s="59" t="str">
        <f>IF(INDEX(I.Gas.P1C1E3,28)="","",INDEX(I.Gas.P1C1E3,28))</f>
        <v/>
      </c>
      <c r="G742" s="59"/>
      <c r="H742" s="26" t="str">
        <f>IF(OR(I.Developer.P1=FALSE,I.Facility.StandardPart="Part 2"),"Complete",IF(I.Product.P1GasToPower="No","Complete",IF(AND(I.Gas.P1Count&gt;=28,F742=""),"Incomplete","Complete")))</f>
        <v>Complete</v>
      </c>
      <c r="I742" s="39" t="s">
        <v>940</v>
      </c>
    </row>
    <row r="743" spans="2:9" ht="15" customHeight="1" x14ac:dyDescent="0.25">
      <c r="B743" s="37" t="s">
        <v>912</v>
      </c>
      <c r="C743" s="26">
        <v>29</v>
      </c>
      <c r="D743" s="38" t="s">
        <v>2684</v>
      </c>
      <c r="E743" s="59"/>
      <c r="F743" s="59" t="str">
        <f>IF(INDEX(I.Gas.P1C1E3,29)="","",INDEX(I.Gas.P1C1E3,29))</f>
        <v/>
      </c>
      <c r="G743" s="59"/>
      <c r="H743" s="26" t="str">
        <f>IF(OR(I.Developer.P1=FALSE,I.Facility.StandardPart="Part 2"),"Complete",IF(I.Product.P1GasToPower="No","Complete",IF(AND(I.Gas.P1Count&gt;=29,F743=""),"Incomplete","Complete")))</f>
        <v>Complete</v>
      </c>
      <c r="I743" s="39" t="s">
        <v>941</v>
      </c>
    </row>
    <row r="744" spans="2:9" ht="15" customHeight="1" x14ac:dyDescent="0.25">
      <c r="B744" s="37" t="s">
        <v>912</v>
      </c>
      <c r="C744" s="26">
        <v>30</v>
      </c>
      <c r="D744" s="38" t="s">
        <v>2684</v>
      </c>
      <c r="E744" s="59"/>
      <c r="F744" s="59" t="str">
        <f>IF(INDEX(I.Gas.P1C1E3,30)="","",INDEX(I.Gas.P1C1E3,30))</f>
        <v/>
      </c>
      <c r="G744" s="59"/>
      <c r="H744" s="26" t="str">
        <f>IF(OR(I.Developer.P1=FALSE,I.Facility.StandardPart="Part 2"),"Complete",IF(I.Product.P1GasToPower="No","Complete",IF(AND(I.Gas.P1Count&gt;=30,F744=""),"Incomplete","Complete")))</f>
        <v>Complete</v>
      </c>
      <c r="I744" s="39" t="s">
        <v>942</v>
      </c>
    </row>
    <row r="745" spans="2:9" ht="15" customHeight="1" x14ac:dyDescent="0.25">
      <c r="B745" s="37" t="s">
        <v>912</v>
      </c>
      <c r="C745" s="26">
        <v>31</v>
      </c>
      <c r="D745" s="38" t="s">
        <v>2684</v>
      </c>
      <c r="E745" s="59"/>
      <c r="F745" s="59" t="str">
        <f>IF(INDEX(I.Gas.P1C1E3,31)="","",INDEX(I.Gas.P1C1E3,31))</f>
        <v/>
      </c>
      <c r="G745" s="59"/>
      <c r="H745" s="26" t="str">
        <f>IF(OR(I.Developer.P1=FALSE,I.Facility.StandardPart="Part 2"),"Complete",IF(I.Product.P1GasToPower="No","Complete",IF(AND(I.Gas.P1Count&gt;=31,F745=""),"Incomplete","Complete")))</f>
        <v>Complete</v>
      </c>
      <c r="I745" s="39" t="s">
        <v>943</v>
      </c>
    </row>
    <row r="746" spans="2:9" ht="15" customHeight="1" x14ac:dyDescent="0.25">
      <c r="B746" s="37" t="s">
        <v>912</v>
      </c>
      <c r="C746" s="26">
        <v>32</v>
      </c>
      <c r="D746" s="38" t="s">
        <v>2684</v>
      </c>
      <c r="E746" s="59"/>
      <c r="F746" s="59" t="str">
        <f>IF(INDEX(I.Gas.P1C1E3,32)="","",INDEX(I.Gas.P1C1E3,32))</f>
        <v/>
      </c>
      <c r="G746" s="59"/>
      <c r="H746" s="26" t="str">
        <f>IF(OR(I.Developer.P1=FALSE,I.Facility.StandardPart="Part 2"),"Complete",IF(I.Product.P1GasToPower="No","Complete",IF(AND(I.Gas.P1Count&gt;=32,F746=""),"Incomplete","Complete")))</f>
        <v>Complete</v>
      </c>
      <c r="I746" s="39" t="s">
        <v>944</v>
      </c>
    </row>
    <row r="747" spans="2:9" ht="15" customHeight="1" x14ac:dyDescent="0.25">
      <c r="B747" s="37" t="s">
        <v>912</v>
      </c>
      <c r="C747" s="26">
        <v>33</v>
      </c>
      <c r="D747" s="38" t="s">
        <v>2684</v>
      </c>
      <c r="E747" s="59"/>
      <c r="F747" s="59" t="str">
        <f>IF(INDEX(I.Gas.P1C1E3,33)="","",INDEX(I.Gas.P1C1E3,33))</f>
        <v/>
      </c>
      <c r="G747" s="59"/>
      <c r="H747" s="26" t="str">
        <f>IF(OR(I.Developer.P1=FALSE,I.Facility.StandardPart="Part 2"),"Complete",IF(I.Product.P1GasToPower="No","Complete",IF(AND(I.Gas.P1Count&gt;=33,F747=""),"Incomplete","Complete")))</f>
        <v>Complete</v>
      </c>
      <c r="I747" s="39" t="s">
        <v>945</v>
      </c>
    </row>
    <row r="748" spans="2:9" ht="15" customHeight="1" x14ac:dyDescent="0.25">
      <c r="B748" s="37" t="s">
        <v>912</v>
      </c>
      <c r="C748" s="26">
        <v>34</v>
      </c>
      <c r="D748" s="38" t="s">
        <v>2684</v>
      </c>
      <c r="E748" s="59"/>
      <c r="F748" s="59" t="str">
        <f>IF(INDEX(I.Gas.P1C1E3,34)="","",INDEX(I.Gas.P1C1E3,34))</f>
        <v/>
      </c>
      <c r="G748" s="59"/>
      <c r="H748" s="26" t="str">
        <f>IF(OR(I.Developer.P1=FALSE,I.Facility.StandardPart="Part 2"),"Complete",IF(I.Product.P1GasToPower="No","Complete",IF(AND(I.Gas.P1Count&gt;=34,F748=""),"Incomplete","Complete")))</f>
        <v>Complete</v>
      </c>
      <c r="I748" s="39" t="s">
        <v>946</v>
      </c>
    </row>
    <row r="749" spans="2:9" ht="15" customHeight="1" x14ac:dyDescent="0.25">
      <c r="B749" s="37" t="s">
        <v>912</v>
      </c>
      <c r="C749" s="26">
        <v>35</v>
      </c>
      <c r="D749" s="38" t="s">
        <v>2684</v>
      </c>
      <c r="E749" s="59"/>
      <c r="F749" s="59" t="str">
        <f>IF(INDEX(I.Gas.P1C1E3,35)="","",INDEX(I.Gas.P1C1E3,35))</f>
        <v/>
      </c>
      <c r="G749" s="59"/>
      <c r="H749" s="26" t="str">
        <f>IF(OR(I.Developer.P1=FALSE,I.Facility.StandardPart="Part 2"),"Complete",IF(I.Product.P1GasToPower="No","Complete",IF(AND(I.Gas.P1Count&gt;=35,F749=""),"Incomplete","Complete")))</f>
        <v>Complete</v>
      </c>
      <c r="I749" s="39" t="s">
        <v>947</v>
      </c>
    </row>
    <row r="750" spans="2:9" ht="15" customHeight="1" x14ac:dyDescent="0.25">
      <c r="B750" s="37" t="s">
        <v>912</v>
      </c>
      <c r="C750" s="26">
        <v>36</v>
      </c>
      <c r="D750" s="38" t="s">
        <v>2684</v>
      </c>
      <c r="E750" s="59"/>
      <c r="F750" s="59" t="str">
        <f>IF(INDEX(I.Gas.P1C1E3,36)="","",INDEX(I.Gas.P1C1E3,36))</f>
        <v/>
      </c>
      <c r="G750" s="59"/>
      <c r="H750" s="26" t="str">
        <f>IF(OR(I.Developer.P1=FALSE,I.Facility.StandardPart="Part 2"),"Complete",IF(I.Product.P1GasToPower="No","Complete",IF(AND(I.Gas.P1Count&gt;=36,F750=""),"Incomplete","Complete")))</f>
        <v>Complete</v>
      </c>
      <c r="I750" s="39" t="s">
        <v>948</v>
      </c>
    </row>
    <row r="751" spans="2:9" ht="15" customHeight="1" x14ac:dyDescent="0.25">
      <c r="B751" s="37" t="s">
        <v>912</v>
      </c>
      <c r="C751" s="26">
        <v>37</v>
      </c>
      <c r="D751" s="38" t="s">
        <v>2684</v>
      </c>
      <c r="E751" s="59"/>
      <c r="F751" s="59" t="str">
        <f>IF(INDEX(I.Gas.P1C1E3,37)="","",INDEX(I.Gas.P1C1E3,37))</f>
        <v/>
      </c>
      <c r="G751" s="59"/>
      <c r="H751" s="26" t="str">
        <f>IF(OR(I.Developer.P1=FALSE,I.Facility.StandardPart="Part 2"),"Complete",IF(I.Product.P1GasToPower="No","Complete",IF(AND(I.Gas.P1Count&gt;=37,F751=""),"Incomplete","Complete")))</f>
        <v>Complete</v>
      </c>
      <c r="I751" s="39" t="s">
        <v>949</v>
      </c>
    </row>
    <row r="752" spans="2:9" ht="15" customHeight="1" x14ac:dyDescent="0.25">
      <c r="B752" s="37" t="s">
        <v>912</v>
      </c>
      <c r="C752" s="26">
        <v>38</v>
      </c>
      <c r="D752" s="38" t="s">
        <v>2684</v>
      </c>
      <c r="E752" s="59"/>
      <c r="F752" s="59" t="str">
        <f>IF(INDEX(I.Gas.P1C1E3,38)="","",INDEX(I.Gas.P1C1E3,38))</f>
        <v/>
      </c>
      <c r="G752" s="59"/>
      <c r="H752" s="26" t="str">
        <f>IF(OR(I.Developer.P1=FALSE,I.Facility.StandardPart="Part 2"),"Complete",IF(I.Product.P1GasToPower="No","Complete",IF(AND(I.Gas.P1Count&gt;=38,F752=""),"Incomplete","Complete")))</f>
        <v>Complete</v>
      </c>
      <c r="I752" s="39" t="s">
        <v>950</v>
      </c>
    </row>
    <row r="753" spans="2:9" ht="15" customHeight="1" x14ac:dyDescent="0.25">
      <c r="B753" s="37" t="s">
        <v>912</v>
      </c>
      <c r="C753" s="26">
        <v>39</v>
      </c>
      <c r="D753" s="38" t="s">
        <v>2684</v>
      </c>
      <c r="E753" s="59"/>
      <c r="F753" s="59" t="str">
        <f>IF(INDEX(I.Gas.P1C1E3,39)="","",INDEX(I.Gas.P1C1E3,39))</f>
        <v/>
      </c>
      <c r="G753" s="59"/>
      <c r="H753" s="26" t="str">
        <f>IF(OR(I.Developer.P1=FALSE,I.Facility.StandardPart="Part 2"),"Complete",IF(I.Product.P1GasToPower="No","Complete",IF(AND(I.Gas.P1Count&gt;=39,F753=""),"Incomplete","Complete")))</f>
        <v>Complete</v>
      </c>
      <c r="I753" s="39" t="s">
        <v>951</v>
      </c>
    </row>
    <row r="754" spans="2:9" ht="15" customHeight="1" x14ac:dyDescent="0.25">
      <c r="B754" s="37" t="s">
        <v>912</v>
      </c>
      <c r="C754" s="26">
        <v>40</v>
      </c>
      <c r="D754" s="38" t="s">
        <v>2684</v>
      </c>
      <c r="E754" s="59"/>
      <c r="F754" s="59" t="str">
        <f>IF(INDEX(I.Gas.P1C1E3,40)="","",INDEX(I.Gas.P1C1E3,40))</f>
        <v/>
      </c>
      <c r="G754" s="59"/>
      <c r="H754" s="26" t="str">
        <f>IF(OR(I.Developer.P1=FALSE,I.Facility.StandardPart="Part 2"),"Complete",IF(I.Product.P1GasToPower="No","Complete",IF(AND(I.Gas.P1Count&gt;=40,F754=""),"Incomplete","Complete")))</f>
        <v>Complete</v>
      </c>
      <c r="I754" s="39" t="s">
        <v>952</v>
      </c>
    </row>
    <row r="755" spans="2:9" ht="15" customHeight="1" x14ac:dyDescent="0.25">
      <c r="B755" s="37" t="s">
        <v>912</v>
      </c>
      <c r="C755" s="26">
        <v>41</v>
      </c>
      <c r="D755" s="38" t="s">
        <v>2684</v>
      </c>
      <c r="E755" s="59"/>
      <c r="F755" s="59" t="str">
        <f>IF(INDEX(I.Gas.P1C1E3,41)="","",INDEX(I.Gas.P1C1E3,41))</f>
        <v/>
      </c>
      <c r="G755" s="59"/>
      <c r="H755" s="26" t="str">
        <f>IF(OR(I.Developer.P1=FALSE,I.Facility.StandardPart="Part 2"),"Complete",IF(I.Product.P1GasToPower="No","Complete",IF(AND(I.Gas.P1Count&gt;=41,F755=""),"Incomplete","Complete")))</f>
        <v>Complete</v>
      </c>
      <c r="I755" s="39" t="s">
        <v>953</v>
      </c>
    </row>
    <row r="756" spans="2:9" ht="15" customHeight="1" x14ac:dyDescent="0.25">
      <c r="B756" s="37" t="s">
        <v>912</v>
      </c>
      <c r="C756" s="26">
        <v>42</v>
      </c>
      <c r="D756" s="38" t="s">
        <v>2684</v>
      </c>
      <c r="E756" s="59"/>
      <c r="F756" s="59" t="str">
        <f>IF(INDEX(I.Gas.P1C1E3,42)="","",INDEX(I.Gas.P1C1E3,42))</f>
        <v/>
      </c>
      <c r="G756" s="59"/>
      <c r="H756" s="26" t="str">
        <f>IF(OR(I.Developer.P1=FALSE,I.Facility.StandardPart="Part 2"),"Complete",IF(I.Product.P1GasToPower="No","Complete",IF(AND(I.Gas.P1Count&gt;=42,F756=""),"Incomplete","Complete")))</f>
        <v>Complete</v>
      </c>
      <c r="I756" s="39" t="s">
        <v>954</v>
      </c>
    </row>
    <row r="757" spans="2:9" ht="15" customHeight="1" x14ac:dyDescent="0.25">
      <c r="B757" s="37" t="s">
        <v>912</v>
      </c>
      <c r="C757" s="26">
        <v>43</v>
      </c>
      <c r="D757" s="38" t="s">
        <v>2684</v>
      </c>
      <c r="E757" s="59"/>
      <c r="F757" s="59" t="str">
        <f>IF(INDEX(I.Gas.P1C1E3,43)="","",INDEX(I.Gas.P1C1E3,43))</f>
        <v/>
      </c>
      <c r="G757" s="59"/>
      <c r="H757" s="26" t="str">
        <f>IF(OR(I.Developer.P1=FALSE,I.Facility.StandardPart="Part 2"),"Complete",IF(I.Product.P1GasToPower="No","Complete",IF(AND(I.Gas.P1Count&gt;=43,F757=""),"Incomplete","Complete")))</f>
        <v>Complete</v>
      </c>
      <c r="I757" s="39" t="s">
        <v>955</v>
      </c>
    </row>
    <row r="758" spans="2:9" ht="15" customHeight="1" x14ac:dyDescent="0.25">
      <c r="B758" s="37" t="s">
        <v>912</v>
      </c>
      <c r="C758" s="26">
        <v>44</v>
      </c>
      <c r="D758" s="38" t="s">
        <v>2684</v>
      </c>
      <c r="E758" s="59"/>
      <c r="F758" s="59" t="str">
        <f>IF(INDEX(I.Gas.P1C1E3,44)="","",INDEX(I.Gas.P1C1E3,44))</f>
        <v/>
      </c>
      <c r="G758" s="59"/>
      <c r="H758" s="26" t="str">
        <f>IF(OR(I.Developer.P1=FALSE,I.Facility.StandardPart="Part 2"),"Complete",IF(I.Product.P1GasToPower="No","Complete",IF(AND(I.Gas.P1Count&gt;=44,F758=""),"Incomplete","Complete")))</f>
        <v>Complete</v>
      </c>
      <c r="I758" s="39" t="s">
        <v>956</v>
      </c>
    </row>
    <row r="759" spans="2:9" ht="15" customHeight="1" x14ac:dyDescent="0.25">
      <c r="B759" s="37" t="s">
        <v>912</v>
      </c>
      <c r="C759" s="26">
        <v>45</v>
      </c>
      <c r="D759" s="38" t="s">
        <v>2684</v>
      </c>
      <c r="E759" s="59"/>
      <c r="F759" s="59" t="str">
        <f>IF(INDEX(I.Gas.P1C1E3,45)="","",INDEX(I.Gas.P1C1E3,45))</f>
        <v/>
      </c>
      <c r="G759" s="59"/>
      <c r="H759" s="26" t="str">
        <f>IF(OR(I.Developer.P1=FALSE,I.Facility.StandardPart="Part 2"),"Complete",IF(I.Product.P1GasToPower="No","Complete",IF(AND(I.Gas.P1Count&gt;=45,F759=""),"Incomplete","Complete")))</f>
        <v>Complete</v>
      </c>
      <c r="I759" s="39" t="s">
        <v>957</v>
      </c>
    </row>
    <row r="760" spans="2:9" ht="15" customHeight="1" x14ac:dyDescent="0.25">
      <c r="B760" s="37" t="s">
        <v>912</v>
      </c>
      <c r="C760" s="26">
        <v>46</v>
      </c>
      <c r="D760" s="38" t="s">
        <v>2684</v>
      </c>
      <c r="E760" s="59"/>
      <c r="F760" s="59" t="str">
        <f>IF(INDEX(I.Gas.P1C1E3,46)="","",INDEX(I.Gas.P1C1E3,46))</f>
        <v/>
      </c>
      <c r="G760" s="59"/>
      <c r="H760" s="26" t="str">
        <f>IF(OR(I.Developer.P1=FALSE,I.Facility.StandardPart="Part 2"),"Complete",IF(I.Product.P1GasToPower="No","Complete",IF(AND(I.Gas.P1Count&gt;=46,F760=""),"Incomplete","Complete")))</f>
        <v>Complete</v>
      </c>
      <c r="I760" s="39" t="s">
        <v>958</v>
      </c>
    </row>
    <row r="761" spans="2:9" ht="15" customHeight="1" x14ac:dyDescent="0.25">
      <c r="B761" s="37" t="s">
        <v>912</v>
      </c>
      <c r="C761" s="26">
        <v>47</v>
      </c>
      <c r="D761" s="38" t="s">
        <v>2684</v>
      </c>
      <c r="E761" s="59"/>
      <c r="F761" s="59" t="str">
        <f>IF(INDEX(I.Gas.P1C1E3,47)="","",INDEX(I.Gas.P1C1E3,47))</f>
        <v/>
      </c>
      <c r="G761" s="59"/>
      <c r="H761" s="26" t="str">
        <f>IF(OR(I.Developer.P1=FALSE,I.Facility.StandardPart="Part 2"),"Complete",IF(I.Product.P1GasToPower="No","Complete",IF(AND(I.Gas.P1Count&gt;=47,F761=""),"Incomplete","Complete")))</f>
        <v>Complete</v>
      </c>
      <c r="I761" s="39" t="s">
        <v>959</v>
      </c>
    </row>
    <row r="762" spans="2:9" ht="15" customHeight="1" x14ac:dyDescent="0.25">
      <c r="B762" s="37" t="s">
        <v>912</v>
      </c>
      <c r="C762" s="26">
        <v>48</v>
      </c>
      <c r="D762" s="38" t="s">
        <v>2684</v>
      </c>
      <c r="E762" s="59"/>
      <c r="F762" s="59" t="str">
        <f>IF(INDEX(I.Gas.P1C1E3,48)="","",INDEX(I.Gas.P1C1E3,48))</f>
        <v/>
      </c>
      <c r="G762" s="59"/>
      <c r="H762" s="26" t="str">
        <f>IF(OR(I.Developer.P1=FALSE,I.Facility.StandardPart="Part 2"),"Complete",IF(I.Product.P1GasToPower="No","Complete",IF(AND(I.Gas.P1Count&gt;=48,F762=""),"Incomplete","Complete")))</f>
        <v>Complete</v>
      </c>
      <c r="I762" s="39" t="s">
        <v>960</v>
      </c>
    </row>
    <row r="763" spans="2:9" ht="15" customHeight="1" x14ac:dyDescent="0.25">
      <c r="B763" s="37" t="s">
        <v>912</v>
      </c>
      <c r="C763" s="26">
        <v>49</v>
      </c>
      <c r="D763" s="38" t="s">
        <v>2684</v>
      </c>
      <c r="E763" s="59"/>
      <c r="F763" s="59" t="str">
        <f>IF(INDEX(I.Gas.P1C1E3,49)="","",INDEX(I.Gas.P1C1E3,49))</f>
        <v/>
      </c>
      <c r="G763" s="59"/>
      <c r="H763" s="26" t="str">
        <f>IF(OR(I.Developer.P1=FALSE,I.Facility.StandardPart="Part 2"),"Complete",IF(I.Product.P1GasToPower="No","Complete",IF(AND(I.Gas.P1Count&gt;=49,F763=""),"Incomplete","Complete")))</f>
        <v>Complete</v>
      </c>
      <c r="I763" s="39" t="s">
        <v>961</v>
      </c>
    </row>
    <row r="764" spans="2:9" ht="15" customHeight="1" x14ac:dyDescent="0.25">
      <c r="B764" s="40" t="s">
        <v>912</v>
      </c>
      <c r="C764" s="46">
        <v>50</v>
      </c>
      <c r="D764" s="44" t="s">
        <v>2684</v>
      </c>
      <c r="E764" s="63"/>
      <c r="F764" s="63" t="str">
        <f>IF(INDEX(I.Gas.P1C1E3,50)="","",INDEX(I.Gas.P1C1E3,50))</f>
        <v/>
      </c>
      <c r="G764" s="63"/>
      <c r="H764" s="46" t="str">
        <f>IF(OR(I.Developer.P1=FALSE,I.Facility.StandardPart="Part 2"),"Complete",IF(I.Product.P1GasToPower="No","Complete",IF(AND(I.Gas.P1Count&gt;=50,F764=""),"Incomplete","Complete")))</f>
        <v>Complete</v>
      </c>
      <c r="I764" s="47" t="s">
        <v>962</v>
      </c>
    </row>
    <row r="765" spans="2:9" ht="15" customHeight="1" x14ac:dyDescent="0.25">
      <c r="B765" s="55" t="s">
        <v>963</v>
      </c>
      <c r="C765" s="56">
        <v>1</v>
      </c>
      <c r="D765" s="53" t="s">
        <v>2685</v>
      </c>
      <c r="E765" s="73"/>
      <c r="F765" s="73" t="str">
        <f>IF(I.Gas.P2aCount="","",I.Gas.P2aCount)</f>
        <v/>
      </c>
      <c r="G765" s="73"/>
      <c r="H765" s="56" t="str">
        <f>IF(I.Developer.P2a=FALSE,"Complete",IF(I.Product.P2aGasToPower="No","Complete",IF(I.Gas.P2aCount="","Incomplete","Complete")))</f>
        <v>Complete</v>
      </c>
      <c r="I765" s="58" t="s">
        <v>964</v>
      </c>
    </row>
    <row r="766" spans="2:9" ht="15" customHeight="1" x14ac:dyDescent="0.25">
      <c r="B766" s="37" t="s">
        <v>965</v>
      </c>
      <c r="C766" s="26">
        <v>1</v>
      </c>
      <c r="D766" s="38" t="s">
        <v>2686</v>
      </c>
      <c r="E766" s="59"/>
      <c r="F766" s="59" t="str">
        <f>IF(INDEX(I.Gas.P2aAssociatedGasEnergy,1)="","",INDEX(I.Gas.P2aAssociatedGasEnergy,1))</f>
        <v/>
      </c>
      <c r="G766" s="59"/>
      <c r="H766" s="26" t="str">
        <f>IF(I.Developer.P2a=FALSE,"Complete",IF(I.Product.P2aGasToPower="No","Complete",IF(AND(I.Gas.P2aCount&gt;=1,F766=""),"Incomplete","Complete")))</f>
        <v>Complete</v>
      </c>
      <c r="I766" s="39" t="s">
        <v>966</v>
      </c>
    </row>
    <row r="767" spans="2:9" ht="15" customHeight="1" x14ac:dyDescent="0.25">
      <c r="B767" s="37" t="s">
        <v>965</v>
      </c>
      <c r="C767" s="26">
        <v>2</v>
      </c>
      <c r="D767" s="38" t="s">
        <v>2686</v>
      </c>
      <c r="E767" s="59"/>
      <c r="F767" s="59" t="str">
        <f>IF(INDEX(I.Gas.P2aAssociatedGasEnergy,2)="","",INDEX(I.Gas.P2aAssociatedGasEnergy,2))</f>
        <v/>
      </c>
      <c r="G767" s="59"/>
      <c r="H767" s="26" t="str">
        <f>IF(I.Developer.P2a=FALSE,"Complete",IF(I.Product.P2aGasToPower="No","Complete",IF(AND(I.Gas.P2aCount&gt;=2,F767=""),"Incomplete","Complete")))</f>
        <v>Complete</v>
      </c>
      <c r="I767" s="39" t="s">
        <v>967</v>
      </c>
    </row>
    <row r="768" spans="2:9" ht="15" customHeight="1" x14ac:dyDescent="0.25">
      <c r="B768" s="37" t="s">
        <v>965</v>
      </c>
      <c r="C768" s="26">
        <v>3</v>
      </c>
      <c r="D768" s="38" t="s">
        <v>2686</v>
      </c>
      <c r="E768" s="59"/>
      <c r="F768" s="59" t="str">
        <f>IF(INDEX(I.Gas.P2aAssociatedGasEnergy,3)="","",INDEX(I.Gas.P2aAssociatedGasEnergy,3))</f>
        <v/>
      </c>
      <c r="G768" s="59"/>
      <c r="H768" s="26" t="str">
        <f>IF(I.Developer.P2a=FALSE,"Complete",IF(I.Product.P2aGasToPower="No","Complete",IF(AND(I.Gas.P2aCount&gt;=3,F768=""),"Incomplete","Complete")))</f>
        <v>Complete</v>
      </c>
      <c r="I768" s="39" t="s">
        <v>968</v>
      </c>
    </row>
    <row r="769" spans="2:9" ht="15" customHeight="1" x14ac:dyDescent="0.25">
      <c r="B769" s="37" t="s">
        <v>965</v>
      </c>
      <c r="C769" s="26">
        <v>4</v>
      </c>
      <c r="D769" s="38" t="s">
        <v>2686</v>
      </c>
      <c r="E769" s="59"/>
      <c r="F769" s="59" t="str">
        <f>IF(INDEX(I.Gas.P2aAssociatedGasEnergy,4)="","",INDEX(I.Gas.P2aAssociatedGasEnergy,4))</f>
        <v/>
      </c>
      <c r="G769" s="59"/>
      <c r="H769" s="26" t="str">
        <f>IF(I.Developer.P2a=FALSE,"Complete",IF(I.Product.P2aGasToPower="No","Complete",IF(AND(I.Gas.P2aCount&gt;=4,F769=""),"Incomplete","Complete")))</f>
        <v>Complete</v>
      </c>
      <c r="I769" s="39" t="s">
        <v>969</v>
      </c>
    </row>
    <row r="770" spans="2:9" ht="15" customHeight="1" x14ac:dyDescent="0.25">
      <c r="B770" s="37" t="s">
        <v>965</v>
      </c>
      <c r="C770" s="26">
        <v>5</v>
      </c>
      <c r="D770" s="38" t="s">
        <v>2686</v>
      </c>
      <c r="E770" s="59"/>
      <c r="F770" s="59" t="str">
        <f>IF(INDEX(I.Gas.P2aAssociatedGasEnergy,5)="","",INDEX(I.Gas.P2aAssociatedGasEnergy,5))</f>
        <v/>
      </c>
      <c r="G770" s="59"/>
      <c r="H770" s="26" t="str">
        <f>IF(I.Developer.P2a=FALSE,"Complete",IF(I.Product.P2aGasToPower="No","Complete",IF(AND(I.Gas.P2aCount&gt;=5,F770=""),"Incomplete","Complete")))</f>
        <v>Complete</v>
      </c>
      <c r="I770" s="39" t="s">
        <v>970</v>
      </c>
    </row>
    <row r="771" spans="2:9" ht="15" customHeight="1" x14ac:dyDescent="0.25">
      <c r="B771" s="37" t="s">
        <v>965</v>
      </c>
      <c r="C771" s="26">
        <v>6</v>
      </c>
      <c r="D771" s="38" t="s">
        <v>2686</v>
      </c>
      <c r="E771" s="59"/>
      <c r="F771" s="59" t="str">
        <f>IF(INDEX(I.Gas.P2aAssociatedGasEnergy,6)="","",INDEX(I.Gas.P2aAssociatedGasEnergy,6))</f>
        <v/>
      </c>
      <c r="G771" s="59"/>
      <c r="H771" s="26" t="str">
        <f>IF(I.Developer.P2a=FALSE,"Complete",IF(I.Product.P2aGasToPower="No","Complete",IF(AND(I.Gas.P2aCount&gt;=6,F771=""),"Incomplete","Complete")))</f>
        <v>Complete</v>
      </c>
      <c r="I771" s="39" t="s">
        <v>971</v>
      </c>
    </row>
    <row r="772" spans="2:9" ht="15" customHeight="1" x14ac:dyDescent="0.25">
      <c r="B772" s="37" t="s">
        <v>965</v>
      </c>
      <c r="C772" s="26">
        <v>7</v>
      </c>
      <c r="D772" s="38" t="s">
        <v>2686</v>
      </c>
      <c r="E772" s="59"/>
      <c r="F772" s="59" t="str">
        <f>IF(INDEX(I.Gas.P2aAssociatedGasEnergy,7)="","",INDEX(I.Gas.P2aAssociatedGasEnergy,7))</f>
        <v/>
      </c>
      <c r="G772" s="59"/>
      <c r="H772" s="26" t="str">
        <f>IF(I.Developer.P2a=FALSE,"Complete",IF(I.Product.P2aGasToPower="No","Complete",IF(AND(I.Gas.P2aCount&gt;=7,F772=""),"Incomplete","Complete")))</f>
        <v>Complete</v>
      </c>
      <c r="I772" s="39" t="s">
        <v>972</v>
      </c>
    </row>
    <row r="773" spans="2:9" ht="15" customHeight="1" x14ac:dyDescent="0.25">
      <c r="B773" s="37" t="s">
        <v>965</v>
      </c>
      <c r="C773" s="26">
        <v>8</v>
      </c>
      <c r="D773" s="38" t="s">
        <v>2686</v>
      </c>
      <c r="E773" s="59"/>
      <c r="F773" s="59" t="str">
        <f>IF(INDEX(I.Gas.P2aAssociatedGasEnergy,8)="","",INDEX(I.Gas.P2aAssociatedGasEnergy,8))</f>
        <v/>
      </c>
      <c r="G773" s="59"/>
      <c r="H773" s="26" t="str">
        <f>IF(I.Developer.P2a=FALSE,"Complete",IF(I.Product.P2aGasToPower="No","Complete",IF(AND(I.Gas.P2aCount&gt;=8,F773=""),"Incomplete","Complete")))</f>
        <v>Complete</v>
      </c>
      <c r="I773" s="39" t="s">
        <v>973</v>
      </c>
    </row>
    <row r="774" spans="2:9" ht="15" customHeight="1" x14ac:dyDescent="0.25">
      <c r="B774" s="37" t="s">
        <v>965</v>
      </c>
      <c r="C774" s="26">
        <v>9</v>
      </c>
      <c r="D774" s="38" t="s">
        <v>2686</v>
      </c>
      <c r="E774" s="59"/>
      <c r="F774" s="59" t="str">
        <f>IF(INDEX(I.Gas.P2aAssociatedGasEnergy,9)="","",INDEX(I.Gas.P2aAssociatedGasEnergy,9))</f>
        <v/>
      </c>
      <c r="G774" s="59"/>
      <c r="H774" s="26" t="str">
        <f>IF(I.Developer.P2a=FALSE,"Complete",IF(I.Product.P2aGasToPower="No","Complete",IF(AND(I.Gas.P2aCount&gt;=9,F774=""),"Incomplete","Complete")))</f>
        <v>Complete</v>
      </c>
      <c r="I774" s="39" t="s">
        <v>974</v>
      </c>
    </row>
    <row r="775" spans="2:9" ht="15" customHeight="1" x14ac:dyDescent="0.25">
      <c r="B775" s="37" t="s">
        <v>965</v>
      </c>
      <c r="C775" s="26">
        <v>10</v>
      </c>
      <c r="D775" s="38" t="s">
        <v>2686</v>
      </c>
      <c r="E775" s="59"/>
      <c r="F775" s="59" t="str">
        <f>IF(INDEX(I.Gas.P2aAssociatedGasEnergy,10)="","",INDEX(I.Gas.P2aAssociatedGasEnergy,10))</f>
        <v/>
      </c>
      <c r="G775" s="59"/>
      <c r="H775" s="26" t="str">
        <f>IF(I.Developer.P2a=FALSE,"Complete",IF(I.Product.P2aGasToPower="No","Complete",IF(AND(I.Gas.P2aCount&gt;=10,F775=""),"Incomplete","Complete")))</f>
        <v>Complete</v>
      </c>
      <c r="I775" s="39" t="s">
        <v>975</v>
      </c>
    </row>
    <row r="776" spans="2:9" ht="15" customHeight="1" x14ac:dyDescent="0.25">
      <c r="B776" s="37" t="s">
        <v>965</v>
      </c>
      <c r="C776" s="26">
        <v>11</v>
      </c>
      <c r="D776" s="38" t="s">
        <v>2686</v>
      </c>
      <c r="E776" s="59"/>
      <c r="F776" s="59" t="str">
        <f>IF(INDEX(I.Gas.P2aAssociatedGasEnergy,11)="","",INDEX(I.Gas.P2aAssociatedGasEnergy,11))</f>
        <v/>
      </c>
      <c r="G776" s="59"/>
      <c r="H776" s="26" t="str">
        <f>IF(I.Developer.P2a=FALSE,"Complete",IF(I.Product.P2aGasToPower="No","Complete",IF(AND(I.Gas.P2aCount&gt;=11,F776=""),"Incomplete","Complete")))</f>
        <v>Complete</v>
      </c>
      <c r="I776" s="39" t="s">
        <v>976</v>
      </c>
    </row>
    <row r="777" spans="2:9" ht="15" customHeight="1" x14ac:dyDescent="0.25">
      <c r="B777" s="37" t="s">
        <v>965</v>
      </c>
      <c r="C777" s="26">
        <v>12</v>
      </c>
      <c r="D777" s="38" t="s">
        <v>2686</v>
      </c>
      <c r="E777" s="59"/>
      <c r="F777" s="59" t="str">
        <f>IF(INDEX(I.Gas.P2aAssociatedGasEnergy,12)="","",INDEX(I.Gas.P2aAssociatedGasEnergy,12))</f>
        <v/>
      </c>
      <c r="G777" s="59"/>
      <c r="H777" s="26" t="str">
        <f>IF(I.Developer.P2a=FALSE,"Complete",IF(I.Product.P2aGasToPower="No","Complete",IF(AND(I.Gas.P2aCount&gt;=12,F777=""),"Incomplete","Complete")))</f>
        <v>Complete</v>
      </c>
      <c r="I777" s="39" t="s">
        <v>977</v>
      </c>
    </row>
    <row r="778" spans="2:9" ht="15" customHeight="1" x14ac:dyDescent="0.25">
      <c r="B778" s="37" t="s">
        <v>965</v>
      </c>
      <c r="C778" s="26">
        <v>13</v>
      </c>
      <c r="D778" s="38" t="s">
        <v>2686</v>
      </c>
      <c r="E778" s="59"/>
      <c r="F778" s="59" t="str">
        <f>IF(INDEX(I.Gas.P2aAssociatedGasEnergy,13)="","",INDEX(I.Gas.P2aAssociatedGasEnergy,13))</f>
        <v/>
      </c>
      <c r="G778" s="59"/>
      <c r="H778" s="26" t="str">
        <f>IF(I.Developer.P2a=FALSE,"Complete",IF(I.Product.P2aGasToPower="No","Complete",IF(AND(I.Gas.P2aCount&gt;=13,F778=""),"Incomplete","Complete")))</f>
        <v>Complete</v>
      </c>
      <c r="I778" s="39" t="s">
        <v>978</v>
      </c>
    </row>
    <row r="779" spans="2:9" ht="15" customHeight="1" x14ac:dyDescent="0.25">
      <c r="B779" s="37" t="s">
        <v>965</v>
      </c>
      <c r="C779" s="26">
        <v>14</v>
      </c>
      <c r="D779" s="38" t="s">
        <v>2686</v>
      </c>
      <c r="E779" s="59"/>
      <c r="F779" s="59" t="str">
        <f>IF(INDEX(I.Gas.P2aAssociatedGasEnergy,14)="","",INDEX(I.Gas.P2aAssociatedGasEnergy,14))</f>
        <v/>
      </c>
      <c r="G779" s="59"/>
      <c r="H779" s="26" t="str">
        <f>IF(I.Developer.P2a=FALSE,"Complete",IF(I.Product.P2aGasToPower="No","Complete",IF(AND(I.Gas.P2aCount&gt;=14,F779=""),"Incomplete","Complete")))</f>
        <v>Complete</v>
      </c>
      <c r="I779" s="39" t="s">
        <v>979</v>
      </c>
    </row>
    <row r="780" spans="2:9" ht="15" customHeight="1" x14ac:dyDescent="0.25">
      <c r="B780" s="37" t="s">
        <v>965</v>
      </c>
      <c r="C780" s="26">
        <v>15</v>
      </c>
      <c r="D780" s="38" t="s">
        <v>2686</v>
      </c>
      <c r="E780" s="59"/>
      <c r="F780" s="59" t="str">
        <f>IF(INDEX(I.Gas.P2aAssociatedGasEnergy,15)="","",INDEX(I.Gas.P2aAssociatedGasEnergy,15))</f>
        <v/>
      </c>
      <c r="G780" s="59"/>
      <c r="H780" s="26" t="str">
        <f>IF(I.Developer.P2a=FALSE,"Complete",IF(I.Product.P2aGasToPower="No","Complete",IF(AND(I.Gas.P2aCount&gt;=15,F780=""),"Incomplete","Complete")))</f>
        <v>Complete</v>
      </c>
      <c r="I780" s="39" t="s">
        <v>980</v>
      </c>
    </row>
    <row r="781" spans="2:9" ht="15" customHeight="1" x14ac:dyDescent="0.25">
      <c r="B781" s="37" t="s">
        <v>965</v>
      </c>
      <c r="C781" s="26">
        <v>16</v>
      </c>
      <c r="D781" s="38" t="s">
        <v>2686</v>
      </c>
      <c r="E781" s="59"/>
      <c r="F781" s="59" t="str">
        <f>IF(INDEX(I.Gas.P2aAssociatedGasEnergy,16)="","",INDEX(I.Gas.P2aAssociatedGasEnergy,16))</f>
        <v/>
      </c>
      <c r="G781" s="59"/>
      <c r="H781" s="26" t="str">
        <f>IF(I.Developer.P2a=FALSE,"Complete",IF(I.Product.P2aGasToPower="No","Complete",IF(AND(I.Gas.P2aCount&gt;=16,F781=""),"Incomplete","Complete")))</f>
        <v>Complete</v>
      </c>
      <c r="I781" s="39" t="s">
        <v>981</v>
      </c>
    </row>
    <row r="782" spans="2:9" ht="15" customHeight="1" x14ac:dyDescent="0.25">
      <c r="B782" s="37" t="s">
        <v>965</v>
      </c>
      <c r="C782" s="26">
        <v>17</v>
      </c>
      <c r="D782" s="38" t="s">
        <v>2686</v>
      </c>
      <c r="E782" s="59"/>
      <c r="F782" s="59" t="str">
        <f>IF(INDEX(I.Gas.P2aAssociatedGasEnergy,17)="","",INDEX(I.Gas.P2aAssociatedGasEnergy,17))</f>
        <v/>
      </c>
      <c r="G782" s="59"/>
      <c r="H782" s="26" t="str">
        <f>IF(I.Developer.P2a=FALSE,"Complete",IF(I.Product.P2aGasToPower="No","Complete",IF(AND(I.Gas.P2aCount&gt;=17,F782=""),"Incomplete","Complete")))</f>
        <v>Complete</v>
      </c>
      <c r="I782" s="39" t="s">
        <v>982</v>
      </c>
    </row>
    <row r="783" spans="2:9" ht="15" customHeight="1" x14ac:dyDescent="0.25">
      <c r="B783" s="37" t="s">
        <v>965</v>
      </c>
      <c r="C783" s="26">
        <v>18</v>
      </c>
      <c r="D783" s="38" t="s">
        <v>2686</v>
      </c>
      <c r="E783" s="59"/>
      <c r="F783" s="59" t="str">
        <f>IF(INDEX(I.Gas.P2aAssociatedGasEnergy,18)="","",INDEX(I.Gas.P2aAssociatedGasEnergy,18))</f>
        <v/>
      </c>
      <c r="G783" s="59"/>
      <c r="H783" s="26" t="str">
        <f>IF(I.Developer.P2a=FALSE,"Complete",IF(I.Product.P2aGasToPower="No","Complete",IF(AND(I.Gas.P2aCount&gt;=18,F783=""),"Incomplete","Complete")))</f>
        <v>Complete</v>
      </c>
      <c r="I783" s="39" t="s">
        <v>983</v>
      </c>
    </row>
    <row r="784" spans="2:9" ht="15" customHeight="1" x14ac:dyDescent="0.25">
      <c r="B784" s="37" t="s">
        <v>965</v>
      </c>
      <c r="C784" s="26">
        <v>19</v>
      </c>
      <c r="D784" s="38" t="s">
        <v>2686</v>
      </c>
      <c r="E784" s="59"/>
      <c r="F784" s="59" t="str">
        <f>IF(INDEX(I.Gas.P2aAssociatedGasEnergy,19)="","",INDEX(I.Gas.P2aAssociatedGasEnergy,19))</f>
        <v/>
      </c>
      <c r="G784" s="59"/>
      <c r="H784" s="26" t="str">
        <f>IF(I.Developer.P2a=FALSE,"Complete",IF(I.Product.P2aGasToPower="No","Complete",IF(AND(I.Gas.P2aCount&gt;=19,F784=""),"Incomplete","Complete")))</f>
        <v>Complete</v>
      </c>
      <c r="I784" s="39" t="s">
        <v>984</v>
      </c>
    </row>
    <row r="785" spans="2:9" ht="15" customHeight="1" x14ac:dyDescent="0.25">
      <c r="B785" s="37" t="s">
        <v>965</v>
      </c>
      <c r="C785" s="26">
        <v>20</v>
      </c>
      <c r="D785" s="38" t="s">
        <v>2686</v>
      </c>
      <c r="E785" s="59"/>
      <c r="F785" s="59" t="str">
        <f>IF(INDEX(I.Gas.P2aAssociatedGasEnergy,20)="","",INDEX(I.Gas.P2aAssociatedGasEnergy,20))</f>
        <v/>
      </c>
      <c r="G785" s="59"/>
      <c r="H785" s="26" t="str">
        <f>IF(I.Developer.P2a=FALSE,"Complete",IF(I.Product.P2aGasToPower="No","Complete",IF(AND(I.Gas.P2aCount&gt;=20,F785=""),"Incomplete","Complete")))</f>
        <v>Complete</v>
      </c>
      <c r="I785" s="39" t="s">
        <v>985</v>
      </c>
    </row>
    <row r="786" spans="2:9" ht="15" customHeight="1" x14ac:dyDescent="0.25">
      <c r="B786" s="37" t="s">
        <v>965</v>
      </c>
      <c r="C786" s="26">
        <v>21</v>
      </c>
      <c r="D786" s="38" t="s">
        <v>2686</v>
      </c>
      <c r="E786" s="59"/>
      <c r="F786" s="59" t="str">
        <f>IF(INDEX(I.Gas.P2aAssociatedGasEnergy,21)="","",INDEX(I.Gas.P2aAssociatedGasEnergy,21))</f>
        <v/>
      </c>
      <c r="G786" s="59"/>
      <c r="H786" s="26" t="str">
        <f>IF(I.Developer.P2a=FALSE,"Complete",IF(I.Product.P2aGasToPower="No","Complete",IF(AND(I.Gas.P2aCount&gt;=21,F786=""),"Incomplete","Complete")))</f>
        <v>Complete</v>
      </c>
      <c r="I786" s="39" t="s">
        <v>986</v>
      </c>
    </row>
    <row r="787" spans="2:9" ht="15" customHeight="1" x14ac:dyDescent="0.25">
      <c r="B787" s="37" t="s">
        <v>965</v>
      </c>
      <c r="C787" s="26">
        <v>22</v>
      </c>
      <c r="D787" s="38" t="s">
        <v>2686</v>
      </c>
      <c r="E787" s="59"/>
      <c r="F787" s="59" t="str">
        <f>IF(INDEX(I.Gas.P2aAssociatedGasEnergy,22)="","",INDEX(I.Gas.P2aAssociatedGasEnergy,22))</f>
        <v/>
      </c>
      <c r="G787" s="59"/>
      <c r="H787" s="26" t="str">
        <f>IF(I.Developer.P2a=FALSE,"Complete",IF(I.Product.P2aGasToPower="No","Complete",IF(AND(I.Gas.P2aCount&gt;=22,F787=""),"Incomplete","Complete")))</f>
        <v>Complete</v>
      </c>
      <c r="I787" s="39" t="s">
        <v>987</v>
      </c>
    </row>
    <row r="788" spans="2:9" ht="15" customHeight="1" x14ac:dyDescent="0.25">
      <c r="B788" s="37" t="s">
        <v>965</v>
      </c>
      <c r="C788" s="26">
        <v>23</v>
      </c>
      <c r="D788" s="38" t="s">
        <v>2686</v>
      </c>
      <c r="E788" s="59"/>
      <c r="F788" s="59" t="str">
        <f>IF(INDEX(I.Gas.P2aAssociatedGasEnergy,23)="","",INDEX(I.Gas.P2aAssociatedGasEnergy,23))</f>
        <v/>
      </c>
      <c r="G788" s="59"/>
      <c r="H788" s="26" t="str">
        <f>IF(I.Developer.P2a=FALSE,"Complete",IF(I.Product.P2aGasToPower="No","Complete",IF(AND(I.Gas.P2aCount&gt;=23,F788=""),"Incomplete","Complete")))</f>
        <v>Complete</v>
      </c>
      <c r="I788" s="39" t="s">
        <v>988</v>
      </c>
    </row>
    <row r="789" spans="2:9" ht="15" customHeight="1" x14ac:dyDescent="0.25">
      <c r="B789" s="37" t="s">
        <v>965</v>
      </c>
      <c r="C789" s="26">
        <v>24</v>
      </c>
      <c r="D789" s="38" t="s">
        <v>2686</v>
      </c>
      <c r="E789" s="59"/>
      <c r="F789" s="59" t="str">
        <f>IF(INDEX(I.Gas.P2aAssociatedGasEnergy,24)="","",INDEX(I.Gas.P2aAssociatedGasEnergy,24))</f>
        <v/>
      </c>
      <c r="G789" s="59"/>
      <c r="H789" s="26" t="str">
        <f>IF(I.Developer.P2a=FALSE,"Complete",IF(I.Product.P2aGasToPower="No","Complete",IF(AND(I.Gas.P2aCount&gt;=24,F789=""),"Incomplete","Complete")))</f>
        <v>Complete</v>
      </c>
      <c r="I789" s="39" t="s">
        <v>989</v>
      </c>
    </row>
    <row r="790" spans="2:9" ht="15" customHeight="1" x14ac:dyDescent="0.25">
      <c r="B790" s="37" t="s">
        <v>965</v>
      </c>
      <c r="C790" s="26">
        <v>25</v>
      </c>
      <c r="D790" s="38" t="s">
        <v>2686</v>
      </c>
      <c r="E790" s="59"/>
      <c r="F790" s="59" t="str">
        <f>IF(INDEX(I.Gas.P2aAssociatedGasEnergy,25)="","",INDEX(I.Gas.P2aAssociatedGasEnergy,25))</f>
        <v/>
      </c>
      <c r="G790" s="59"/>
      <c r="H790" s="26" t="str">
        <f>IF(I.Developer.P2a=FALSE,"Complete",IF(I.Product.P2aGasToPower="No","Complete",IF(AND(I.Gas.P2aCount&gt;=25,F790=""),"Incomplete","Complete")))</f>
        <v>Complete</v>
      </c>
      <c r="I790" s="39" t="s">
        <v>990</v>
      </c>
    </row>
    <row r="791" spans="2:9" ht="15" customHeight="1" x14ac:dyDescent="0.25">
      <c r="B791" s="37" t="s">
        <v>965</v>
      </c>
      <c r="C791" s="26">
        <v>26</v>
      </c>
      <c r="D791" s="38" t="s">
        <v>2686</v>
      </c>
      <c r="E791" s="59"/>
      <c r="F791" s="59" t="str">
        <f>IF(INDEX(I.Gas.P2aAssociatedGasEnergy,26)="","",INDEX(I.Gas.P2aAssociatedGasEnergy,26))</f>
        <v/>
      </c>
      <c r="G791" s="59"/>
      <c r="H791" s="26" t="str">
        <f>IF(I.Developer.P2a=FALSE,"Complete",IF(I.Product.P2aGasToPower="No","Complete",IF(AND(I.Gas.P2aCount&gt;=26,F791=""),"Incomplete","Complete")))</f>
        <v>Complete</v>
      </c>
      <c r="I791" s="39" t="s">
        <v>991</v>
      </c>
    </row>
    <row r="792" spans="2:9" ht="15" customHeight="1" x14ac:dyDescent="0.25">
      <c r="B792" s="37" t="s">
        <v>965</v>
      </c>
      <c r="C792" s="26">
        <v>27</v>
      </c>
      <c r="D792" s="38" t="s">
        <v>2686</v>
      </c>
      <c r="E792" s="59"/>
      <c r="F792" s="59" t="str">
        <f>IF(INDEX(I.Gas.P2aAssociatedGasEnergy,27)="","",INDEX(I.Gas.P2aAssociatedGasEnergy,27))</f>
        <v/>
      </c>
      <c r="G792" s="59"/>
      <c r="H792" s="26" t="str">
        <f>IF(I.Developer.P2a=FALSE,"Complete",IF(I.Product.P2aGasToPower="No","Complete",IF(AND(I.Gas.P2aCount&gt;=27,F792=""),"Incomplete","Complete")))</f>
        <v>Complete</v>
      </c>
      <c r="I792" s="39" t="s">
        <v>992</v>
      </c>
    </row>
    <row r="793" spans="2:9" ht="15" customHeight="1" x14ac:dyDescent="0.25">
      <c r="B793" s="37" t="s">
        <v>965</v>
      </c>
      <c r="C793" s="26">
        <v>28</v>
      </c>
      <c r="D793" s="38" t="s">
        <v>2686</v>
      </c>
      <c r="E793" s="59"/>
      <c r="F793" s="59" t="str">
        <f>IF(INDEX(I.Gas.P2aAssociatedGasEnergy,28)="","",INDEX(I.Gas.P2aAssociatedGasEnergy,28))</f>
        <v/>
      </c>
      <c r="G793" s="59"/>
      <c r="H793" s="26" t="str">
        <f>IF(I.Developer.P2a=FALSE,"Complete",IF(I.Product.P2aGasToPower="No","Complete",IF(AND(I.Gas.P2aCount&gt;=28,F793=""),"Incomplete","Complete")))</f>
        <v>Complete</v>
      </c>
      <c r="I793" s="39" t="s">
        <v>993</v>
      </c>
    </row>
    <row r="794" spans="2:9" ht="15" customHeight="1" x14ac:dyDescent="0.25">
      <c r="B794" s="37" t="s">
        <v>965</v>
      </c>
      <c r="C794" s="26">
        <v>29</v>
      </c>
      <c r="D794" s="38" t="s">
        <v>2686</v>
      </c>
      <c r="E794" s="59"/>
      <c r="F794" s="59" t="str">
        <f>IF(INDEX(I.Gas.P2aAssociatedGasEnergy,29)="","",INDEX(I.Gas.P2aAssociatedGasEnergy,29))</f>
        <v/>
      </c>
      <c r="G794" s="59"/>
      <c r="H794" s="26" t="str">
        <f>IF(I.Developer.P2a=FALSE,"Complete",IF(I.Product.P2aGasToPower="No","Complete",IF(AND(I.Gas.P2aCount&gt;=29,F794=""),"Incomplete","Complete")))</f>
        <v>Complete</v>
      </c>
      <c r="I794" s="39" t="s">
        <v>994</v>
      </c>
    </row>
    <row r="795" spans="2:9" ht="15" customHeight="1" x14ac:dyDescent="0.25">
      <c r="B795" s="37" t="s">
        <v>965</v>
      </c>
      <c r="C795" s="26">
        <v>30</v>
      </c>
      <c r="D795" s="38" t="s">
        <v>2686</v>
      </c>
      <c r="E795" s="59"/>
      <c r="F795" s="59" t="str">
        <f>IF(INDEX(I.Gas.P2aAssociatedGasEnergy,30)="","",INDEX(I.Gas.P2aAssociatedGasEnergy,30))</f>
        <v/>
      </c>
      <c r="G795" s="59"/>
      <c r="H795" s="26" t="str">
        <f>IF(I.Developer.P2a=FALSE,"Complete",IF(I.Product.P2aGasToPower="No","Complete",IF(AND(I.Gas.P2aCount&gt;=30,F795=""),"Incomplete","Complete")))</f>
        <v>Complete</v>
      </c>
      <c r="I795" s="39" t="s">
        <v>995</v>
      </c>
    </row>
    <row r="796" spans="2:9" ht="15" customHeight="1" x14ac:dyDescent="0.25">
      <c r="B796" s="37" t="s">
        <v>965</v>
      </c>
      <c r="C796" s="26">
        <v>31</v>
      </c>
      <c r="D796" s="38" t="s">
        <v>2686</v>
      </c>
      <c r="E796" s="59"/>
      <c r="F796" s="59" t="str">
        <f>IF(INDEX(I.Gas.P2aAssociatedGasEnergy,31)="","",INDEX(I.Gas.P2aAssociatedGasEnergy,31))</f>
        <v/>
      </c>
      <c r="G796" s="59"/>
      <c r="H796" s="26" t="str">
        <f>IF(I.Developer.P2a=FALSE,"Complete",IF(I.Product.P2aGasToPower="No","Complete",IF(AND(I.Gas.P2aCount&gt;=31,F796=""),"Incomplete","Complete")))</f>
        <v>Complete</v>
      </c>
      <c r="I796" s="39" t="s">
        <v>996</v>
      </c>
    </row>
    <row r="797" spans="2:9" ht="15" customHeight="1" x14ac:dyDescent="0.25">
      <c r="B797" s="37" t="s">
        <v>965</v>
      </c>
      <c r="C797" s="26">
        <v>32</v>
      </c>
      <c r="D797" s="38" t="s">
        <v>2686</v>
      </c>
      <c r="E797" s="59"/>
      <c r="F797" s="59" t="str">
        <f>IF(INDEX(I.Gas.P2aAssociatedGasEnergy,32)="","",INDEX(I.Gas.P2aAssociatedGasEnergy,32))</f>
        <v/>
      </c>
      <c r="G797" s="59"/>
      <c r="H797" s="26" t="str">
        <f>IF(I.Developer.P2a=FALSE,"Complete",IF(I.Product.P2aGasToPower="No","Complete",IF(AND(I.Gas.P2aCount&gt;=32,F797=""),"Incomplete","Complete")))</f>
        <v>Complete</v>
      </c>
      <c r="I797" s="39" t="s">
        <v>997</v>
      </c>
    </row>
    <row r="798" spans="2:9" ht="15" customHeight="1" x14ac:dyDescent="0.25">
      <c r="B798" s="37" t="s">
        <v>965</v>
      </c>
      <c r="C798" s="26">
        <v>33</v>
      </c>
      <c r="D798" s="38" t="s">
        <v>2686</v>
      </c>
      <c r="E798" s="59"/>
      <c r="F798" s="59" t="str">
        <f>IF(INDEX(I.Gas.P2aAssociatedGasEnergy,33)="","",INDEX(I.Gas.P2aAssociatedGasEnergy,33))</f>
        <v/>
      </c>
      <c r="G798" s="59"/>
      <c r="H798" s="26" t="str">
        <f>IF(I.Developer.P2a=FALSE,"Complete",IF(I.Product.P2aGasToPower="No","Complete",IF(AND(I.Gas.P2aCount&gt;=33,F798=""),"Incomplete","Complete")))</f>
        <v>Complete</v>
      </c>
      <c r="I798" s="39" t="s">
        <v>998</v>
      </c>
    </row>
    <row r="799" spans="2:9" ht="15" customHeight="1" x14ac:dyDescent="0.25">
      <c r="B799" s="37" t="s">
        <v>965</v>
      </c>
      <c r="C799" s="26">
        <v>34</v>
      </c>
      <c r="D799" s="38" t="s">
        <v>2686</v>
      </c>
      <c r="E799" s="59"/>
      <c r="F799" s="59" t="str">
        <f>IF(INDEX(I.Gas.P2aAssociatedGasEnergy,34)="","",INDEX(I.Gas.P2aAssociatedGasEnergy,34))</f>
        <v/>
      </c>
      <c r="G799" s="59"/>
      <c r="H799" s="26" t="str">
        <f>IF(I.Developer.P2a=FALSE,"Complete",IF(I.Product.P2aGasToPower="No","Complete",IF(AND(I.Gas.P2aCount&gt;=34,F799=""),"Incomplete","Complete")))</f>
        <v>Complete</v>
      </c>
      <c r="I799" s="39" t="s">
        <v>999</v>
      </c>
    </row>
    <row r="800" spans="2:9" ht="15" customHeight="1" x14ac:dyDescent="0.25">
      <c r="B800" s="37" t="s">
        <v>965</v>
      </c>
      <c r="C800" s="26">
        <v>35</v>
      </c>
      <c r="D800" s="38" t="s">
        <v>2686</v>
      </c>
      <c r="E800" s="59"/>
      <c r="F800" s="59" t="str">
        <f>IF(INDEX(I.Gas.P2aAssociatedGasEnergy,35)="","",INDEX(I.Gas.P2aAssociatedGasEnergy,35))</f>
        <v/>
      </c>
      <c r="G800" s="59"/>
      <c r="H800" s="26" t="str">
        <f>IF(I.Developer.P2a=FALSE,"Complete",IF(I.Product.P2aGasToPower="No","Complete",IF(AND(I.Gas.P2aCount&gt;=35,F800=""),"Incomplete","Complete")))</f>
        <v>Complete</v>
      </c>
      <c r="I800" s="39" t="s">
        <v>1000</v>
      </c>
    </row>
    <row r="801" spans="2:9" ht="15" customHeight="1" x14ac:dyDescent="0.25">
      <c r="B801" s="37" t="s">
        <v>965</v>
      </c>
      <c r="C801" s="26">
        <v>36</v>
      </c>
      <c r="D801" s="38" t="s">
        <v>2686</v>
      </c>
      <c r="E801" s="59"/>
      <c r="F801" s="59" t="str">
        <f>IF(INDEX(I.Gas.P2aAssociatedGasEnergy,36)="","",INDEX(I.Gas.P2aAssociatedGasEnergy,36))</f>
        <v/>
      </c>
      <c r="G801" s="59"/>
      <c r="H801" s="26" t="str">
        <f>IF(I.Developer.P2a=FALSE,"Complete",IF(I.Product.P2aGasToPower="No","Complete",IF(AND(I.Gas.P2aCount&gt;=36,F801=""),"Incomplete","Complete")))</f>
        <v>Complete</v>
      </c>
      <c r="I801" s="39" t="s">
        <v>1001</v>
      </c>
    </row>
    <row r="802" spans="2:9" ht="15" customHeight="1" x14ac:dyDescent="0.25">
      <c r="B802" s="37" t="s">
        <v>965</v>
      </c>
      <c r="C802" s="26">
        <v>37</v>
      </c>
      <c r="D802" s="38" t="s">
        <v>2686</v>
      </c>
      <c r="E802" s="59"/>
      <c r="F802" s="59" t="str">
        <f>IF(INDEX(I.Gas.P2aAssociatedGasEnergy,37)="","",INDEX(I.Gas.P2aAssociatedGasEnergy,37))</f>
        <v/>
      </c>
      <c r="G802" s="59"/>
      <c r="H802" s="26" t="str">
        <f>IF(I.Developer.P2a=FALSE,"Complete",IF(I.Product.P2aGasToPower="No","Complete",IF(AND(I.Gas.P2aCount&gt;=37,F802=""),"Incomplete","Complete")))</f>
        <v>Complete</v>
      </c>
      <c r="I802" s="39" t="s">
        <v>1002</v>
      </c>
    </row>
    <row r="803" spans="2:9" ht="15" customHeight="1" x14ac:dyDescent="0.25">
      <c r="B803" s="37" t="s">
        <v>965</v>
      </c>
      <c r="C803" s="26">
        <v>38</v>
      </c>
      <c r="D803" s="38" t="s">
        <v>2686</v>
      </c>
      <c r="E803" s="59"/>
      <c r="F803" s="59" t="str">
        <f>IF(INDEX(I.Gas.P2aAssociatedGasEnergy,38)="","",INDEX(I.Gas.P2aAssociatedGasEnergy,38))</f>
        <v/>
      </c>
      <c r="G803" s="59"/>
      <c r="H803" s="26" t="str">
        <f>IF(I.Developer.P2a=FALSE,"Complete",IF(I.Product.P2aGasToPower="No","Complete",IF(AND(I.Gas.P2aCount&gt;=38,F803=""),"Incomplete","Complete")))</f>
        <v>Complete</v>
      </c>
      <c r="I803" s="39" t="s">
        <v>1003</v>
      </c>
    </row>
    <row r="804" spans="2:9" ht="15" customHeight="1" x14ac:dyDescent="0.25">
      <c r="B804" s="37" t="s">
        <v>965</v>
      </c>
      <c r="C804" s="26">
        <v>39</v>
      </c>
      <c r="D804" s="38" t="s">
        <v>2686</v>
      </c>
      <c r="E804" s="59"/>
      <c r="F804" s="59" t="str">
        <f>IF(INDEX(I.Gas.P2aAssociatedGasEnergy,39)="","",INDEX(I.Gas.P2aAssociatedGasEnergy,39))</f>
        <v/>
      </c>
      <c r="G804" s="59"/>
      <c r="H804" s="26" t="str">
        <f>IF(I.Developer.P2a=FALSE,"Complete",IF(I.Product.P2aGasToPower="No","Complete",IF(AND(I.Gas.P2aCount&gt;=39,F804=""),"Incomplete","Complete")))</f>
        <v>Complete</v>
      </c>
      <c r="I804" s="39" t="s">
        <v>1004</v>
      </c>
    </row>
    <row r="805" spans="2:9" ht="15" customHeight="1" x14ac:dyDescent="0.25">
      <c r="B805" s="37" t="s">
        <v>965</v>
      </c>
      <c r="C805" s="26">
        <v>40</v>
      </c>
      <c r="D805" s="38" t="s">
        <v>2686</v>
      </c>
      <c r="E805" s="59"/>
      <c r="F805" s="59" t="str">
        <f>IF(INDEX(I.Gas.P2aAssociatedGasEnergy,40)="","",INDEX(I.Gas.P2aAssociatedGasEnergy,40))</f>
        <v/>
      </c>
      <c r="G805" s="59"/>
      <c r="H805" s="26" t="str">
        <f>IF(I.Developer.P2a=FALSE,"Complete",IF(I.Product.P2aGasToPower="No","Complete",IF(AND(I.Gas.P2aCount&gt;=40,F805=""),"Incomplete","Complete")))</f>
        <v>Complete</v>
      </c>
      <c r="I805" s="39" t="s">
        <v>1005</v>
      </c>
    </row>
    <row r="806" spans="2:9" ht="15" customHeight="1" x14ac:dyDescent="0.25">
      <c r="B806" s="37" t="s">
        <v>965</v>
      </c>
      <c r="C806" s="26">
        <v>41</v>
      </c>
      <c r="D806" s="38" t="s">
        <v>2686</v>
      </c>
      <c r="E806" s="59"/>
      <c r="F806" s="59" t="str">
        <f>IF(INDEX(I.Gas.P2aAssociatedGasEnergy,41)="","",INDEX(I.Gas.P2aAssociatedGasEnergy,41))</f>
        <v/>
      </c>
      <c r="G806" s="59"/>
      <c r="H806" s="26" t="str">
        <f>IF(I.Developer.P2a=FALSE,"Complete",IF(I.Product.P2aGasToPower="No","Complete",IF(AND(I.Gas.P2aCount&gt;=41,F806=""),"Incomplete","Complete")))</f>
        <v>Complete</v>
      </c>
      <c r="I806" s="39" t="s">
        <v>1006</v>
      </c>
    </row>
    <row r="807" spans="2:9" ht="15" customHeight="1" x14ac:dyDescent="0.25">
      <c r="B807" s="37" t="s">
        <v>965</v>
      </c>
      <c r="C807" s="26">
        <v>42</v>
      </c>
      <c r="D807" s="38" t="s">
        <v>2686</v>
      </c>
      <c r="E807" s="59"/>
      <c r="F807" s="59" t="str">
        <f>IF(INDEX(I.Gas.P2aAssociatedGasEnergy,42)="","",INDEX(I.Gas.P2aAssociatedGasEnergy,42))</f>
        <v/>
      </c>
      <c r="G807" s="59"/>
      <c r="H807" s="26" t="str">
        <f>IF(I.Developer.P2a=FALSE,"Complete",IF(I.Product.P2aGasToPower="No","Complete",IF(AND(I.Gas.P2aCount&gt;=42,F807=""),"Incomplete","Complete")))</f>
        <v>Complete</v>
      </c>
      <c r="I807" s="39" t="s">
        <v>1007</v>
      </c>
    </row>
    <row r="808" spans="2:9" ht="15" customHeight="1" x14ac:dyDescent="0.25">
      <c r="B808" s="37" t="s">
        <v>965</v>
      </c>
      <c r="C808" s="26">
        <v>43</v>
      </c>
      <c r="D808" s="38" t="s">
        <v>2686</v>
      </c>
      <c r="E808" s="59"/>
      <c r="F808" s="59" t="str">
        <f>IF(INDEX(I.Gas.P2aAssociatedGasEnergy,43)="","",INDEX(I.Gas.P2aAssociatedGasEnergy,43))</f>
        <v/>
      </c>
      <c r="G808" s="59"/>
      <c r="H808" s="26" t="str">
        <f>IF(I.Developer.P2a=FALSE,"Complete",IF(I.Product.P2aGasToPower="No","Complete",IF(AND(I.Gas.P2aCount&gt;=43,F808=""),"Incomplete","Complete")))</f>
        <v>Complete</v>
      </c>
      <c r="I808" s="39" t="s">
        <v>1008</v>
      </c>
    </row>
    <row r="809" spans="2:9" ht="15" customHeight="1" x14ac:dyDescent="0.25">
      <c r="B809" s="37" t="s">
        <v>965</v>
      </c>
      <c r="C809" s="26">
        <v>44</v>
      </c>
      <c r="D809" s="38" t="s">
        <v>2686</v>
      </c>
      <c r="E809" s="59"/>
      <c r="F809" s="59" t="str">
        <f>IF(INDEX(I.Gas.P2aAssociatedGasEnergy,44)="","",INDEX(I.Gas.P2aAssociatedGasEnergy,44))</f>
        <v/>
      </c>
      <c r="G809" s="59"/>
      <c r="H809" s="26" t="str">
        <f>IF(I.Developer.P2a=FALSE,"Complete",IF(I.Product.P2aGasToPower="No","Complete",IF(AND(I.Gas.P2aCount&gt;=44,F809=""),"Incomplete","Complete")))</f>
        <v>Complete</v>
      </c>
      <c r="I809" s="39" t="s">
        <v>1009</v>
      </c>
    </row>
    <row r="810" spans="2:9" ht="15" customHeight="1" x14ac:dyDescent="0.25">
      <c r="B810" s="37" t="s">
        <v>965</v>
      </c>
      <c r="C810" s="26">
        <v>45</v>
      </c>
      <c r="D810" s="38" t="s">
        <v>2686</v>
      </c>
      <c r="E810" s="59"/>
      <c r="F810" s="59" t="str">
        <f>IF(INDEX(I.Gas.P2aAssociatedGasEnergy,45)="","",INDEX(I.Gas.P2aAssociatedGasEnergy,45))</f>
        <v/>
      </c>
      <c r="G810" s="59"/>
      <c r="H810" s="26" t="str">
        <f>IF(I.Developer.P2a=FALSE,"Complete",IF(I.Product.P2aGasToPower="No","Complete",IF(AND(I.Gas.P2aCount&gt;=45,F810=""),"Incomplete","Complete")))</f>
        <v>Complete</v>
      </c>
      <c r="I810" s="39" t="s">
        <v>1010</v>
      </c>
    </row>
    <row r="811" spans="2:9" ht="15" customHeight="1" x14ac:dyDescent="0.25">
      <c r="B811" s="37" t="s">
        <v>965</v>
      </c>
      <c r="C811" s="26">
        <v>46</v>
      </c>
      <c r="D811" s="38" t="s">
        <v>2686</v>
      </c>
      <c r="E811" s="59"/>
      <c r="F811" s="59" t="str">
        <f>IF(INDEX(I.Gas.P2aAssociatedGasEnergy,46)="","",INDEX(I.Gas.P2aAssociatedGasEnergy,46))</f>
        <v/>
      </c>
      <c r="G811" s="59"/>
      <c r="H811" s="26" t="str">
        <f>IF(I.Developer.P2a=FALSE,"Complete",IF(I.Product.P2aGasToPower="No","Complete",IF(AND(I.Gas.P2aCount&gt;=46,F811=""),"Incomplete","Complete")))</f>
        <v>Complete</v>
      </c>
      <c r="I811" s="39" t="s">
        <v>1011</v>
      </c>
    </row>
    <row r="812" spans="2:9" ht="15" customHeight="1" x14ac:dyDescent="0.25">
      <c r="B812" s="37" t="s">
        <v>965</v>
      </c>
      <c r="C812" s="26">
        <v>47</v>
      </c>
      <c r="D812" s="38" t="s">
        <v>2686</v>
      </c>
      <c r="E812" s="59"/>
      <c r="F812" s="59" t="str">
        <f>IF(INDEX(I.Gas.P2aAssociatedGasEnergy,47)="","",INDEX(I.Gas.P2aAssociatedGasEnergy,47))</f>
        <v/>
      </c>
      <c r="G812" s="59"/>
      <c r="H812" s="26" t="str">
        <f>IF(I.Developer.P2a=FALSE,"Complete",IF(I.Product.P2aGasToPower="No","Complete",IF(AND(I.Gas.P2aCount&gt;=47,F812=""),"Incomplete","Complete")))</f>
        <v>Complete</v>
      </c>
      <c r="I812" s="39" t="s">
        <v>1012</v>
      </c>
    </row>
    <row r="813" spans="2:9" ht="15" customHeight="1" x14ac:dyDescent="0.25">
      <c r="B813" s="37" t="s">
        <v>965</v>
      </c>
      <c r="C813" s="26">
        <v>48</v>
      </c>
      <c r="D813" s="38" t="s">
        <v>2686</v>
      </c>
      <c r="E813" s="59"/>
      <c r="F813" s="59" t="str">
        <f>IF(INDEX(I.Gas.P2aAssociatedGasEnergy,48)="","",INDEX(I.Gas.P2aAssociatedGasEnergy,48))</f>
        <v/>
      </c>
      <c r="G813" s="59"/>
      <c r="H813" s="26" t="str">
        <f>IF(I.Developer.P2a=FALSE,"Complete",IF(I.Product.P2aGasToPower="No","Complete",IF(AND(I.Gas.P2aCount&gt;=48,F813=""),"Incomplete","Complete")))</f>
        <v>Complete</v>
      </c>
      <c r="I813" s="39" t="s">
        <v>1013</v>
      </c>
    </row>
    <row r="814" spans="2:9" ht="15" customHeight="1" x14ac:dyDescent="0.25">
      <c r="B814" s="37" t="s">
        <v>965</v>
      </c>
      <c r="C814" s="26">
        <v>49</v>
      </c>
      <c r="D814" s="38" t="s">
        <v>2686</v>
      </c>
      <c r="E814" s="59"/>
      <c r="F814" s="59" t="str">
        <f>IF(INDEX(I.Gas.P2aAssociatedGasEnergy,49)="","",INDEX(I.Gas.P2aAssociatedGasEnergy,49))</f>
        <v/>
      </c>
      <c r="G814" s="59"/>
      <c r="H814" s="26" t="str">
        <f>IF(I.Developer.P2a=FALSE,"Complete",IF(I.Product.P2aGasToPower="No","Complete",IF(AND(I.Gas.P2aCount&gt;=49,F814=""),"Incomplete","Complete")))</f>
        <v>Complete</v>
      </c>
      <c r="I814" s="39" t="s">
        <v>1014</v>
      </c>
    </row>
    <row r="815" spans="2:9" ht="15" customHeight="1" x14ac:dyDescent="0.25">
      <c r="B815" s="40" t="s">
        <v>965</v>
      </c>
      <c r="C815" s="46">
        <v>50</v>
      </c>
      <c r="D815" s="44" t="s">
        <v>2686</v>
      </c>
      <c r="E815" s="63"/>
      <c r="F815" s="63" t="str">
        <f>IF(INDEX(I.Gas.P2aAssociatedGasEnergy,50)="","",INDEX(I.Gas.P2aAssociatedGasEnergy,50))</f>
        <v/>
      </c>
      <c r="G815" s="63"/>
      <c r="H815" s="46" t="str">
        <f>IF(I.Developer.P2a=FALSE,"Complete",IF(I.Product.P2aGasToPower="No","Complete",IF(AND(I.Gas.P2aCount&gt;=50,F815=""),"Incomplete","Complete")))</f>
        <v>Complete</v>
      </c>
      <c r="I815" s="47" t="s">
        <v>1015</v>
      </c>
    </row>
    <row r="816" spans="2:9" ht="15" customHeight="1" x14ac:dyDescent="0.25">
      <c r="B816" s="37" t="s">
        <v>1016</v>
      </c>
      <c r="C816" s="26">
        <v>1</v>
      </c>
      <c r="D816" s="38" t="s">
        <v>2687</v>
      </c>
      <c r="E816" s="59"/>
      <c r="F816" s="59" t="str">
        <f>IF(INDEX(I.Gas.P2aTotalGasEnergy,1)="","",INDEX(I.Gas.P2aTotalGasEnergy,1))</f>
        <v/>
      </c>
      <c r="G816" s="59"/>
      <c r="H816" s="26" t="str">
        <f>IF(I.Developer.P2a=FALSE,"Complete",IF(I.Product.P2aGasToPower="No","Complete",IF(AND(I.Gas.P2aCount&gt;=1,F816=""),"Incomplete","Complete")))</f>
        <v>Complete</v>
      </c>
      <c r="I816" s="39" t="s">
        <v>1017</v>
      </c>
    </row>
    <row r="817" spans="2:9" ht="15" customHeight="1" x14ac:dyDescent="0.25">
      <c r="B817" s="37" t="s">
        <v>1016</v>
      </c>
      <c r="C817" s="26">
        <v>2</v>
      </c>
      <c r="D817" s="38" t="s">
        <v>2687</v>
      </c>
      <c r="E817" s="59"/>
      <c r="F817" s="59" t="str">
        <f>IF(INDEX(I.Gas.P2aTotalGasEnergy,2)="","",INDEX(I.Gas.P2aTotalGasEnergy,2))</f>
        <v/>
      </c>
      <c r="G817" s="59"/>
      <c r="H817" s="26" t="str">
        <f>IF(I.Developer.P2a=FALSE,"Complete",IF(I.Product.P2aGasToPower="No","Complete",IF(AND(I.Gas.P2aCount&gt;=2,F817=""),"Incomplete","Complete")))</f>
        <v>Complete</v>
      </c>
      <c r="I817" s="39" t="s">
        <v>1018</v>
      </c>
    </row>
    <row r="818" spans="2:9" ht="15" customHeight="1" x14ac:dyDescent="0.25">
      <c r="B818" s="37" t="s">
        <v>1016</v>
      </c>
      <c r="C818" s="26">
        <v>3</v>
      </c>
      <c r="D818" s="38" t="s">
        <v>2687</v>
      </c>
      <c r="E818" s="59"/>
      <c r="F818" s="59" t="str">
        <f>IF(INDEX(I.Gas.P2aTotalGasEnergy,3)="","",INDEX(I.Gas.P2aTotalGasEnergy,3))</f>
        <v/>
      </c>
      <c r="G818" s="59"/>
      <c r="H818" s="26" t="str">
        <f>IF(I.Developer.P2a=FALSE,"Complete",IF(I.Product.P2aGasToPower="No","Complete",IF(AND(I.Gas.P2aCount&gt;=3,F818=""),"Incomplete","Complete")))</f>
        <v>Complete</v>
      </c>
      <c r="I818" s="39" t="s">
        <v>1019</v>
      </c>
    </row>
    <row r="819" spans="2:9" ht="15" customHeight="1" x14ac:dyDescent="0.25">
      <c r="B819" s="37" t="s">
        <v>1016</v>
      </c>
      <c r="C819" s="26">
        <v>4</v>
      </c>
      <c r="D819" s="38" t="s">
        <v>2687</v>
      </c>
      <c r="E819" s="59"/>
      <c r="F819" s="59" t="str">
        <f>IF(INDEX(I.Gas.P2aTotalGasEnergy,4)="","",INDEX(I.Gas.P2aTotalGasEnergy,4))</f>
        <v/>
      </c>
      <c r="G819" s="59"/>
      <c r="H819" s="26" t="str">
        <f>IF(I.Developer.P2a=FALSE,"Complete",IF(I.Product.P2aGasToPower="No","Complete",IF(AND(I.Gas.P2aCount&gt;=4,F819=""),"Incomplete","Complete")))</f>
        <v>Complete</v>
      </c>
      <c r="I819" s="39" t="s">
        <v>1020</v>
      </c>
    </row>
    <row r="820" spans="2:9" ht="15" customHeight="1" x14ac:dyDescent="0.25">
      <c r="B820" s="37" t="s">
        <v>1016</v>
      </c>
      <c r="C820" s="26">
        <v>5</v>
      </c>
      <c r="D820" s="38" t="s">
        <v>2687</v>
      </c>
      <c r="E820" s="59"/>
      <c r="F820" s="59" t="str">
        <f>IF(INDEX(I.Gas.P2aTotalGasEnergy,5)="","",INDEX(I.Gas.P2aTotalGasEnergy,5))</f>
        <v/>
      </c>
      <c r="G820" s="59"/>
      <c r="H820" s="26" t="str">
        <f>IF(I.Developer.P2a=FALSE,"Complete",IF(I.Product.P2aGasToPower="No","Complete",IF(AND(I.Gas.P2aCount&gt;=5,F820=""),"Incomplete","Complete")))</f>
        <v>Complete</v>
      </c>
      <c r="I820" s="39" t="s">
        <v>1021</v>
      </c>
    </row>
    <row r="821" spans="2:9" ht="15" customHeight="1" x14ac:dyDescent="0.25">
      <c r="B821" s="37" t="s">
        <v>1016</v>
      </c>
      <c r="C821" s="26">
        <v>6</v>
      </c>
      <c r="D821" s="38" t="s">
        <v>2687</v>
      </c>
      <c r="E821" s="59"/>
      <c r="F821" s="59" t="str">
        <f>IF(INDEX(I.Gas.P2aTotalGasEnergy,6)="","",INDEX(I.Gas.P2aTotalGasEnergy,6))</f>
        <v/>
      </c>
      <c r="G821" s="59"/>
      <c r="H821" s="26" t="str">
        <f>IF(I.Developer.P2a=FALSE,"Complete",IF(I.Product.P2aGasToPower="No","Complete",IF(AND(I.Gas.P2aCount&gt;=6,F821=""),"Incomplete","Complete")))</f>
        <v>Complete</v>
      </c>
      <c r="I821" s="39" t="s">
        <v>1022</v>
      </c>
    </row>
    <row r="822" spans="2:9" ht="15" customHeight="1" x14ac:dyDescent="0.25">
      <c r="B822" s="37" t="s">
        <v>1016</v>
      </c>
      <c r="C822" s="26">
        <v>7</v>
      </c>
      <c r="D822" s="38" t="s">
        <v>2687</v>
      </c>
      <c r="E822" s="59"/>
      <c r="F822" s="59" t="str">
        <f>IF(INDEX(I.Gas.P2aTotalGasEnergy,7)="","",INDEX(I.Gas.P2aTotalGasEnergy,7))</f>
        <v/>
      </c>
      <c r="G822" s="59"/>
      <c r="H822" s="26" t="str">
        <f>IF(I.Developer.P2a=FALSE,"Complete",IF(I.Product.P2aGasToPower="No","Complete",IF(AND(I.Gas.P2aCount&gt;=7,F822=""),"Incomplete","Complete")))</f>
        <v>Complete</v>
      </c>
      <c r="I822" s="39" t="s">
        <v>1023</v>
      </c>
    </row>
    <row r="823" spans="2:9" ht="15" customHeight="1" x14ac:dyDescent="0.25">
      <c r="B823" s="37" t="s">
        <v>1016</v>
      </c>
      <c r="C823" s="26">
        <v>8</v>
      </c>
      <c r="D823" s="38" t="s">
        <v>2687</v>
      </c>
      <c r="E823" s="59"/>
      <c r="F823" s="59" t="str">
        <f>IF(INDEX(I.Gas.P2aTotalGasEnergy,8)="","",INDEX(I.Gas.P2aTotalGasEnergy,8))</f>
        <v/>
      </c>
      <c r="G823" s="59"/>
      <c r="H823" s="26" t="str">
        <f>IF(I.Developer.P2a=FALSE,"Complete",IF(I.Product.P2aGasToPower="No","Complete",IF(AND(I.Gas.P2aCount&gt;=8,F823=""),"Incomplete","Complete")))</f>
        <v>Complete</v>
      </c>
      <c r="I823" s="39" t="s">
        <v>1024</v>
      </c>
    </row>
    <row r="824" spans="2:9" ht="15" customHeight="1" x14ac:dyDescent="0.25">
      <c r="B824" s="37" t="s">
        <v>1016</v>
      </c>
      <c r="C824" s="26">
        <v>9</v>
      </c>
      <c r="D824" s="38" t="s">
        <v>2687</v>
      </c>
      <c r="E824" s="59"/>
      <c r="F824" s="59" t="str">
        <f>IF(INDEX(I.Gas.P2aTotalGasEnergy,9)="","",INDEX(I.Gas.P2aTotalGasEnergy,9))</f>
        <v/>
      </c>
      <c r="G824" s="59"/>
      <c r="H824" s="26" t="str">
        <f>IF(I.Developer.P2a=FALSE,"Complete",IF(I.Product.P2aGasToPower="No","Complete",IF(AND(I.Gas.P2aCount&gt;=9,F824=""),"Incomplete","Complete")))</f>
        <v>Complete</v>
      </c>
      <c r="I824" s="39" t="s">
        <v>1025</v>
      </c>
    </row>
    <row r="825" spans="2:9" ht="15" customHeight="1" x14ac:dyDescent="0.25">
      <c r="B825" s="37" t="s">
        <v>1016</v>
      </c>
      <c r="C825" s="26">
        <v>10</v>
      </c>
      <c r="D825" s="38" t="s">
        <v>2687</v>
      </c>
      <c r="E825" s="59"/>
      <c r="F825" s="59" t="str">
        <f>IF(INDEX(I.Gas.P2aTotalGasEnergy,10)="","",INDEX(I.Gas.P2aTotalGasEnergy,10))</f>
        <v/>
      </c>
      <c r="G825" s="59"/>
      <c r="H825" s="26" t="str">
        <f>IF(I.Developer.P2a=FALSE,"Complete",IF(I.Product.P2aGasToPower="No","Complete",IF(AND(I.Gas.P2aCount&gt;=10,F825=""),"Incomplete","Complete")))</f>
        <v>Complete</v>
      </c>
      <c r="I825" s="39" t="s">
        <v>1026</v>
      </c>
    </row>
    <row r="826" spans="2:9" ht="15" customHeight="1" x14ac:dyDescent="0.25">
      <c r="B826" s="37" t="s">
        <v>1016</v>
      </c>
      <c r="C826" s="26">
        <v>11</v>
      </c>
      <c r="D826" s="38" t="s">
        <v>2687</v>
      </c>
      <c r="E826" s="59"/>
      <c r="F826" s="59" t="str">
        <f>IF(INDEX(I.Gas.P2aTotalGasEnergy,11)="","",INDEX(I.Gas.P2aTotalGasEnergy,11))</f>
        <v/>
      </c>
      <c r="G826" s="59"/>
      <c r="H826" s="26" t="str">
        <f>IF(I.Developer.P2a=FALSE,"Complete",IF(I.Product.P2aGasToPower="No","Complete",IF(AND(I.Gas.P2aCount&gt;=11,F826=""),"Incomplete","Complete")))</f>
        <v>Complete</v>
      </c>
      <c r="I826" s="39" t="s">
        <v>1027</v>
      </c>
    </row>
    <row r="827" spans="2:9" ht="15" customHeight="1" x14ac:dyDescent="0.25">
      <c r="B827" s="37" t="s">
        <v>1016</v>
      </c>
      <c r="C827" s="26">
        <v>12</v>
      </c>
      <c r="D827" s="38" t="s">
        <v>2687</v>
      </c>
      <c r="E827" s="59"/>
      <c r="F827" s="59" t="str">
        <f>IF(INDEX(I.Gas.P2aTotalGasEnergy,12)="","",INDEX(I.Gas.P2aTotalGasEnergy,12))</f>
        <v/>
      </c>
      <c r="G827" s="59"/>
      <c r="H827" s="26" t="str">
        <f>IF(I.Developer.P2a=FALSE,"Complete",IF(I.Product.P2aGasToPower="No","Complete",IF(AND(I.Gas.P2aCount&gt;=12,F827=""),"Incomplete","Complete")))</f>
        <v>Complete</v>
      </c>
      <c r="I827" s="39" t="s">
        <v>1028</v>
      </c>
    </row>
    <row r="828" spans="2:9" ht="15" customHeight="1" x14ac:dyDescent="0.25">
      <c r="B828" s="37" t="s">
        <v>1016</v>
      </c>
      <c r="C828" s="26">
        <v>13</v>
      </c>
      <c r="D828" s="38" t="s">
        <v>2687</v>
      </c>
      <c r="E828" s="59"/>
      <c r="F828" s="59" t="str">
        <f>IF(INDEX(I.Gas.P2aTotalGasEnergy,13)="","",INDEX(I.Gas.P2aTotalGasEnergy,13))</f>
        <v/>
      </c>
      <c r="G828" s="59"/>
      <c r="H828" s="26" t="str">
        <f>IF(I.Developer.P2a=FALSE,"Complete",IF(I.Product.P2aGasToPower="No","Complete",IF(AND(I.Gas.P2aCount&gt;=13,F828=""),"Incomplete","Complete")))</f>
        <v>Complete</v>
      </c>
      <c r="I828" s="39" t="s">
        <v>1029</v>
      </c>
    </row>
    <row r="829" spans="2:9" ht="15" customHeight="1" x14ac:dyDescent="0.25">
      <c r="B829" s="37" t="s">
        <v>1016</v>
      </c>
      <c r="C829" s="26">
        <v>14</v>
      </c>
      <c r="D829" s="38" t="s">
        <v>2687</v>
      </c>
      <c r="E829" s="59"/>
      <c r="F829" s="59" t="str">
        <f>IF(INDEX(I.Gas.P2aTotalGasEnergy,14)="","",INDEX(I.Gas.P2aTotalGasEnergy,14))</f>
        <v/>
      </c>
      <c r="G829" s="59"/>
      <c r="H829" s="26" t="str">
        <f>IF(I.Developer.P2a=FALSE,"Complete",IF(I.Product.P2aGasToPower="No","Complete",IF(AND(I.Gas.P2aCount&gt;=14,F829=""),"Incomplete","Complete")))</f>
        <v>Complete</v>
      </c>
      <c r="I829" s="39" t="s">
        <v>1030</v>
      </c>
    </row>
    <row r="830" spans="2:9" ht="15" customHeight="1" x14ac:dyDescent="0.25">
      <c r="B830" s="37" t="s">
        <v>1016</v>
      </c>
      <c r="C830" s="26">
        <v>15</v>
      </c>
      <c r="D830" s="38" t="s">
        <v>2687</v>
      </c>
      <c r="E830" s="59"/>
      <c r="F830" s="59" t="str">
        <f>IF(INDEX(I.Gas.P2aTotalGasEnergy,15)="","",INDEX(I.Gas.P2aTotalGasEnergy,15))</f>
        <v/>
      </c>
      <c r="G830" s="59"/>
      <c r="H830" s="26" t="str">
        <f>IF(I.Developer.P2a=FALSE,"Complete",IF(I.Product.P2aGasToPower="No","Complete",IF(AND(I.Gas.P2aCount&gt;=15,F830=""),"Incomplete","Complete")))</f>
        <v>Complete</v>
      </c>
      <c r="I830" s="39" t="s">
        <v>1031</v>
      </c>
    </row>
    <row r="831" spans="2:9" ht="15" customHeight="1" x14ac:dyDescent="0.25">
      <c r="B831" s="37" t="s">
        <v>1016</v>
      </c>
      <c r="C831" s="26">
        <v>16</v>
      </c>
      <c r="D831" s="38" t="s">
        <v>2687</v>
      </c>
      <c r="E831" s="59"/>
      <c r="F831" s="59" t="str">
        <f>IF(INDEX(I.Gas.P2aTotalGasEnergy,16)="","",INDEX(I.Gas.P2aTotalGasEnergy,16))</f>
        <v/>
      </c>
      <c r="G831" s="59"/>
      <c r="H831" s="26" t="str">
        <f>IF(I.Developer.P2a=FALSE,"Complete",IF(I.Product.P2aGasToPower="No","Complete",IF(AND(I.Gas.P2aCount&gt;=16,F831=""),"Incomplete","Complete")))</f>
        <v>Complete</v>
      </c>
      <c r="I831" s="39" t="s">
        <v>1032</v>
      </c>
    </row>
    <row r="832" spans="2:9" ht="15" customHeight="1" x14ac:dyDescent="0.25">
      <c r="B832" s="37" t="s">
        <v>1016</v>
      </c>
      <c r="C832" s="26">
        <v>17</v>
      </c>
      <c r="D832" s="38" t="s">
        <v>2687</v>
      </c>
      <c r="E832" s="59"/>
      <c r="F832" s="59" t="str">
        <f>IF(INDEX(I.Gas.P2aTotalGasEnergy,17)="","",INDEX(I.Gas.P2aTotalGasEnergy,17))</f>
        <v/>
      </c>
      <c r="G832" s="59"/>
      <c r="H832" s="26" t="str">
        <f>IF(I.Developer.P2a=FALSE,"Complete",IF(I.Product.P2aGasToPower="No","Complete",IF(AND(I.Gas.P2aCount&gt;=17,F832=""),"Incomplete","Complete")))</f>
        <v>Complete</v>
      </c>
      <c r="I832" s="39" t="s">
        <v>1033</v>
      </c>
    </row>
    <row r="833" spans="2:9" ht="15" customHeight="1" x14ac:dyDescent="0.25">
      <c r="B833" s="37" t="s">
        <v>1016</v>
      </c>
      <c r="C833" s="26">
        <v>18</v>
      </c>
      <c r="D833" s="38" t="s">
        <v>2687</v>
      </c>
      <c r="E833" s="59"/>
      <c r="F833" s="59" t="str">
        <f>IF(INDEX(I.Gas.P2aTotalGasEnergy,18)="","",INDEX(I.Gas.P2aTotalGasEnergy,18))</f>
        <v/>
      </c>
      <c r="G833" s="59"/>
      <c r="H833" s="26" t="str">
        <f>IF(I.Developer.P2a=FALSE,"Complete",IF(I.Product.P2aGasToPower="No","Complete",IF(AND(I.Gas.P2aCount&gt;=18,F833=""),"Incomplete","Complete")))</f>
        <v>Complete</v>
      </c>
      <c r="I833" s="39" t="s">
        <v>1034</v>
      </c>
    </row>
    <row r="834" spans="2:9" ht="15" customHeight="1" x14ac:dyDescent="0.25">
      <c r="B834" s="37" t="s">
        <v>1016</v>
      </c>
      <c r="C834" s="26">
        <v>19</v>
      </c>
      <c r="D834" s="38" t="s">
        <v>2687</v>
      </c>
      <c r="E834" s="59"/>
      <c r="F834" s="59" t="str">
        <f>IF(INDEX(I.Gas.P2aTotalGasEnergy,19)="","",INDEX(I.Gas.P2aTotalGasEnergy,19))</f>
        <v/>
      </c>
      <c r="G834" s="59"/>
      <c r="H834" s="26" t="str">
        <f>IF(I.Developer.P2a=FALSE,"Complete",IF(I.Product.P2aGasToPower="No","Complete",IF(AND(I.Gas.P2aCount&gt;=19,F834=""),"Incomplete","Complete")))</f>
        <v>Complete</v>
      </c>
      <c r="I834" s="39" t="s">
        <v>1035</v>
      </c>
    </row>
    <row r="835" spans="2:9" ht="15" customHeight="1" x14ac:dyDescent="0.25">
      <c r="B835" s="37" t="s">
        <v>1016</v>
      </c>
      <c r="C835" s="26">
        <v>20</v>
      </c>
      <c r="D835" s="38" t="s">
        <v>2687</v>
      </c>
      <c r="E835" s="59"/>
      <c r="F835" s="59" t="str">
        <f>IF(INDEX(I.Gas.P2aTotalGasEnergy,20)="","",INDEX(I.Gas.P2aTotalGasEnergy,20))</f>
        <v/>
      </c>
      <c r="G835" s="59"/>
      <c r="H835" s="26" t="str">
        <f>IF(I.Developer.P2a=FALSE,"Complete",IF(I.Product.P2aGasToPower="No","Complete",IF(AND(I.Gas.P2aCount&gt;=20,F835=""),"Incomplete","Complete")))</f>
        <v>Complete</v>
      </c>
      <c r="I835" s="39" t="s">
        <v>1036</v>
      </c>
    </row>
    <row r="836" spans="2:9" ht="15" customHeight="1" x14ac:dyDescent="0.25">
      <c r="B836" s="37" t="s">
        <v>1016</v>
      </c>
      <c r="C836" s="26">
        <v>21</v>
      </c>
      <c r="D836" s="38" t="s">
        <v>2687</v>
      </c>
      <c r="E836" s="59"/>
      <c r="F836" s="59" t="str">
        <f>IF(INDEX(I.Gas.P2aTotalGasEnergy,21)="","",INDEX(I.Gas.P2aTotalGasEnergy,21))</f>
        <v/>
      </c>
      <c r="G836" s="59"/>
      <c r="H836" s="26" t="str">
        <f>IF(I.Developer.P2a=FALSE,"Complete",IF(I.Product.P2aGasToPower="No","Complete",IF(AND(I.Gas.P2aCount&gt;=21,F836=""),"Incomplete","Complete")))</f>
        <v>Complete</v>
      </c>
      <c r="I836" s="39" t="s">
        <v>1037</v>
      </c>
    </row>
    <row r="837" spans="2:9" ht="15" customHeight="1" x14ac:dyDescent="0.25">
      <c r="B837" s="37" t="s">
        <v>1016</v>
      </c>
      <c r="C837" s="26">
        <v>22</v>
      </c>
      <c r="D837" s="38" t="s">
        <v>2687</v>
      </c>
      <c r="E837" s="59"/>
      <c r="F837" s="59" t="str">
        <f>IF(INDEX(I.Gas.P2aTotalGasEnergy,22)="","",INDEX(I.Gas.P2aTotalGasEnergy,22))</f>
        <v/>
      </c>
      <c r="G837" s="59"/>
      <c r="H837" s="26" t="str">
        <f>IF(I.Developer.P2a=FALSE,"Complete",IF(I.Product.P2aGasToPower="No","Complete",IF(AND(I.Gas.P2aCount&gt;=22,F837=""),"Incomplete","Complete")))</f>
        <v>Complete</v>
      </c>
      <c r="I837" s="39" t="s">
        <v>1038</v>
      </c>
    </row>
    <row r="838" spans="2:9" ht="15" customHeight="1" x14ac:dyDescent="0.25">
      <c r="B838" s="37" t="s">
        <v>1016</v>
      </c>
      <c r="C838" s="26">
        <v>23</v>
      </c>
      <c r="D838" s="38" t="s">
        <v>2687</v>
      </c>
      <c r="E838" s="59"/>
      <c r="F838" s="59" t="str">
        <f>IF(INDEX(I.Gas.P2aTotalGasEnergy,23)="","",INDEX(I.Gas.P2aTotalGasEnergy,23))</f>
        <v/>
      </c>
      <c r="G838" s="59"/>
      <c r="H838" s="26" t="str">
        <f>IF(I.Developer.P2a=FALSE,"Complete",IF(I.Product.P2aGasToPower="No","Complete",IF(AND(I.Gas.P2aCount&gt;=23,F838=""),"Incomplete","Complete")))</f>
        <v>Complete</v>
      </c>
      <c r="I838" s="39" t="s">
        <v>1039</v>
      </c>
    </row>
    <row r="839" spans="2:9" ht="15" customHeight="1" x14ac:dyDescent="0.25">
      <c r="B839" s="37" t="s">
        <v>1016</v>
      </c>
      <c r="C839" s="26">
        <v>24</v>
      </c>
      <c r="D839" s="38" t="s">
        <v>2687</v>
      </c>
      <c r="E839" s="59"/>
      <c r="F839" s="59" t="str">
        <f>IF(INDEX(I.Gas.P2aTotalGasEnergy,24)="","",INDEX(I.Gas.P2aTotalGasEnergy,24))</f>
        <v/>
      </c>
      <c r="G839" s="59"/>
      <c r="H839" s="26" t="str">
        <f>IF(I.Developer.P2a=FALSE,"Complete",IF(I.Product.P2aGasToPower="No","Complete",IF(AND(I.Gas.P2aCount&gt;=24,F839=""),"Incomplete","Complete")))</f>
        <v>Complete</v>
      </c>
      <c r="I839" s="39" t="s">
        <v>1040</v>
      </c>
    </row>
    <row r="840" spans="2:9" ht="15" customHeight="1" x14ac:dyDescent="0.25">
      <c r="B840" s="37" t="s">
        <v>1016</v>
      </c>
      <c r="C840" s="26">
        <v>25</v>
      </c>
      <c r="D840" s="38" t="s">
        <v>2687</v>
      </c>
      <c r="E840" s="59"/>
      <c r="F840" s="59" t="str">
        <f>IF(INDEX(I.Gas.P2aTotalGasEnergy,25)="","",INDEX(I.Gas.P2aTotalGasEnergy,25))</f>
        <v/>
      </c>
      <c r="G840" s="59"/>
      <c r="H840" s="26" t="str">
        <f>IF(I.Developer.P2a=FALSE,"Complete",IF(I.Product.P2aGasToPower="No","Complete",IF(AND(I.Gas.P2aCount&gt;=25,F840=""),"Incomplete","Complete")))</f>
        <v>Complete</v>
      </c>
      <c r="I840" s="39" t="s">
        <v>1041</v>
      </c>
    </row>
    <row r="841" spans="2:9" ht="15" customHeight="1" x14ac:dyDescent="0.25">
      <c r="B841" s="37" t="s">
        <v>1016</v>
      </c>
      <c r="C841" s="26">
        <v>26</v>
      </c>
      <c r="D841" s="38" t="s">
        <v>2687</v>
      </c>
      <c r="E841" s="59"/>
      <c r="F841" s="59" t="str">
        <f>IF(INDEX(I.Gas.P2aTotalGasEnergy,26)="","",INDEX(I.Gas.P2aTotalGasEnergy,26))</f>
        <v/>
      </c>
      <c r="G841" s="59"/>
      <c r="H841" s="26" t="str">
        <f>IF(I.Developer.P2a=FALSE,"Complete",IF(I.Product.P2aGasToPower="No","Complete",IF(AND(I.Gas.P2aCount&gt;=26,F841=""),"Incomplete","Complete")))</f>
        <v>Complete</v>
      </c>
      <c r="I841" s="39" t="s">
        <v>1042</v>
      </c>
    </row>
    <row r="842" spans="2:9" ht="15" customHeight="1" x14ac:dyDescent="0.25">
      <c r="B842" s="37" t="s">
        <v>1016</v>
      </c>
      <c r="C842" s="26">
        <v>27</v>
      </c>
      <c r="D842" s="38" t="s">
        <v>2687</v>
      </c>
      <c r="E842" s="59"/>
      <c r="F842" s="59" t="str">
        <f>IF(INDEX(I.Gas.P2aTotalGasEnergy,27)="","",INDEX(I.Gas.P2aTotalGasEnergy,27))</f>
        <v/>
      </c>
      <c r="G842" s="59"/>
      <c r="H842" s="26" t="str">
        <f>IF(I.Developer.P2a=FALSE,"Complete",IF(I.Product.P2aGasToPower="No","Complete",IF(AND(I.Gas.P2aCount&gt;=27,F842=""),"Incomplete","Complete")))</f>
        <v>Complete</v>
      </c>
      <c r="I842" s="39" t="s">
        <v>1043</v>
      </c>
    </row>
    <row r="843" spans="2:9" ht="15" customHeight="1" x14ac:dyDescent="0.25">
      <c r="B843" s="37" t="s">
        <v>1016</v>
      </c>
      <c r="C843" s="26">
        <v>28</v>
      </c>
      <c r="D843" s="38" t="s">
        <v>2687</v>
      </c>
      <c r="E843" s="59"/>
      <c r="F843" s="59" t="str">
        <f>IF(INDEX(I.Gas.P2aTotalGasEnergy,28)="","",INDEX(I.Gas.P2aTotalGasEnergy,28))</f>
        <v/>
      </c>
      <c r="G843" s="59"/>
      <c r="H843" s="26" t="str">
        <f>IF(I.Developer.P2a=FALSE,"Complete",IF(I.Product.P2aGasToPower="No","Complete",IF(AND(I.Gas.P2aCount&gt;=28,F843=""),"Incomplete","Complete")))</f>
        <v>Complete</v>
      </c>
      <c r="I843" s="39" t="s">
        <v>1044</v>
      </c>
    </row>
    <row r="844" spans="2:9" ht="15" customHeight="1" x14ac:dyDescent="0.25">
      <c r="B844" s="37" t="s">
        <v>1016</v>
      </c>
      <c r="C844" s="26">
        <v>29</v>
      </c>
      <c r="D844" s="38" t="s">
        <v>2687</v>
      </c>
      <c r="E844" s="59"/>
      <c r="F844" s="59" t="str">
        <f>IF(INDEX(I.Gas.P2aTotalGasEnergy,29)="","",INDEX(I.Gas.P2aTotalGasEnergy,29))</f>
        <v/>
      </c>
      <c r="G844" s="59"/>
      <c r="H844" s="26" t="str">
        <f>IF(I.Developer.P2a=FALSE,"Complete",IF(I.Product.P2aGasToPower="No","Complete",IF(AND(I.Gas.P2aCount&gt;=29,F844=""),"Incomplete","Complete")))</f>
        <v>Complete</v>
      </c>
      <c r="I844" s="39" t="s">
        <v>1045</v>
      </c>
    </row>
    <row r="845" spans="2:9" ht="15" customHeight="1" x14ac:dyDescent="0.25">
      <c r="B845" s="37" t="s">
        <v>1016</v>
      </c>
      <c r="C845" s="26">
        <v>30</v>
      </c>
      <c r="D845" s="38" t="s">
        <v>2687</v>
      </c>
      <c r="E845" s="59"/>
      <c r="F845" s="59" t="str">
        <f>IF(INDEX(I.Gas.P2aTotalGasEnergy,30)="","",INDEX(I.Gas.P2aTotalGasEnergy,30))</f>
        <v/>
      </c>
      <c r="G845" s="59"/>
      <c r="H845" s="26" t="str">
        <f>IF(I.Developer.P2a=FALSE,"Complete",IF(I.Product.P2aGasToPower="No","Complete",IF(AND(I.Gas.P2aCount&gt;=30,F845=""),"Incomplete","Complete")))</f>
        <v>Complete</v>
      </c>
      <c r="I845" s="39" t="s">
        <v>1046</v>
      </c>
    </row>
    <row r="846" spans="2:9" ht="15" customHeight="1" x14ac:dyDescent="0.25">
      <c r="B846" s="37" t="s">
        <v>1016</v>
      </c>
      <c r="C846" s="26">
        <v>31</v>
      </c>
      <c r="D846" s="38" t="s">
        <v>2687</v>
      </c>
      <c r="E846" s="59"/>
      <c r="F846" s="59" t="str">
        <f>IF(INDEX(I.Gas.P2aTotalGasEnergy,31)="","",INDEX(I.Gas.P2aTotalGasEnergy,31))</f>
        <v/>
      </c>
      <c r="G846" s="59"/>
      <c r="H846" s="26" t="str">
        <f>IF(I.Developer.P2a=FALSE,"Complete",IF(I.Product.P2aGasToPower="No","Complete",IF(AND(I.Gas.P2aCount&gt;=31,F846=""),"Incomplete","Complete")))</f>
        <v>Complete</v>
      </c>
      <c r="I846" s="39" t="s">
        <v>1047</v>
      </c>
    </row>
    <row r="847" spans="2:9" ht="15" customHeight="1" x14ac:dyDescent="0.25">
      <c r="B847" s="37" t="s">
        <v>1016</v>
      </c>
      <c r="C847" s="26">
        <v>32</v>
      </c>
      <c r="D847" s="38" t="s">
        <v>2687</v>
      </c>
      <c r="E847" s="59"/>
      <c r="F847" s="59" t="str">
        <f>IF(INDEX(I.Gas.P2aTotalGasEnergy,32)="","",INDEX(I.Gas.P2aTotalGasEnergy,32))</f>
        <v/>
      </c>
      <c r="G847" s="59"/>
      <c r="H847" s="26" t="str">
        <f>IF(I.Developer.P2a=FALSE,"Complete",IF(I.Product.P2aGasToPower="No","Complete",IF(AND(I.Gas.P2aCount&gt;=32,F847=""),"Incomplete","Complete")))</f>
        <v>Complete</v>
      </c>
      <c r="I847" s="39" t="s">
        <v>1048</v>
      </c>
    </row>
    <row r="848" spans="2:9" ht="15" customHeight="1" x14ac:dyDescent="0.25">
      <c r="B848" s="37" t="s">
        <v>1016</v>
      </c>
      <c r="C848" s="26">
        <v>33</v>
      </c>
      <c r="D848" s="38" t="s">
        <v>2687</v>
      </c>
      <c r="E848" s="59"/>
      <c r="F848" s="59" t="str">
        <f>IF(INDEX(I.Gas.P2aTotalGasEnergy,33)="","",INDEX(I.Gas.P2aTotalGasEnergy,33))</f>
        <v/>
      </c>
      <c r="G848" s="59"/>
      <c r="H848" s="26" t="str">
        <f>IF(I.Developer.P2a=FALSE,"Complete",IF(I.Product.P2aGasToPower="No","Complete",IF(AND(I.Gas.P2aCount&gt;=33,F848=""),"Incomplete","Complete")))</f>
        <v>Complete</v>
      </c>
      <c r="I848" s="39" t="s">
        <v>1049</v>
      </c>
    </row>
    <row r="849" spans="2:9" ht="15" customHeight="1" x14ac:dyDescent="0.25">
      <c r="B849" s="37" t="s">
        <v>1016</v>
      </c>
      <c r="C849" s="26">
        <v>34</v>
      </c>
      <c r="D849" s="38" t="s">
        <v>2687</v>
      </c>
      <c r="E849" s="59"/>
      <c r="F849" s="59" t="str">
        <f>IF(INDEX(I.Gas.P2aTotalGasEnergy,34)="","",INDEX(I.Gas.P2aTotalGasEnergy,34))</f>
        <v/>
      </c>
      <c r="G849" s="59"/>
      <c r="H849" s="26" t="str">
        <f>IF(I.Developer.P2a=FALSE,"Complete",IF(I.Product.P2aGasToPower="No","Complete",IF(AND(I.Gas.P2aCount&gt;=34,F849=""),"Incomplete","Complete")))</f>
        <v>Complete</v>
      </c>
      <c r="I849" s="39" t="s">
        <v>1050</v>
      </c>
    </row>
    <row r="850" spans="2:9" ht="15" customHeight="1" x14ac:dyDescent="0.25">
      <c r="B850" s="37" t="s">
        <v>1016</v>
      </c>
      <c r="C850" s="26">
        <v>35</v>
      </c>
      <c r="D850" s="38" t="s">
        <v>2687</v>
      </c>
      <c r="E850" s="59"/>
      <c r="F850" s="59" t="str">
        <f>IF(INDEX(I.Gas.P2aTotalGasEnergy,35)="","",INDEX(I.Gas.P2aTotalGasEnergy,35))</f>
        <v/>
      </c>
      <c r="G850" s="59"/>
      <c r="H850" s="26" t="str">
        <f>IF(I.Developer.P2a=FALSE,"Complete",IF(I.Product.P2aGasToPower="No","Complete",IF(AND(I.Gas.P2aCount&gt;=35,F850=""),"Incomplete","Complete")))</f>
        <v>Complete</v>
      </c>
      <c r="I850" s="39" t="s">
        <v>1051</v>
      </c>
    </row>
    <row r="851" spans="2:9" ht="15" customHeight="1" x14ac:dyDescent="0.25">
      <c r="B851" s="37" t="s">
        <v>1016</v>
      </c>
      <c r="C851" s="26">
        <v>36</v>
      </c>
      <c r="D851" s="38" t="s">
        <v>2687</v>
      </c>
      <c r="E851" s="59"/>
      <c r="F851" s="59" t="str">
        <f>IF(INDEX(I.Gas.P2aTotalGasEnergy,36)="","",INDEX(I.Gas.P2aTotalGasEnergy,36))</f>
        <v/>
      </c>
      <c r="G851" s="59"/>
      <c r="H851" s="26" t="str">
        <f>IF(I.Developer.P2a=FALSE,"Complete",IF(I.Product.P2aGasToPower="No","Complete",IF(AND(I.Gas.P2aCount&gt;=36,F851=""),"Incomplete","Complete")))</f>
        <v>Complete</v>
      </c>
      <c r="I851" s="39" t="s">
        <v>1052</v>
      </c>
    </row>
    <row r="852" spans="2:9" ht="15" customHeight="1" x14ac:dyDescent="0.25">
      <c r="B852" s="37" t="s">
        <v>1016</v>
      </c>
      <c r="C852" s="26">
        <v>37</v>
      </c>
      <c r="D852" s="38" t="s">
        <v>2687</v>
      </c>
      <c r="E852" s="59"/>
      <c r="F852" s="59" t="str">
        <f>IF(INDEX(I.Gas.P2aTotalGasEnergy,37)="","",INDEX(I.Gas.P2aTotalGasEnergy,37))</f>
        <v/>
      </c>
      <c r="G852" s="59"/>
      <c r="H852" s="26" t="str">
        <f>IF(I.Developer.P2a=FALSE,"Complete",IF(I.Product.P2aGasToPower="No","Complete",IF(AND(I.Gas.P2aCount&gt;=37,F852=""),"Incomplete","Complete")))</f>
        <v>Complete</v>
      </c>
      <c r="I852" s="39" t="s">
        <v>1053</v>
      </c>
    </row>
    <row r="853" spans="2:9" ht="15" customHeight="1" x14ac:dyDescent="0.25">
      <c r="B853" s="37" t="s">
        <v>1016</v>
      </c>
      <c r="C853" s="26">
        <v>38</v>
      </c>
      <c r="D853" s="38" t="s">
        <v>2687</v>
      </c>
      <c r="E853" s="59"/>
      <c r="F853" s="59" t="str">
        <f>IF(INDEX(I.Gas.P2aTotalGasEnergy,38)="","",INDEX(I.Gas.P2aTotalGasEnergy,38))</f>
        <v/>
      </c>
      <c r="G853" s="59"/>
      <c r="H853" s="26" t="str">
        <f>IF(I.Developer.P2a=FALSE,"Complete",IF(I.Product.P2aGasToPower="No","Complete",IF(AND(I.Gas.P2aCount&gt;=38,F853=""),"Incomplete","Complete")))</f>
        <v>Complete</v>
      </c>
      <c r="I853" s="39" t="s">
        <v>1054</v>
      </c>
    </row>
    <row r="854" spans="2:9" ht="15" customHeight="1" x14ac:dyDescent="0.25">
      <c r="B854" s="37" t="s">
        <v>1016</v>
      </c>
      <c r="C854" s="26">
        <v>39</v>
      </c>
      <c r="D854" s="38" t="s">
        <v>2687</v>
      </c>
      <c r="E854" s="59"/>
      <c r="F854" s="59" t="str">
        <f>IF(INDEX(I.Gas.P2aTotalGasEnergy,39)="","",INDEX(I.Gas.P2aTotalGasEnergy,39))</f>
        <v/>
      </c>
      <c r="G854" s="59"/>
      <c r="H854" s="26" t="str">
        <f>IF(I.Developer.P2a=FALSE,"Complete",IF(I.Product.P2aGasToPower="No","Complete",IF(AND(I.Gas.P2aCount&gt;=39,F854=""),"Incomplete","Complete")))</f>
        <v>Complete</v>
      </c>
      <c r="I854" s="39" t="s">
        <v>1055</v>
      </c>
    </row>
    <row r="855" spans="2:9" ht="15" customHeight="1" x14ac:dyDescent="0.25">
      <c r="B855" s="37" t="s">
        <v>1016</v>
      </c>
      <c r="C855" s="26">
        <v>40</v>
      </c>
      <c r="D855" s="38" t="s">
        <v>2687</v>
      </c>
      <c r="E855" s="59"/>
      <c r="F855" s="59" t="str">
        <f>IF(INDEX(I.Gas.P2aTotalGasEnergy,40)="","",INDEX(I.Gas.P2aTotalGasEnergy,40))</f>
        <v/>
      </c>
      <c r="G855" s="59"/>
      <c r="H855" s="26" t="str">
        <f>IF(I.Developer.P2a=FALSE,"Complete",IF(I.Product.P2aGasToPower="No","Complete",IF(AND(I.Gas.P2aCount&gt;=40,F855=""),"Incomplete","Complete")))</f>
        <v>Complete</v>
      </c>
      <c r="I855" s="39" t="s">
        <v>1056</v>
      </c>
    </row>
    <row r="856" spans="2:9" ht="15" customHeight="1" x14ac:dyDescent="0.25">
      <c r="B856" s="37" t="s">
        <v>1016</v>
      </c>
      <c r="C856" s="26">
        <v>41</v>
      </c>
      <c r="D856" s="38" t="s">
        <v>2687</v>
      </c>
      <c r="E856" s="59"/>
      <c r="F856" s="59" t="str">
        <f>IF(INDEX(I.Gas.P2aTotalGasEnergy,41)="","",INDEX(I.Gas.P2aTotalGasEnergy,41))</f>
        <v/>
      </c>
      <c r="G856" s="59"/>
      <c r="H856" s="26" t="str">
        <f>IF(I.Developer.P2a=FALSE,"Complete",IF(I.Product.P2aGasToPower="No","Complete",IF(AND(I.Gas.P2aCount&gt;=41,F856=""),"Incomplete","Complete")))</f>
        <v>Complete</v>
      </c>
      <c r="I856" s="39" t="s">
        <v>1057</v>
      </c>
    </row>
    <row r="857" spans="2:9" ht="15" customHeight="1" x14ac:dyDescent="0.25">
      <c r="B857" s="37" t="s">
        <v>1016</v>
      </c>
      <c r="C857" s="26">
        <v>42</v>
      </c>
      <c r="D857" s="38" t="s">
        <v>2687</v>
      </c>
      <c r="E857" s="59"/>
      <c r="F857" s="59" t="str">
        <f>IF(INDEX(I.Gas.P2aTotalGasEnergy,42)="","",INDEX(I.Gas.P2aTotalGasEnergy,42))</f>
        <v/>
      </c>
      <c r="G857" s="59"/>
      <c r="H857" s="26" t="str">
        <f>IF(I.Developer.P2a=FALSE,"Complete",IF(I.Product.P2aGasToPower="No","Complete",IF(AND(I.Gas.P2aCount&gt;=42,F857=""),"Incomplete","Complete")))</f>
        <v>Complete</v>
      </c>
      <c r="I857" s="39" t="s">
        <v>1058</v>
      </c>
    </row>
    <row r="858" spans="2:9" ht="15" customHeight="1" x14ac:dyDescent="0.25">
      <c r="B858" s="37" t="s">
        <v>1016</v>
      </c>
      <c r="C858" s="26">
        <v>43</v>
      </c>
      <c r="D858" s="38" t="s">
        <v>2687</v>
      </c>
      <c r="E858" s="59"/>
      <c r="F858" s="59" t="str">
        <f>IF(INDEX(I.Gas.P2aTotalGasEnergy,43)="","",INDEX(I.Gas.P2aTotalGasEnergy,43))</f>
        <v/>
      </c>
      <c r="G858" s="59"/>
      <c r="H858" s="26" t="str">
        <f>IF(I.Developer.P2a=FALSE,"Complete",IF(I.Product.P2aGasToPower="No","Complete",IF(AND(I.Gas.P2aCount&gt;=43,F858=""),"Incomplete","Complete")))</f>
        <v>Complete</v>
      </c>
      <c r="I858" s="39" t="s">
        <v>1059</v>
      </c>
    </row>
    <row r="859" spans="2:9" ht="15" customHeight="1" x14ac:dyDescent="0.25">
      <c r="B859" s="37" t="s">
        <v>1016</v>
      </c>
      <c r="C859" s="26">
        <v>44</v>
      </c>
      <c r="D859" s="38" t="s">
        <v>2687</v>
      </c>
      <c r="E859" s="59"/>
      <c r="F859" s="59" t="str">
        <f>IF(INDEX(I.Gas.P2aTotalGasEnergy,44)="","",INDEX(I.Gas.P2aTotalGasEnergy,44))</f>
        <v/>
      </c>
      <c r="G859" s="59"/>
      <c r="H859" s="26" t="str">
        <f>IF(I.Developer.P2a=FALSE,"Complete",IF(I.Product.P2aGasToPower="No","Complete",IF(AND(I.Gas.P2aCount&gt;=44,F859=""),"Incomplete","Complete")))</f>
        <v>Complete</v>
      </c>
      <c r="I859" s="39" t="s">
        <v>1060</v>
      </c>
    </row>
    <row r="860" spans="2:9" ht="15" customHeight="1" x14ac:dyDescent="0.25">
      <c r="B860" s="37" t="s">
        <v>1016</v>
      </c>
      <c r="C860" s="26">
        <v>45</v>
      </c>
      <c r="D860" s="38" t="s">
        <v>2687</v>
      </c>
      <c r="E860" s="59"/>
      <c r="F860" s="59" t="str">
        <f>IF(INDEX(I.Gas.P2aTotalGasEnergy,45)="","",INDEX(I.Gas.P2aTotalGasEnergy,45))</f>
        <v/>
      </c>
      <c r="G860" s="59"/>
      <c r="H860" s="26" t="str">
        <f>IF(I.Developer.P2a=FALSE,"Complete",IF(I.Product.P2aGasToPower="No","Complete",IF(AND(I.Gas.P2aCount&gt;=45,F860=""),"Incomplete","Complete")))</f>
        <v>Complete</v>
      </c>
      <c r="I860" s="39" t="s">
        <v>1061</v>
      </c>
    </row>
    <row r="861" spans="2:9" ht="15" customHeight="1" x14ac:dyDescent="0.25">
      <c r="B861" s="37" t="s">
        <v>1016</v>
      </c>
      <c r="C861" s="26">
        <v>46</v>
      </c>
      <c r="D861" s="38" t="s">
        <v>2687</v>
      </c>
      <c r="E861" s="59"/>
      <c r="F861" s="59" t="str">
        <f>IF(INDEX(I.Gas.P2aTotalGasEnergy,46)="","",INDEX(I.Gas.P2aTotalGasEnergy,46))</f>
        <v/>
      </c>
      <c r="G861" s="59"/>
      <c r="H861" s="26" t="str">
        <f>IF(I.Developer.P2a=FALSE,"Complete",IF(I.Product.P2aGasToPower="No","Complete",IF(AND(I.Gas.P2aCount&gt;=46,F861=""),"Incomplete","Complete")))</f>
        <v>Complete</v>
      </c>
      <c r="I861" s="39" t="s">
        <v>1062</v>
      </c>
    </row>
    <row r="862" spans="2:9" ht="15" customHeight="1" x14ac:dyDescent="0.25">
      <c r="B862" s="37" t="s">
        <v>1016</v>
      </c>
      <c r="C862" s="26">
        <v>47</v>
      </c>
      <c r="D862" s="38" t="s">
        <v>2687</v>
      </c>
      <c r="E862" s="59"/>
      <c r="F862" s="59" t="str">
        <f>IF(INDEX(I.Gas.P2aTotalGasEnergy,47)="","",INDEX(I.Gas.P2aTotalGasEnergy,47))</f>
        <v/>
      </c>
      <c r="G862" s="59"/>
      <c r="H862" s="26" t="str">
        <f>IF(I.Developer.P2a=FALSE,"Complete",IF(I.Product.P2aGasToPower="No","Complete",IF(AND(I.Gas.P2aCount&gt;=47,F862=""),"Incomplete","Complete")))</f>
        <v>Complete</v>
      </c>
      <c r="I862" s="39" t="s">
        <v>1063</v>
      </c>
    </row>
    <row r="863" spans="2:9" ht="15" customHeight="1" x14ac:dyDescent="0.25">
      <c r="B863" s="37" t="s">
        <v>1016</v>
      </c>
      <c r="C863" s="26">
        <v>48</v>
      </c>
      <c r="D863" s="38" t="s">
        <v>2687</v>
      </c>
      <c r="E863" s="59"/>
      <c r="F863" s="59" t="str">
        <f>IF(INDEX(I.Gas.P2aTotalGasEnergy,48)="","",INDEX(I.Gas.P2aTotalGasEnergy,48))</f>
        <v/>
      </c>
      <c r="G863" s="59"/>
      <c r="H863" s="26" t="str">
        <f>IF(I.Developer.P2a=FALSE,"Complete",IF(I.Product.P2aGasToPower="No","Complete",IF(AND(I.Gas.P2aCount&gt;=48,F863=""),"Incomplete","Complete")))</f>
        <v>Complete</v>
      </c>
      <c r="I863" s="39" t="s">
        <v>1064</v>
      </c>
    </row>
    <row r="864" spans="2:9" ht="15" customHeight="1" x14ac:dyDescent="0.25">
      <c r="B864" s="37" t="s">
        <v>1016</v>
      </c>
      <c r="C864" s="26">
        <v>49</v>
      </c>
      <c r="D864" s="38" t="s">
        <v>2687</v>
      </c>
      <c r="E864" s="59"/>
      <c r="F864" s="59" t="str">
        <f>IF(INDEX(I.Gas.P2aTotalGasEnergy,49)="","",INDEX(I.Gas.P2aTotalGasEnergy,49))</f>
        <v/>
      </c>
      <c r="G864" s="59"/>
      <c r="H864" s="26" t="str">
        <f>IF(I.Developer.P2a=FALSE,"Complete",IF(I.Product.P2aGasToPower="No","Complete",IF(AND(I.Gas.P2aCount&gt;=49,F864=""),"Incomplete","Complete")))</f>
        <v>Complete</v>
      </c>
      <c r="I864" s="39" t="s">
        <v>1065</v>
      </c>
    </row>
    <row r="865" spans="2:9" ht="15" customHeight="1" x14ac:dyDescent="0.25">
      <c r="B865" s="40" t="s">
        <v>1016</v>
      </c>
      <c r="C865" s="46">
        <v>50</v>
      </c>
      <c r="D865" s="44" t="s">
        <v>2687</v>
      </c>
      <c r="E865" s="63"/>
      <c r="F865" s="63" t="str">
        <f>IF(INDEX(I.Gas.P2aTotalGasEnergy,50)="","",INDEX(I.Gas.P2aTotalGasEnergy,50))</f>
        <v/>
      </c>
      <c r="G865" s="63"/>
      <c r="H865" s="46" t="str">
        <f>IF(I.Developer.P2a=FALSE,"Complete",IF(I.Product.P2aGasToPower="No","Complete",IF(AND(I.Gas.P2aCount&gt;=50,F865=""),"Incomplete","Complete")))</f>
        <v>Complete</v>
      </c>
      <c r="I865" s="47" t="s">
        <v>1066</v>
      </c>
    </row>
    <row r="866" spans="2:9" ht="15" customHeight="1" x14ac:dyDescent="0.25">
      <c r="B866" s="37" t="s">
        <v>1067</v>
      </c>
      <c r="C866" s="26">
        <v>1</v>
      </c>
      <c r="D866" s="38" t="s">
        <v>2688</v>
      </c>
      <c r="E866" s="59"/>
      <c r="F866" s="59" t="str">
        <f>IF(INDEX(I.Gas.P2aElectricityGeneration,1)="","",INDEX(I.Gas.P2aElectricityGeneration,1))</f>
        <v/>
      </c>
      <c r="G866" s="59"/>
      <c r="H866" s="26" t="str">
        <f>IF(I.Developer.P2a=FALSE,"Complete",IF(I.Product.P2aGasToPower="No","Complete",IF(AND(I.Gas.P2aCount&gt;=1,F866=""),"Incomplete","Complete")))</f>
        <v>Complete</v>
      </c>
      <c r="I866" s="39" t="s">
        <v>1068</v>
      </c>
    </row>
    <row r="867" spans="2:9" ht="15" customHeight="1" x14ac:dyDescent="0.25">
      <c r="B867" s="37" t="s">
        <v>1067</v>
      </c>
      <c r="C867" s="26">
        <v>2</v>
      </c>
      <c r="D867" s="38" t="s">
        <v>2688</v>
      </c>
      <c r="E867" s="59"/>
      <c r="F867" s="59" t="str">
        <f>IF(INDEX(I.Gas.P2aElectricityGeneration,2)="","",INDEX(I.Gas.P2aElectricityGeneration,2))</f>
        <v/>
      </c>
      <c r="G867" s="59"/>
      <c r="H867" s="26" t="str">
        <f>IF(I.Developer.P2a=FALSE,"Complete",IF(I.Product.P2aGasToPower="No","Complete",IF(AND(I.Gas.P2aCount&gt;=2,F867=""),"Incomplete","Complete")))</f>
        <v>Complete</v>
      </c>
      <c r="I867" s="39" t="s">
        <v>1069</v>
      </c>
    </row>
    <row r="868" spans="2:9" ht="15" customHeight="1" x14ac:dyDescent="0.25">
      <c r="B868" s="37" t="s">
        <v>1067</v>
      </c>
      <c r="C868" s="26">
        <v>3</v>
      </c>
      <c r="D868" s="38" t="s">
        <v>2688</v>
      </c>
      <c r="E868" s="59"/>
      <c r="F868" s="59" t="str">
        <f>IF(INDEX(I.Gas.P2aElectricityGeneration,3)="","",INDEX(I.Gas.P2aElectricityGeneration,3))</f>
        <v/>
      </c>
      <c r="G868" s="59"/>
      <c r="H868" s="26" t="str">
        <f>IF(I.Developer.P2a=FALSE,"Complete",IF(I.Product.P2aGasToPower="No","Complete",IF(AND(I.Gas.P2aCount&gt;=3,F868=""),"Incomplete","Complete")))</f>
        <v>Complete</v>
      </c>
      <c r="I868" s="39" t="s">
        <v>1070</v>
      </c>
    </row>
    <row r="869" spans="2:9" ht="15" customHeight="1" x14ac:dyDescent="0.25">
      <c r="B869" s="37" t="s">
        <v>1067</v>
      </c>
      <c r="C869" s="26">
        <v>4</v>
      </c>
      <c r="D869" s="38" t="s">
        <v>2688</v>
      </c>
      <c r="E869" s="59"/>
      <c r="F869" s="59" t="str">
        <f>IF(INDEX(I.Gas.P2aElectricityGeneration,4)="","",INDEX(I.Gas.P2aElectricityGeneration,4))</f>
        <v/>
      </c>
      <c r="G869" s="59"/>
      <c r="H869" s="26" t="str">
        <f>IF(I.Developer.P2a=FALSE,"Complete",IF(I.Product.P2aGasToPower="No","Complete",IF(AND(I.Gas.P2aCount&gt;=4,F869=""),"Incomplete","Complete")))</f>
        <v>Complete</v>
      </c>
      <c r="I869" s="39" t="s">
        <v>1071</v>
      </c>
    </row>
    <row r="870" spans="2:9" ht="15" customHeight="1" x14ac:dyDescent="0.25">
      <c r="B870" s="37" t="s">
        <v>1067</v>
      </c>
      <c r="C870" s="26">
        <v>5</v>
      </c>
      <c r="D870" s="38" t="s">
        <v>2688</v>
      </c>
      <c r="E870" s="59"/>
      <c r="F870" s="59" t="str">
        <f>IF(INDEX(I.Gas.P2aElectricityGeneration,5)="","",INDEX(I.Gas.P2aElectricityGeneration,5))</f>
        <v/>
      </c>
      <c r="G870" s="59"/>
      <c r="H870" s="26" t="str">
        <f>IF(I.Developer.P2a=FALSE,"Complete",IF(I.Product.P2aGasToPower="No","Complete",IF(AND(I.Gas.P2aCount&gt;=5,F870=""),"Incomplete","Complete")))</f>
        <v>Complete</v>
      </c>
      <c r="I870" s="39" t="s">
        <v>1072</v>
      </c>
    </row>
    <row r="871" spans="2:9" ht="15" customHeight="1" x14ac:dyDescent="0.25">
      <c r="B871" s="37" t="s">
        <v>1067</v>
      </c>
      <c r="C871" s="26">
        <v>6</v>
      </c>
      <c r="D871" s="38" t="s">
        <v>2688</v>
      </c>
      <c r="E871" s="59"/>
      <c r="F871" s="59" t="str">
        <f>IF(INDEX(I.Gas.P2aElectricityGeneration,6)="","",INDEX(I.Gas.P2aElectricityGeneration,6))</f>
        <v/>
      </c>
      <c r="G871" s="59"/>
      <c r="H871" s="26" t="str">
        <f>IF(I.Developer.P2a=FALSE,"Complete",IF(I.Product.P2aGasToPower="No","Complete",IF(AND(I.Gas.P2aCount&gt;=6,F871=""),"Incomplete","Complete")))</f>
        <v>Complete</v>
      </c>
      <c r="I871" s="39" t="s">
        <v>1073</v>
      </c>
    </row>
    <row r="872" spans="2:9" ht="15" customHeight="1" x14ac:dyDescent="0.25">
      <c r="B872" s="37" t="s">
        <v>1067</v>
      </c>
      <c r="C872" s="26">
        <v>7</v>
      </c>
      <c r="D872" s="38" t="s">
        <v>2688</v>
      </c>
      <c r="E872" s="59"/>
      <c r="F872" s="59" t="str">
        <f>IF(INDEX(I.Gas.P2aElectricityGeneration,7)="","",INDEX(I.Gas.P2aElectricityGeneration,7))</f>
        <v/>
      </c>
      <c r="G872" s="59"/>
      <c r="H872" s="26" t="str">
        <f>IF(I.Developer.P2a=FALSE,"Complete",IF(I.Product.P2aGasToPower="No","Complete",IF(AND(I.Gas.P2aCount&gt;=7,F872=""),"Incomplete","Complete")))</f>
        <v>Complete</v>
      </c>
      <c r="I872" s="39" t="s">
        <v>1074</v>
      </c>
    </row>
    <row r="873" spans="2:9" ht="15" customHeight="1" x14ac:dyDescent="0.25">
      <c r="B873" s="37" t="s">
        <v>1067</v>
      </c>
      <c r="C873" s="26">
        <v>8</v>
      </c>
      <c r="D873" s="38" t="s">
        <v>2688</v>
      </c>
      <c r="E873" s="59"/>
      <c r="F873" s="59" t="str">
        <f>IF(INDEX(I.Gas.P2aElectricityGeneration,8)="","",INDEX(I.Gas.P2aElectricityGeneration,8))</f>
        <v/>
      </c>
      <c r="G873" s="59"/>
      <c r="H873" s="26" t="str">
        <f>IF(I.Developer.P2a=FALSE,"Complete",IF(I.Product.P2aGasToPower="No","Complete",IF(AND(I.Gas.P2aCount&gt;=8,F873=""),"Incomplete","Complete")))</f>
        <v>Complete</v>
      </c>
      <c r="I873" s="39" t="s">
        <v>1075</v>
      </c>
    </row>
    <row r="874" spans="2:9" ht="15" customHeight="1" x14ac:dyDescent="0.25">
      <c r="B874" s="37" t="s">
        <v>1067</v>
      </c>
      <c r="C874" s="26">
        <v>9</v>
      </c>
      <c r="D874" s="38" t="s">
        <v>2688</v>
      </c>
      <c r="E874" s="59"/>
      <c r="F874" s="59" t="str">
        <f>IF(INDEX(I.Gas.P2aElectricityGeneration,9)="","",INDEX(I.Gas.P2aElectricityGeneration,9))</f>
        <v/>
      </c>
      <c r="G874" s="59"/>
      <c r="H874" s="26" t="str">
        <f>IF(I.Developer.P2a=FALSE,"Complete",IF(I.Product.P2aGasToPower="No","Complete",IF(AND(I.Gas.P2aCount&gt;=9,F874=""),"Incomplete","Complete")))</f>
        <v>Complete</v>
      </c>
      <c r="I874" s="39" t="s">
        <v>1076</v>
      </c>
    </row>
    <row r="875" spans="2:9" ht="15" customHeight="1" x14ac:dyDescent="0.25">
      <c r="B875" s="37" t="s">
        <v>1067</v>
      </c>
      <c r="C875" s="26">
        <v>10</v>
      </c>
      <c r="D875" s="38" t="s">
        <v>2688</v>
      </c>
      <c r="E875" s="59"/>
      <c r="F875" s="59" t="str">
        <f>IF(INDEX(I.Gas.P2aElectricityGeneration,10)="","",INDEX(I.Gas.P2aElectricityGeneration,10))</f>
        <v/>
      </c>
      <c r="G875" s="59"/>
      <c r="H875" s="26" t="str">
        <f>IF(I.Developer.P2a=FALSE,"Complete",IF(I.Product.P2aGasToPower="No","Complete",IF(AND(I.Gas.P2aCount&gt;=10,F875=""),"Incomplete","Complete")))</f>
        <v>Complete</v>
      </c>
      <c r="I875" s="39" t="s">
        <v>1077</v>
      </c>
    </row>
    <row r="876" spans="2:9" ht="15" customHeight="1" x14ac:dyDescent="0.25">
      <c r="B876" s="37" t="s">
        <v>1067</v>
      </c>
      <c r="C876" s="26">
        <v>11</v>
      </c>
      <c r="D876" s="38" t="s">
        <v>2688</v>
      </c>
      <c r="E876" s="59"/>
      <c r="F876" s="59" t="str">
        <f>IF(INDEX(I.Gas.P2aElectricityGeneration,11)="","",INDEX(I.Gas.P2aElectricityGeneration,11))</f>
        <v/>
      </c>
      <c r="G876" s="59"/>
      <c r="H876" s="26" t="str">
        <f>IF(I.Developer.P2a=FALSE,"Complete",IF(I.Product.P2aGasToPower="No","Complete",IF(AND(I.Gas.P2aCount&gt;=11,F876=""),"Incomplete","Complete")))</f>
        <v>Complete</v>
      </c>
      <c r="I876" s="39" t="s">
        <v>1078</v>
      </c>
    </row>
    <row r="877" spans="2:9" ht="15" customHeight="1" x14ac:dyDescent="0.25">
      <c r="B877" s="37" t="s">
        <v>1067</v>
      </c>
      <c r="C877" s="26">
        <v>12</v>
      </c>
      <c r="D877" s="38" t="s">
        <v>2688</v>
      </c>
      <c r="E877" s="59"/>
      <c r="F877" s="59" t="str">
        <f>IF(INDEX(I.Gas.P2aElectricityGeneration,12)="","",INDEX(I.Gas.P2aElectricityGeneration,12))</f>
        <v/>
      </c>
      <c r="G877" s="59"/>
      <c r="H877" s="26" t="str">
        <f>IF(I.Developer.P2a=FALSE,"Complete",IF(I.Product.P2aGasToPower="No","Complete",IF(AND(I.Gas.P2aCount&gt;=12,F877=""),"Incomplete","Complete")))</f>
        <v>Complete</v>
      </c>
      <c r="I877" s="39" t="s">
        <v>1079</v>
      </c>
    </row>
    <row r="878" spans="2:9" ht="15" customHeight="1" x14ac:dyDescent="0.25">
      <c r="B878" s="37" t="s">
        <v>1067</v>
      </c>
      <c r="C878" s="26">
        <v>13</v>
      </c>
      <c r="D878" s="38" t="s">
        <v>2688</v>
      </c>
      <c r="E878" s="59"/>
      <c r="F878" s="59" t="str">
        <f>IF(INDEX(I.Gas.P2aElectricityGeneration,13)="","",INDEX(I.Gas.P2aElectricityGeneration,13))</f>
        <v/>
      </c>
      <c r="G878" s="59"/>
      <c r="H878" s="26" t="str">
        <f>IF(I.Developer.P2a=FALSE,"Complete",IF(I.Product.P2aGasToPower="No","Complete",IF(AND(I.Gas.P2aCount&gt;=13,F878=""),"Incomplete","Complete")))</f>
        <v>Complete</v>
      </c>
      <c r="I878" s="39" t="s">
        <v>1080</v>
      </c>
    </row>
    <row r="879" spans="2:9" ht="15" customHeight="1" x14ac:dyDescent="0.25">
      <c r="B879" s="37" t="s">
        <v>1067</v>
      </c>
      <c r="C879" s="26">
        <v>14</v>
      </c>
      <c r="D879" s="38" t="s">
        <v>2688</v>
      </c>
      <c r="E879" s="59"/>
      <c r="F879" s="59" t="str">
        <f>IF(INDEX(I.Gas.P2aElectricityGeneration,14)="","",INDEX(I.Gas.P2aElectricityGeneration,14))</f>
        <v/>
      </c>
      <c r="G879" s="59"/>
      <c r="H879" s="26" t="str">
        <f>IF(I.Developer.P2a=FALSE,"Complete",IF(I.Product.P2aGasToPower="No","Complete",IF(AND(I.Gas.P2aCount&gt;=14,F879=""),"Incomplete","Complete")))</f>
        <v>Complete</v>
      </c>
      <c r="I879" s="39" t="s">
        <v>1081</v>
      </c>
    </row>
    <row r="880" spans="2:9" ht="15" customHeight="1" x14ac:dyDescent="0.25">
      <c r="B880" s="37" t="s">
        <v>1067</v>
      </c>
      <c r="C880" s="26">
        <v>15</v>
      </c>
      <c r="D880" s="38" t="s">
        <v>2688</v>
      </c>
      <c r="E880" s="59"/>
      <c r="F880" s="59" t="str">
        <f>IF(INDEX(I.Gas.P2aElectricityGeneration,15)="","",INDEX(I.Gas.P2aElectricityGeneration,15))</f>
        <v/>
      </c>
      <c r="G880" s="59"/>
      <c r="H880" s="26" t="str">
        <f>IF(I.Developer.P2a=FALSE,"Complete",IF(I.Product.P2aGasToPower="No","Complete",IF(AND(I.Gas.P2aCount&gt;=15,F880=""),"Incomplete","Complete")))</f>
        <v>Complete</v>
      </c>
      <c r="I880" s="39" t="s">
        <v>1082</v>
      </c>
    </row>
    <row r="881" spans="2:9" ht="15" customHeight="1" x14ac:dyDescent="0.25">
      <c r="B881" s="37" t="s">
        <v>1067</v>
      </c>
      <c r="C881" s="26">
        <v>16</v>
      </c>
      <c r="D881" s="38" t="s">
        <v>2688</v>
      </c>
      <c r="E881" s="59"/>
      <c r="F881" s="59" t="str">
        <f>IF(INDEX(I.Gas.P2aElectricityGeneration,16)="","",INDEX(I.Gas.P2aElectricityGeneration,16))</f>
        <v/>
      </c>
      <c r="G881" s="59"/>
      <c r="H881" s="26" t="str">
        <f>IF(I.Developer.P2a=FALSE,"Complete",IF(I.Product.P2aGasToPower="No","Complete",IF(AND(I.Gas.P2aCount&gt;=16,F881=""),"Incomplete","Complete")))</f>
        <v>Complete</v>
      </c>
      <c r="I881" s="39" t="s">
        <v>1083</v>
      </c>
    </row>
    <row r="882" spans="2:9" ht="15" customHeight="1" x14ac:dyDescent="0.25">
      <c r="B882" s="37" t="s">
        <v>1067</v>
      </c>
      <c r="C882" s="26">
        <v>17</v>
      </c>
      <c r="D882" s="38" t="s">
        <v>2688</v>
      </c>
      <c r="E882" s="59"/>
      <c r="F882" s="59" t="str">
        <f>IF(INDEX(I.Gas.P2aElectricityGeneration,17)="","",INDEX(I.Gas.P2aElectricityGeneration,17))</f>
        <v/>
      </c>
      <c r="G882" s="59"/>
      <c r="H882" s="26" t="str">
        <f>IF(I.Developer.P2a=FALSE,"Complete",IF(I.Product.P2aGasToPower="No","Complete",IF(AND(I.Gas.P2aCount&gt;=17,F882=""),"Incomplete","Complete")))</f>
        <v>Complete</v>
      </c>
      <c r="I882" s="39" t="s">
        <v>1084</v>
      </c>
    </row>
    <row r="883" spans="2:9" ht="15" customHeight="1" x14ac:dyDescent="0.25">
      <c r="B883" s="37" t="s">
        <v>1067</v>
      </c>
      <c r="C883" s="26">
        <v>18</v>
      </c>
      <c r="D883" s="38" t="s">
        <v>2688</v>
      </c>
      <c r="E883" s="59"/>
      <c r="F883" s="59" t="str">
        <f>IF(INDEX(I.Gas.P2aElectricityGeneration,18)="","",INDEX(I.Gas.P2aElectricityGeneration,18))</f>
        <v/>
      </c>
      <c r="G883" s="59"/>
      <c r="H883" s="26" t="str">
        <f>IF(I.Developer.P2a=FALSE,"Complete",IF(I.Product.P2aGasToPower="No","Complete",IF(AND(I.Gas.P2aCount&gt;=18,F883=""),"Incomplete","Complete")))</f>
        <v>Complete</v>
      </c>
      <c r="I883" s="39" t="s">
        <v>1085</v>
      </c>
    </row>
    <row r="884" spans="2:9" ht="15" customHeight="1" x14ac:dyDescent="0.25">
      <c r="B884" s="37" t="s">
        <v>1067</v>
      </c>
      <c r="C884" s="26">
        <v>19</v>
      </c>
      <c r="D884" s="38" t="s">
        <v>2688</v>
      </c>
      <c r="E884" s="59"/>
      <c r="F884" s="59" t="str">
        <f>IF(INDEX(I.Gas.P2aElectricityGeneration,19)="","",INDEX(I.Gas.P2aElectricityGeneration,19))</f>
        <v/>
      </c>
      <c r="G884" s="59"/>
      <c r="H884" s="26" t="str">
        <f>IF(I.Developer.P2a=FALSE,"Complete",IF(I.Product.P2aGasToPower="No","Complete",IF(AND(I.Gas.P2aCount&gt;=19,F884=""),"Incomplete","Complete")))</f>
        <v>Complete</v>
      </c>
      <c r="I884" s="39" t="s">
        <v>1086</v>
      </c>
    </row>
    <row r="885" spans="2:9" ht="15" customHeight="1" x14ac:dyDescent="0.25">
      <c r="B885" s="37" t="s">
        <v>1067</v>
      </c>
      <c r="C885" s="26">
        <v>20</v>
      </c>
      <c r="D885" s="38" t="s">
        <v>2688</v>
      </c>
      <c r="E885" s="59"/>
      <c r="F885" s="59" t="str">
        <f>IF(INDEX(I.Gas.P2aElectricityGeneration,20)="","",INDEX(I.Gas.P2aElectricityGeneration,20))</f>
        <v/>
      </c>
      <c r="G885" s="59"/>
      <c r="H885" s="26" t="str">
        <f>IF(I.Developer.P2a=FALSE,"Complete",IF(I.Product.P2aGasToPower="No","Complete",IF(AND(I.Gas.P2aCount&gt;=20,F885=""),"Incomplete","Complete")))</f>
        <v>Complete</v>
      </c>
      <c r="I885" s="39" t="s">
        <v>1087</v>
      </c>
    </row>
    <row r="886" spans="2:9" ht="15" customHeight="1" x14ac:dyDescent="0.25">
      <c r="B886" s="37" t="s">
        <v>1067</v>
      </c>
      <c r="C886" s="26">
        <v>21</v>
      </c>
      <c r="D886" s="38" t="s">
        <v>2688</v>
      </c>
      <c r="E886" s="59"/>
      <c r="F886" s="59" t="str">
        <f>IF(INDEX(I.Gas.P2aElectricityGeneration,21)="","",INDEX(I.Gas.P2aElectricityGeneration,21))</f>
        <v/>
      </c>
      <c r="G886" s="59"/>
      <c r="H886" s="26" t="str">
        <f>IF(I.Developer.P2a=FALSE,"Complete",IF(I.Product.P2aGasToPower="No","Complete",IF(AND(I.Gas.P2aCount&gt;=21,F886=""),"Incomplete","Complete")))</f>
        <v>Complete</v>
      </c>
      <c r="I886" s="39" t="s">
        <v>1088</v>
      </c>
    </row>
    <row r="887" spans="2:9" ht="15" customHeight="1" x14ac:dyDescent="0.25">
      <c r="B887" s="37" t="s">
        <v>1067</v>
      </c>
      <c r="C887" s="26">
        <v>22</v>
      </c>
      <c r="D887" s="38" t="s">
        <v>2688</v>
      </c>
      <c r="E887" s="59"/>
      <c r="F887" s="59" t="str">
        <f>IF(INDEX(I.Gas.P2aElectricityGeneration,22)="","",INDEX(I.Gas.P2aElectricityGeneration,22))</f>
        <v/>
      </c>
      <c r="G887" s="59"/>
      <c r="H887" s="26" t="str">
        <f>IF(I.Developer.P2a=FALSE,"Complete",IF(I.Product.P2aGasToPower="No","Complete",IF(AND(I.Gas.P2aCount&gt;=22,F887=""),"Incomplete","Complete")))</f>
        <v>Complete</v>
      </c>
      <c r="I887" s="39" t="s">
        <v>1089</v>
      </c>
    </row>
    <row r="888" spans="2:9" ht="15" customHeight="1" x14ac:dyDescent="0.25">
      <c r="B888" s="37" t="s">
        <v>1067</v>
      </c>
      <c r="C888" s="26">
        <v>23</v>
      </c>
      <c r="D888" s="38" t="s">
        <v>2688</v>
      </c>
      <c r="E888" s="59"/>
      <c r="F888" s="59" t="str">
        <f>IF(INDEX(I.Gas.P2aElectricityGeneration,23)="","",INDEX(I.Gas.P2aElectricityGeneration,23))</f>
        <v/>
      </c>
      <c r="G888" s="59"/>
      <c r="H888" s="26" t="str">
        <f>IF(I.Developer.P2a=FALSE,"Complete",IF(I.Product.P2aGasToPower="No","Complete",IF(AND(I.Gas.P2aCount&gt;=23,F888=""),"Incomplete","Complete")))</f>
        <v>Complete</v>
      </c>
      <c r="I888" s="39" t="s">
        <v>1090</v>
      </c>
    </row>
    <row r="889" spans="2:9" ht="15" customHeight="1" x14ac:dyDescent="0.25">
      <c r="B889" s="37" t="s">
        <v>1067</v>
      </c>
      <c r="C889" s="26">
        <v>24</v>
      </c>
      <c r="D889" s="38" t="s">
        <v>2688</v>
      </c>
      <c r="E889" s="59"/>
      <c r="F889" s="59" t="str">
        <f>IF(INDEX(I.Gas.P2aElectricityGeneration,24)="","",INDEX(I.Gas.P2aElectricityGeneration,24))</f>
        <v/>
      </c>
      <c r="G889" s="59"/>
      <c r="H889" s="26" t="str">
        <f>IF(I.Developer.P2a=FALSE,"Complete",IF(I.Product.P2aGasToPower="No","Complete",IF(AND(I.Gas.P2aCount&gt;=24,F889=""),"Incomplete","Complete")))</f>
        <v>Complete</v>
      </c>
      <c r="I889" s="39" t="s">
        <v>1091</v>
      </c>
    </row>
    <row r="890" spans="2:9" ht="15" customHeight="1" x14ac:dyDescent="0.25">
      <c r="B890" s="37" t="s">
        <v>1067</v>
      </c>
      <c r="C890" s="26">
        <v>25</v>
      </c>
      <c r="D890" s="38" t="s">
        <v>2688</v>
      </c>
      <c r="E890" s="59"/>
      <c r="F890" s="59" t="str">
        <f>IF(INDEX(I.Gas.P2aElectricityGeneration,25)="","",INDEX(I.Gas.P2aElectricityGeneration,25))</f>
        <v/>
      </c>
      <c r="G890" s="59"/>
      <c r="H890" s="26" t="str">
        <f>IF(I.Developer.P2a=FALSE,"Complete",IF(I.Product.P2aGasToPower="No","Complete",IF(AND(I.Gas.P2aCount&gt;=25,F890=""),"Incomplete","Complete")))</f>
        <v>Complete</v>
      </c>
      <c r="I890" s="39" t="s">
        <v>1092</v>
      </c>
    </row>
    <row r="891" spans="2:9" ht="15" customHeight="1" x14ac:dyDescent="0.25">
      <c r="B891" s="37" t="s">
        <v>1067</v>
      </c>
      <c r="C891" s="26">
        <v>26</v>
      </c>
      <c r="D891" s="38" t="s">
        <v>2688</v>
      </c>
      <c r="E891" s="59"/>
      <c r="F891" s="59" t="str">
        <f>IF(INDEX(I.Gas.P2aElectricityGeneration,26)="","",INDEX(I.Gas.P2aElectricityGeneration,26))</f>
        <v/>
      </c>
      <c r="G891" s="59"/>
      <c r="H891" s="26" t="str">
        <f>IF(I.Developer.P2a=FALSE,"Complete",IF(I.Product.P2aGasToPower="No","Complete",IF(AND(I.Gas.P2aCount&gt;=26,F891=""),"Incomplete","Complete")))</f>
        <v>Complete</v>
      </c>
      <c r="I891" s="39" t="s">
        <v>1093</v>
      </c>
    </row>
    <row r="892" spans="2:9" ht="15" customHeight="1" x14ac:dyDescent="0.25">
      <c r="B892" s="37" t="s">
        <v>1067</v>
      </c>
      <c r="C892" s="26">
        <v>27</v>
      </c>
      <c r="D892" s="38" t="s">
        <v>2688</v>
      </c>
      <c r="E892" s="59"/>
      <c r="F892" s="59" t="str">
        <f>IF(INDEX(I.Gas.P2aElectricityGeneration,27)="","",INDEX(I.Gas.P2aElectricityGeneration,27))</f>
        <v/>
      </c>
      <c r="G892" s="59"/>
      <c r="H892" s="26" t="str">
        <f>IF(I.Developer.P2a=FALSE,"Complete",IF(I.Product.P2aGasToPower="No","Complete",IF(AND(I.Gas.P2aCount&gt;=27,F892=""),"Incomplete","Complete")))</f>
        <v>Complete</v>
      </c>
      <c r="I892" s="39" t="s">
        <v>1094</v>
      </c>
    </row>
    <row r="893" spans="2:9" ht="15" customHeight="1" x14ac:dyDescent="0.25">
      <c r="B893" s="37" t="s">
        <v>1067</v>
      </c>
      <c r="C893" s="26">
        <v>28</v>
      </c>
      <c r="D893" s="38" t="s">
        <v>2688</v>
      </c>
      <c r="E893" s="59"/>
      <c r="F893" s="59" t="str">
        <f>IF(INDEX(I.Gas.P2aElectricityGeneration,28)="","",INDEX(I.Gas.P2aElectricityGeneration,28))</f>
        <v/>
      </c>
      <c r="G893" s="59"/>
      <c r="H893" s="26" t="str">
        <f>IF(I.Developer.P2a=FALSE,"Complete",IF(I.Product.P2aGasToPower="No","Complete",IF(AND(I.Gas.P2aCount&gt;=28,F893=""),"Incomplete","Complete")))</f>
        <v>Complete</v>
      </c>
      <c r="I893" s="39" t="s">
        <v>1095</v>
      </c>
    </row>
    <row r="894" spans="2:9" ht="15" customHeight="1" x14ac:dyDescent="0.25">
      <c r="B894" s="37" t="s">
        <v>1067</v>
      </c>
      <c r="C894" s="26">
        <v>29</v>
      </c>
      <c r="D894" s="38" t="s">
        <v>2688</v>
      </c>
      <c r="E894" s="59"/>
      <c r="F894" s="59" t="str">
        <f>IF(INDEX(I.Gas.P2aElectricityGeneration,29)="","",INDEX(I.Gas.P2aElectricityGeneration,29))</f>
        <v/>
      </c>
      <c r="G894" s="59"/>
      <c r="H894" s="26" t="str">
        <f>IF(I.Developer.P2a=FALSE,"Complete",IF(I.Product.P2aGasToPower="No","Complete",IF(AND(I.Gas.P2aCount&gt;=29,F894=""),"Incomplete","Complete")))</f>
        <v>Complete</v>
      </c>
      <c r="I894" s="39" t="s">
        <v>1096</v>
      </c>
    </row>
    <row r="895" spans="2:9" ht="15" customHeight="1" x14ac:dyDescent="0.25">
      <c r="B895" s="37" t="s">
        <v>1067</v>
      </c>
      <c r="C895" s="26">
        <v>30</v>
      </c>
      <c r="D895" s="38" t="s">
        <v>2688</v>
      </c>
      <c r="E895" s="59"/>
      <c r="F895" s="59" t="str">
        <f>IF(INDEX(I.Gas.P2aElectricityGeneration,30)="","",INDEX(I.Gas.P2aElectricityGeneration,30))</f>
        <v/>
      </c>
      <c r="G895" s="59"/>
      <c r="H895" s="26" t="str">
        <f>IF(I.Developer.P2a=FALSE,"Complete",IF(I.Product.P2aGasToPower="No","Complete",IF(AND(I.Gas.P2aCount&gt;=30,F895=""),"Incomplete","Complete")))</f>
        <v>Complete</v>
      </c>
      <c r="I895" s="39" t="s">
        <v>1097</v>
      </c>
    </row>
    <row r="896" spans="2:9" ht="15" customHeight="1" x14ac:dyDescent="0.25">
      <c r="B896" s="37" t="s">
        <v>1067</v>
      </c>
      <c r="C896" s="26">
        <v>31</v>
      </c>
      <c r="D896" s="38" t="s">
        <v>2688</v>
      </c>
      <c r="E896" s="59"/>
      <c r="F896" s="59" t="str">
        <f>IF(INDEX(I.Gas.P2aElectricityGeneration,31)="","",INDEX(I.Gas.P2aElectricityGeneration,31))</f>
        <v/>
      </c>
      <c r="G896" s="59"/>
      <c r="H896" s="26" t="str">
        <f>IF(I.Developer.P2a=FALSE,"Complete",IF(I.Product.P2aGasToPower="No","Complete",IF(AND(I.Gas.P2aCount&gt;=31,F896=""),"Incomplete","Complete")))</f>
        <v>Complete</v>
      </c>
      <c r="I896" s="39" t="s">
        <v>1098</v>
      </c>
    </row>
    <row r="897" spans="2:9" ht="15" customHeight="1" x14ac:dyDescent="0.25">
      <c r="B897" s="37" t="s">
        <v>1067</v>
      </c>
      <c r="C897" s="26">
        <v>32</v>
      </c>
      <c r="D897" s="38" t="s">
        <v>2688</v>
      </c>
      <c r="E897" s="59"/>
      <c r="F897" s="59" t="str">
        <f>IF(INDEX(I.Gas.P2aElectricityGeneration,32)="","",INDEX(I.Gas.P2aElectricityGeneration,32))</f>
        <v/>
      </c>
      <c r="G897" s="59"/>
      <c r="H897" s="26" t="str">
        <f>IF(I.Developer.P2a=FALSE,"Complete",IF(I.Product.P2aGasToPower="No","Complete",IF(AND(I.Gas.P2aCount&gt;=32,F897=""),"Incomplete","Complete")))</f>
        <v>Complete</v>
      </c>
      <c r="I897" s="39" t="s">
        <v>1099</v>
      </c>
    </row>
    <row r="898" spans="2:9" ht="15" customHeight="1" x14ac:dyDescent="0.25">
      <c r="B898" s="37" t="s">
        <v>1067</v>
      </c>
      <c r="C898" s="26">
        <v>33</v>
      </c>
      <c r="D898" s="38" t="s">
        <v>2688</v>
      </c>
      <c r="E898" s="59"/>
      <c r="F898" s="59" t="str">
        <f>IF(INDEX(I.Gas.P2aElectricityGeneration,33)="","",INDEX(I.Gas.P2aElectricityGeneration,33))</f>
        <v/>
      </c>
      <c r="G898" s="59"/>
      <c r="H898" s="26" t="str">
        <f>IF(I.Developer.P2a=FALSE,"Complete",IF(I.Product.P2aGasToPower="No","Complete",IF(AND(I.Gas.P2aCount&gt;=33,F898=""),"Incomplete","Complete")))</f>
        <v>Complete</v>
      </c>
      <c r="I898" s="39" t="s">
        <v>1100</v>
      </c>
    </row>
    <row r="899" spans="2:9" ht="15" customHeight="1" x14ac:dyDescent="0.25">
      <c r="B899" s="37" t="s">
        <v>1067</v>
      </c>
      <c r="C899" s="26">
        <v>34</v>
      </c>
      <c r="D899" s="38" t="s">
        <v>2688</v>
      </c>
      <c r="E899" s="59"/>
      <c r="F899" s="59" t="str">
        <f>IF(INDEX(I.Gas.P2aElectricityGeneration,34)="","",INDEX(I.Gas.P2aElectricityGeneration,34))</f>
        <v/>
      </c>
      <c r="G899" s="59"/>
      <c r="H899" s="26" t="str">
        <f>IF(I.Developer.P2a=FALSE,"Complete",IF(I.Product.P2aGasToPower="No","Complete",IF(AND(I.Gas.P2aCount&gt;=34,F899=""),"Incomplete","Complete")))</f>
        <v>Complete</v>
      </c>
      <c r="I899" s="39" t="s">
        <v>1101</v>
      </c>
    </row>
    <row r="900" spans="2:9" ht="15" customHeight="1" x14ac:dyDescent="0.25">
      <c r="B900" s="37" t="s">
        <v>1067</v>
      </c>
      <c r="C900" s="26">
        <v>35</v>
      </c>
      <c r="D900" s="38" t="s">
        <v>2688</v>
      </c>
      <c r="E900" s="59"/>
      <c r="F900" s="59" t="str">
        <f>IF(INDEX(I.Gas.P2aElectricityGeneration,35)="","",INDEX(I.Gas.P2aElectricityGeneration,35))</f>
        <v/>
      </c>
      <c r="G900" s="59"/>
      <c r="H900" s="26" t="str">
        <f>IF(I.Developer.P2a=FALSE,"Complete",IF(I.Product.P2aGasToPower="No","Complete",IF(AND(I.Gas.P2aCount&gt;=35,F900=""),"Incomplete","Complete")))</f>
        <v>Complete</v>
      </c>
      <c r="I900" s="39" t="s">
        <v>1102</v>
      </c>
    </row>
    <row r="901" spans="2:9" ht="15" customHeight="1" x14ac:dyDescent="0.25">
      <c r="B901" s="37" t="s">
        <v>1067</v>
      </c>
      <c r="C901" s="26">
        <v>36</v>
      </c>
      <c r="D901" s="38" t="s">
        <v>2688</v>
      </c>
      <c r="E901" s="59"/>
      <c r="F901" s="59" t="str">
        <f>IF(INDEX(I.Gas.P2aElectricityGeneration,36)="","",INDEX(I.Gas.P2aElectricityGeneration,36))</f>
        <v/>
      </c>
      <c r="G901" s="59"/>
      <c r="H901" s="26" t="str">
        <f>IF(I.Developer.P2a=FALSE,"Complete",IF(I.Product.P2aGasToPower="No","Complete",IF(AND(I.Gas.P2aCount&gt;=36,F901=""),"Incomplete","Complete")))</f>
        <v>Complete</v>
      </c>
      <c r="I901" s="39" t="s">
        <v>1103</v>
      </c>
    </row>
    <row r="902" spans="2:9" ht="15" customHeight="1" x14ac:dyDescent="0.25">
      <c r="B902" s="37" t="s">
        <v>1067</v>
      </c>
      <c r="C902" s="26">
        <v>37</v>
      </c>
      <c r="D902" s="38" t="s">
        <v>2688</v>
      </c>
      <c r="E902" s="59"/>
      <c r="F902" s="59" t="str">
        <f>IF(INDEX(I.Gas.P2aElectricityGeneration,37)="","",INDEX(I.Gas.P2aElectricityGeneration,37))</f>
        <v/>
      </c>
      <c r="G902" s="59"/>
      <c r="H902" s="26" t="str">
        <f>IF(I.Developer.P2a=FALSE,"Complete",IF(I.Product.P2aGasToPower="No","Complete",IF(AND(I.Gas.P2aCount&gt;=37,F902=""),"Incomplete","Complete")))</f>
        <v>Complete</v>
      </c>
      <c r="I902" s="39" t="s">
        <v>1104</v>
      </c>
    </row>
    <row r="903" spans="2:9" ht="15" customHeight="1" x14ac:dyDescent="0.25">
      <c r="B903" s="37" t="s">
        <v>1067</v>
      </c>
      <c r="C903" s="26">
        <v>38</v>
      </c>
      <c r="D903" s="38" t="s">
        <v>2688</v>
      </c>
      <c r="E903" s="59"/>
      <c r="F903" s="59" t="str">
        <f>IF(INDEX(I.Gas.P2aElectricityGeneration,38)="","",INDEX(I.Gas.P2aElectricityGeneration,38))</f>
        <v/>
      </c>
      <c r="G903" s="59"/>
      <c r="H903" s="26" t="str">
        <f>IF(I.Developer.P2a=FALSE,"Complete",IF(I.Product.P2aGasToPower="No","Complete",IF(AND(I.Gas.P2aCount&gt;=38,F903=""),"Incomplete","Complete")))</f>
        <v>Complete</v>
      </c>
      <c r="I903" s="39" t="s">
        <v>1105</v>
      </c>
    </row>
    <row r="904" spans="2:9" ht="15" customHeight="1" x14ac:dyDescent="0.25">
      <c r="B904" s="37" t="s">
        <v>1067</v>
      </c>
      <c r="C904" s="26">
        <v>39</v>
      </c>
      <c r="D904" s="38" t="s">
        <v>2688</v>
      </c>
      <c r="E904" s="59"/>
      <c r="F904" s="59" t="str">
        <f>IF(INDEX(I.Gas.P2aElectricityGeneration,39)="","",INDEX(I.Gas.P2aElectricityGeneration,39))</f>
        <v/>
      </c>
      <c r="G904" s="59"/>
      <c r="H904" s="26" t="str">
        <f>IF(I.Developer.P2a=FALSE,"Complete",IF(I.Product.P2aGasToPower="No","Complete",IF(AND(I.Gas.P2aCount&gt;=39,F904=""),"Incomplete","Complete")))</f>
        <v>Complete</v>
      </c>
      <c r="I904" s="39" t="s">
        <v>1106</v>
      </c>
    </row>
    <row r="905" spans="2:9" ht="15" customHeight="1" x14ac:dyDescent="0.25">
      <c r="B905" s="37" t="s">
        <v>1067</v>
      </c>
      <c r="C905" s="26">
        <v>40</v>
      </c>
      <c r="D905" s="38" t="s">
        <v>2688</v>
      </c>
      <c r="E905" s="59"/>
      <c r="F905" s="59" t="str">
        <f>IF(INDEX(I.Gas.P2aElectricityGeneration,40)="","",INDEX(I.Gas.P2aElectricityGeneration,40))</f>
        <v/>
      </c>
      <c r="G905" s="59"/>
      <c r="H905" s="26" t="str">
        <f>IF(I.Developer.P2a=FALSE,"Complete",IF(I.Product.P2aGasToPower="No","Complete",IF(AND(I.Gas.P2aCount&gt;=40,F905=""),"Incomplete","Complete")))</f>
        <v>Complete</v>
      </c>
      <c r="I905" s="39" t="s">
        <v>1107</v>
      </c>
    </row>
    <row r="906" spans="2:9" ht="15" customHeight="1" x14ac:dyDescent="0.25">
      <c r="B906" s="37" t="s">
        <v>1067</v>
      </c>
      <c r="C906" s="26">
        <v>41</v>
      </c>
      <c r="D906" s="38" t="s">
        <v>2688</v>
      </c>
      <c r="E906" s="59"/>
      <c r="F906" s="59" t="str">
        <f>IF(INDEX(I.Gas.P2aElectricityGeneration,41)="","",INDEX(I.Gas.P2aElectricityGeneration,41))</f>
        <v/>
      </c>
      <c r="G906" s="59"/>
      <c r="H906" s="26" t="str">
        <f>IF(I.Developer.P2a=FALSE,"Complete",IF(I.Product.P2aGasToPower="No","Complete",IF(AND(I.Gas.P2aCount&gt;=41,F906=""),"Incomplete","Complete")))</f>
        <v>Complete</v>
      </c>
      <c r="I906" s="39" t="s">
        <v>1108</v>
      </c>
    </row>
    <row r="907" spans="2:9" ht="15" customHeight="1" x14ac:dyDescent="0.25">
      <c r="B907" s="37" t="s">
        <v>1067</v>
      </c>
      <c r="C907" s="26">
        <v>42</v>
      </c>
      <c r="D907" s="38" t="s">
        <v>2688</v>
      </c>
      <c r="E907" s="59"/>
      <c r="F907" s="59" t="str">
        <f>IF(INDEX(I.Gas.P2aElectricityGeneration,42)="","",INDEX(I.Gas.P2aElectricityGeneration,42))</f>
        <v/>
      </c>
      <c r="G907" s="59"/>
      <c r="H907" s="26" t="str">
        <f>IF(I.Developer.P2a=FALSE,"Complete",IF(I.Product.P2aGasToPower="No","Complete",IF(AND(I.Gas.P2aCount&gt;=42,F907=""),"Incomplete","Complete")))</f>
        <v>Complete</v>
      </c>
      <c r="I907" s="39" t="s">
        <v>1109</v>
      </c>
    </row>
    <row r="908" spans="2:9" ht="15" customHeight="1" x14ac:dyDescent="0.25">
      <c r="B908" s="37" t="s">
        <v>1067</v>
      </c>
      <c r="C908" s="26">
        <v>43</v>
      </c>
      <c r="D908" s="38" t="s">
        <v>2688</v>
      </c>
      <c r="E908" s="59"/>
      <c r="F908" s="59" t="str">
        <f>IF(INDEX(I.Gas.P2aElectricityGeneration,43)="","",INDEX(I.Gas.P2aElectricityGeneration,43))</f>
        <v/>
      </c>
      <c r="G908" s="59"/>
      <c r="H908" s="26" t="str">
        <f>IF(I.Developer.P2a=FALSE,"Complete",IF(I.Product.P2aGasToPower="No","Complete",IF(AND(I.Gas.P2aCount&gt;=43,F908=""),"Incomplete","Complete")))</f>
        <v>Complete</v>
      </c>
      <c r="I908" s="39" t="s">
        <v>1110</v>
      </c>
    </row>
    <row r="909" spans="2:9" ht="15" customHeight="1" x14ac:dyDescent="0.25">
      <c r="B909" s="37" t="s">
        <v>1067</v>
      </c>
      <c r="C909" s="26">
        <v>44</v>
      </c>
      <c r="D909" s="38" t="s">
        <v>2688</v>
      </c>
      <c r="E909" s="59"/>
      <c r="F909" s="59" t="str">
        <f>IF(INDEX(I.Gas.P2aElectricityGeneration,44)="","",INDEX(I.Gas.P2aElectricityGeneration,44))</f>
        <v/>
      </c>
      <c r="G909" s="59"/>
      <c r="H909" s="26" t="str">
        <f>IF(I.Developer.P2a=FALSE,"Complete",IF(I.Product.P2aGasToPower="No","Complete",IF(AND(I.Gas.P2aCount&gt;=44,F909=""),"Incomplete","Complete")))</f>
        <v>Complete</v>
      </c>
      <c r="I909" s="39" t="s">
        <v>1111</v>
      </c>
    </row>
    <row r="910" spans="2:9" ht="15" customHeight="1" x14ac:dyDescent="0.25">
      <c r="B910" s="37" t="s">
        <v>1067</v>
      </c>
      <c r="C910" s="26">
        <v>45</v>
      </c>
      <c r="D910" s="38" t="s">
        <v>2688</v>
      </c>
      <c r="E910" s="59"/>
      <c r="F910" s="59" t="str">
        <f>IF(INDEX(I.Gas.P2aElectricityGeneration,45)="","",INDEX(I.Gas.P2aElectricityGeneration,45))</f>
        <v/>
      </c>
      <c r="G910" s="59"/>
      <c r="H910" s="26" t="str">
        <f>IF(I.Developer.P2a=FALSE,"Complete",IF(I.Product.P2aGasToPower="No","Complete",IF(AND(I.Gas.P2aCount&gt;=45,F910=""),"Incomplete","Complete")))</f>
        <v>Complete</v>
      </c>
      <c r="I910" s="39" t="s">
        <v>1112</v>
      </c>
    </row>
    <row r="911" spans="2:9" ht="15" customHeight="1" x14ac:dyDescent="0.25">
      <c r="B911" s="37" t="s">
        <v>1067</v>
      </c>
      <c r="C911" s="26">
        <v>46</v>
      </c>
      <c r="D911" s="38" t="s">
        <v>2688</v>
      </c>
      <c r="E911" s="59"/>
      <c r="F911" s="59" t="str">
        <f>IF(INDEX(I.Gas.P2aElectricityGeneration,46)="","",INDEX(I.Gas.P2aElectricityGeneration,46))</f>
        <v/>
      </c>
      <c r="G911" s="59"/>
      <c r="H911" s="26" t="str">
        <f>IF(I.Developer.P2a=FALSE,"Complete",IF(I.Product.P2aGasToPower="No","Complete",IF(AND(I.Gas.P2aCount&gt;=46,F911=""),"Incomplete","Complete")))</f>
        <v>Complete</v>
      </c>
      <c r="I911" s="39" t="s">
        <v>1113</v>
      </c>
    </row>
    <row r="912" spans="2:9" ht="15" customHeight="1" x14ac:dyDescent="0.25">
      <c r="B912" s="37" t="s">
        <v>1067</v>
      </c>
      <c r="C912" s="26">
        <v>47</v>
      </c>
      <c r="D912" s="38" t="s">
        <v>2688</v>
      </c>
      <c r="E912" s="59"/>
      <c r="F912" s="59" t="str">
        <f>IF(INDEX(I.Gas.P2aElectricityGeneration,47)="","",INDEX(I.Gas.P2aElectricityGeneration,47))</f>
        <v/>
      </c>
      <c r="G912" s="59"/>
      <c r="H912" s="26" t="str">
        <f>IF(I.Developer.P2a=FALSE,"Complete",IF(I.Product.P2aGasToPower="No","Complete",IF(AND(I.Gas.P2aCount&gt;=47,F912=""),"Incomplete","Complete")))</f>
        <v>Complete</v>
      </c>
      <c r="I912" s="39" t="s">
        <v>1114</v>
      </c>
    </row>
    <row r="913" spans="2:9" ht="15" customHeight="1" x14ac:dyDescent="0.25">
      <c r="B913" s="37" t="s">
        <v>1067</v>
      </c>
      <c r="C913" s="26">
        <v>48</v>
      </c>
      <c r="D913" s="38" t="s">
        <v>2688</v>
      </c>
      <c r="E913" s="59"/>
      <c r="F913" s="59" t="str">
        <f>IF(INDEX(I.Gas.P2aElectricityGeneration,48)="","",INDEX(I.Gas.P2aElectricityGeneration,48))</f>
        <v/>
      </c>
      <c r="G913" s="59"/>
      <c r="H913" s="26" t="str">
        <f>IF(I.Developer.P2a=FALSE,"Complete",IF(I.Product.P2aGasToPower="No","Complete",IF(AND(I.Gas.P2aCount&gt;=48,F913=""),"Incomplete","Complete")))</f>
        <v>Complete</v>
      </c>
      <c r="I913" s="39" t="s">
        <v>1115</v>
      </c>
    </row>
    <row r="914" spans="2:9" ht="15" customHeight="1" x14ac:dyDescent="0.25">
      <c r="B914" s="37" t="s">
        <v>1067</v>
      </c>
      <c r="C914" s="26">
        <v>49</v>
      </c>
      <c r="D914" s="38" t="s">
        <v>2688</v>
      </c>
      <c r="E914" s="59"/>
      <c r="F914" s="59" t="str">
        <f>IF(INDEX(I.Gas.P2aElectricityGeneration,49)="","",INDEX(I.Gas.P2aElectricityGeneration,49))</f>
        <v/>
      </c>
      <c r="G914" s="59"/>
      <c r="H914" s="26" t="str">
        <f>IF(I.Developer.P2a=FALSE,"Complete",IF(I.Product.P2aGasToPower="No","Complete",IF(AND(I.Gas.P2aCount&gt;=49,F914=""),"Incomplete","Complete")))</f>
        <v>Complete</v>
      </c>
      <c r="I914" s="39" t="s">
        <v>1116</v>
      </c>
    </row>
    <row r="915" spans="2:9" ht="15" customHeight="1" x14ac:dyDescent="0.25">
      <c r="B915" s="40" t="s">
        <v>1067</v>
      </c>
      <c r="C915" s="46">
        <v>50</v>
      </c>
      <c r="D915" s="44" t="s">
        <v>2688</v>
      </c>
      <c r="E915" s="63"/>
      <c r="F915" s="63" t="str">
        <f>IF(INDEX(I.Gas.P2aElectricityGeneration,50)="","",INDEX(I.Gas.P2aElectricityGeneration,50))</f>
        <v/>
      </c>
      <c r="G915" s="63"/>
      <c r="H915" s="46" t="str">
        <f>IF(I.Developer.P2a=FALSE,"Complete",IF(I.Product.P2aGasToPower="No","Complete",IF(AND(I.Gas.P2aCount&gt;=50,F915=""),"Incomplete","Complete")))</f>
        <v>Complete</v>
      </c>
      <c r="I915" s="47" t="s">
        <v>1117</v>
      </c>
    </row>
    <row r="916" spans="2:9" ht="15" customHeight="1" x14ac:dyDescent="0.25">
      <c r="B916" s="37" t="s">
        <v>1118</v>
      </c>
      <c r="C916" s="26">
        <v>1</v>
      </c>
      <c r="D916" s="38" t="s">
        <v>2689</v>
      </c>
      <c r="E916" s="59"/>
      <c r="F916" s="59" t="str">
        <f>IF(INDEX(I.Gas.P2aC1V1,1)="","",INDEX(I.Gas.P2aC1V1,1))</f>
        <v/>
      </c>
      <c r="G916" s="59"/>
      <c r="H916" s="26" t="str">
        <f>IF(OR(I.Developer.P2a=FALSE,I.Facility.StandardPart&lt;&gt;"Part 2"),"Complete",IF(I.Product.P2aGasToPower="No","Complete",IF(AND(I.Gas.P2aCount&gt;=1,F916=""),"Incomplete","Complete")))</f>
        <v>Complete</v>
      </c>
      <c r="I916" s="39" t="s">
        <v>1119</v>
      </c>
    </row>
    <row r="917" spans="2:9" ht="15" customHeight="1" x14ac:dyDescent="0.25">
      <c r="B917" s="37" t="s">
        <v>1118</v>
      </c>
      <c r="C917" s="26">
        <v>2</v>
      </c>
      <c r="D917" s="38" t="s">
        <v>2689</v>
      </c>
      <c r="E917" s="59"/>
      <c r="F917" s="59" t="str">
        <f>IF(INDEX(I.Gas.P2aC1V1,2)="","",INDEX(I.Gas.P2aC1V1,2))</f>
        <v/>
      </c>
      <c r="G917" s="59"/>
      <c r="H917" s="26" t="str">
        <f>IF(OR(I.Developer.P2a=FALSE,I.Facility.StandardPart&lt;&gt;"Part 2"),"Complete",IF(I.Product.P2aGasToPower="No","Complete",IF(AND(I.Gas.P2aCount&gt;=2,F917=""),"Incomplete","Complete")))</f>
        <v>Complete</v>
      </c>
      <c r="I917" s="39" t="s">
        <v>1120</v>
      </c>
    </row>
    <row r="918" spans="2:9" ht="15" customHeight="1" x14ac:dyDescent="0.25">
      <c r="B918" s="37" t="s">
        <v>1118</v>
      </c>
      <c r="C918" s="26">
        <v>3</v>
      </c>
      <c r="D918" s="38" t="s">
        <v>2689</v>
      </c>
      <c r="E918" s="59"/>
      <c r="F918" s="59" t="str">
        <f>IF(INDEX(I.Gas.P2aC1V1,3)="","",INDEX(I.Gas.P2aC1V1,3))</f>
        <v/>
      </c>
      <c r="G918" s="59"/>
      <c r="H918" s="26" t="str">
        <f>IF(OR(I.Developer.P2a=FALSE,I.Facility.StandardPart&lt;&gt;"Part 2"),"Complete",IF(I.Product.P2aGasToPower="No","Complete",IF(AND(I.Gas.P2aCount&gt;=3,F918=""),"Incomplete","Complete")))</f>
        <v>Complete</v>
      </c>
      <c r="I918" s="39" t="s">
        <v>1121</v>
      </c>
    </row>
    <row r="919" spans="2:9" ht="15" customHeight="1" x14ac:dyDescent="0.25">
      <c r="B919" s="37" t="s">
        <v>1118</v>
      </c>
      <c r="C919" s="26">
        <v>4</v>
      </c>
      <c r="D919" s="38" t="s">
        <v>2689</v>
      </c>
      <c r="E919" s="59"/>
      <c r="F919" s="59" t="str">
        <f>IF(INDEX(I.Gas.P2aC1V1,4)="","",INDEX(I.Gas.P2aC1V1,4))</f>
        <v/>
      </c>
      <c r="G919" s="59"/>
      <c r="H919" s="26" t="str">
        <f>IF(OR(I.Developer.P2a=FALSE,I.Facility.StandardPart&lt;&gt;"Part 2"),"Complete",IF(I.Product.P2aGasToPower="No","Complete",IF(AND(I.Gas.P2aCount&gt;=4,F919=""),"Incomplete","Complete")))</f>
        <v>Complete</v>
      </c>
      <c r="I919" s="39" t="s">
        <v>1122</v>
      </c>
    </row>
    <row r="920" spans="2:9" ht="15" customHeight="1" x14ac:dyDescent="0.25">
      <c r="B920" s="37" t="s">
        <v>1118</v>
      </c>
      <c r="C920" s="26">
        <v>5</v>
      </c>
      <c r="D920" s="38" t="s">
        <v>2689</v>
      </c>
      <c r="E920" s="59"/>
      <c r="F920" s="59" t="str">
        <f>IF(INDEX(I.Gas.P2aC1V1,5)="","",INDEX(I.Gas.P2aC1V1,5))</f>
        <v/>
      </c>
      <c r="G920" s="59"/>
      <c r="H920" s="26" t="str">
        <f>IF(OR(I.Developer.P2a=FALSE,I.Facility.StandardPart&lt;&gt;"Part 2"),"Complete",IF(I.Product.P2aGasToPower="No","Complete",IF(AND(I.Gas.P2aCount&gt;=5,F920=""),"Incomplete","Complete")))</f>
        <v>Complete</v>
      </c>
      <c r="I920" s="39" t="s">
        <v>1123</v>
      </c>
    </row>
    <row r="921" spans="2:9" ht="15" customHeight="1" x14ac:dyDescent="0.25">
      <c r="B921" s="37" t="s">
        <v>1118</v>
      </c>
      <c r="C921" s="26">
        <v>6</v>
      </c>
      <c r="D921" s="38" t="s">
        <v>2689</v>
      </c>
      <c r="E921" s="59"/>
      <c r="F921" s="59" t="str">
        <f>IF(INDEX(I.Gas.P2aC1V1,6)="","",INDEX(I.Gas.P2aC1V1,6))</f>
        <v/>
      </c>
      <c r="G921" s="59"/>
      <c r="H921" s="26" t="str">
        <f>IF(OR(I.Developer.P2a=FALSE,I.Facility.StandardPart&lt;&gt;"Part 2"),"Complete",IF(I.Product.P2aGasToPower="No","Complete",IF(AND(I.Gas.P2aCount&gt;=6,F921=""),"Incomplete","Complete")))</f>
        <v>Complete</v>
      </c>
      <c r="I921" s="39" t="s">
        <v>1124</v>
      </c>
    </row>
    <row r="922" spans="2:9" ht="15" customHeight="1" x14ac:dyDescent="0.25">
      <c r="B922" s="37" t="s">
        <v>1118</v>
      </c>
      <c r="C922" s="26">
        <v>7</v>
      </c>
      <c r="D922" s="38" t="s">
        <v>2689</v>
      </c>
      <c r="E922" s="59"/>
      <c r="F922" s="59" t="str">
        <f>IF(INDEX(I.Gas.P2aC1V1,7)="","",INDEX(I.Gas.P2aC1V1,7))</f>
        <v/>
      </c>
      <c r="G922" s="59"/>
      <c r="H922" s="26" t="str">
        <f>IF(OR(I.Developer.P2a=FALSE,I.Facility.StandardPart&lt;&gt;"Part 2"),"Complete",IF(I.Product.P2aGasToPower="No","Complete",IF(AND(I.Gas.P2aCount&gt;=7,F922=""),"Incomplete","Complete")))</f>
        <v>Complete</v>
      </c>
      <c r="I922" s="39" t="s">
        <v>1125</v>
      </c>
    </row>
    <row r="923" spans="2:9" ht="15" customHeight="1" x14ac:dyDescent="0.25">
      <c r="B923" s="37" t="s">
        <v>1118</v>
      </c>
      <c r="C923" s="26">
        <v>8</v>
      </c>
      <c r="D923" s="38" t="s">
        <v>2689</v>
      </c>
      <c r="E923" s="59"/>
      <c r="F923" s="59" t="str">
        <f>IF(INDEX(I.Gas.P2aC1V1,8)="","",INDEX(I.Gas.P2aC1V1,8))</f>
        <v/>
      </c>
      <c r="G923" s="59"/>
      <c r="H923" s="26" t="str">
        <f>IF(OR(I.Developer.P2a=FALSE,I.Facility.StandardPart&lt;&gt;"Part 2"),"Complete",IF(I.Product.P2aGasToPower="No","Complete",IF(AND(I.Gas.P2aCount&gt;=8,F923=""),"Incomplete","Complete")))</f>
        <v>Complete</v>
      </c>
      <c r="I923" s="39" t="s">
        <v>1126</v>
      </c>
    </row>
    <row r="924" spans="2:9" ht="15" customHeight="1" x14ac:dyDescent="0.25">
      <c r="B924" s="37" t="s">
        <v>1118</v>
      </c>
      <c r="C924" s="26">
        <v>9</v>
      </c>
      <c r="D924" s="38" t="s">
        <v>2689</v>
      </c>
      <c r="E924" s="59"/>
      <c r="F924" s="59" t="str">
        <f>IF(INDEX(I.Gas.P2aC1V1,9)="","",INDEX(I.Gas.P2aC1V1,9))</f>
        <v/>
      </c>
      <c r="G924" s="59"/>
      <c r="H924" s="26" t="str">
        <f>IF(OR(I.Developer.P2a=FALSE,I.Facility.StandardPart&lt;&gt;"Part 2"),"Complete",IF(I.Product.P2aGasToPower="No","Complete",IF(AND(I.Gas.P2aCount&gt;=9,F924=""),"Incomplete","Complete")))</f>
        <v>Complete</v>
      </c>
      <c r="I924" s="39" t="s">
        <v>1127</v>
      </c>
    </row>
    <row r="925" spans="2:9" ht="15" customHeight="1" x14ac:dyDescent="0.25">
      <c r="B925" s="37" t="s">
        <v>1118</v>
      </c>
      <c r="C925" s="26">
        <v>10</v>
      </c>
      <c r="D925" s="38" t="s">
        <v>2689</v>
      </c>
      <c r="E925" s="59"/>
      <c r="F925" s="59" t="str">
        <f>IF(INDEX(I.Gas.P2aC1V1,10)="","",INDEX(I.Gas.P2aC1V1,10))</f>
        <v/>
      </c>
      <c r="G925" s="59"/>
      <c r="H925" s="26" t="str">
        <f>IF(OR(I.Developer.P2a=FALSE,I.Facility.StandardPart&lt;&gt;"Part 2"),"Complete",IF(I.Product.P2aGasToPower="No","Complete",IF(AND(I.Gas.P2aCount&gt;=10,F925=""),"Incomplete","Complete")))</f>
        <v>Complete</v>
      </c>
      <c r="I925" s="39" t="s">
        <v>1128</v>
      </c>
    </row>
    <row r="926" spans="2:9" ht="15" customHeight="1" x14ac:dyDescent="0.25">
      <c r="B926" s="37" t="s">
        <v>1118</v>
      </c>
      <c r="C926" s="26">
        <v>11</v>
      </c>
      <c r="D926" s="38" t="s">
        <v>2689</v>
      </c>
      <c r="E926" s="59"/>
      <c r="F926" s="59" t="str">
        <f>IF(INDEX(I.Gas.P2aC1V1,11)="","",INDEX(I.Gas.P2aC1V1,11))</f>
        <v/>
      </c>
      <c r="G926" s="59"/>
      <c r="H926" s="26" t="str">
        <f>IF(OR(I.Developer.P2a=FALSE,I.Facility.StandardPart&lt;&gt;"Part 2"),"Complete",IF(I.Product.P2aGasToPower="No","Complete",IF(AND(I.Gas.P2aCount&gt;=11,F926=""),"Incomplete","Complete")))</f>
        <v>Complete</v>
      </c>
      <c r="I926" s="39" t="s">
        <v>1129</v>
      </c>
    </row>
    <row r="927" spans="2:9" ht="15" customHeight="1" x14ac:dyDescent="0.25">
      <c r="B927" s="37" t="s">
        <v>1118</v>
      </c>
      <c r="C927" s="26">
        <v>12</v>
      </c>
      <c r="D927" s="38" t="s">
        <v>2689</v>
      </c>
      <c r="E927" s="59"/>
      <c r="F927" s="59" t="str">
        <f>IF(INDEX(I.Gas.P2aC1V1,12)="","",INDEX(I.Gas.P2aC1V1,12))</f>
        <v/>
      </c>
      <c r="G927" s="59"/>
      <c r="H927" s="26" t="str">
        <f>IF(OR(I.Developer.P2a=FALSE,I.Facility.StandardPart&lt;&gt;"Part 2"),"Complete",IF(I.Product.P2aGasToPower="No","Complete",IF(AND(I.Gas.P2aCount&gt;=12,F927=""),"Incomplete","Complete")))</f>
        <v>Complete</v>
      </c>
      <c r="I927" s="39" t="s">
        <v>1130</v>
      </c>
    </row>
    <row r="928" spans="2:9" ht="15" customHeight="1" x14ac:dyDescent="0.25">
      <c r="B928" s="37" t="s">
        <v>1118</v>
      </c>
      <c r="C928" s="26">
        <v>13</v>
      </c>
      <c r="D928" s="38" t="s">
        <v>2689</v>
      </c>
      <c r="E928" s="59"/>
      <c r="F928" s="59" t="str">
        <f>IF(INDEX(I.Gas.P2aC1V1,13)="","",INDEX(I.Gas.P2aC1V1,13))</f>
        <v/>
      </c>
      <c r="G928" s="59"/>
      <c r="H928" s="26" t="str">
        <f>IF(OR(I.Developer.P2a=FALSE,I.Facility.StandardPart&lt;&gt;"Part 2"),"Complete",IF(I.Product.P2aGasToPower="No","Complete",IF(AND(I.Gas.P2aCount&gt;=13,F928=""),"Incomplete","Complete")))</f>
        <v>Complete</v>
      </c>
      <c r="I928" s="39" t="s">
        <v>1131</v>
      </c>
    </row>
    <row r="929" spans="2:9" ht="15" customHeight="1" x14ac:dyDescent="0.25">
      <c r="B929" s="37" t="s">
        <v>1118</v>
      </c>
      <c r="C929" s="26">
        <v>14</v>
      </c>
      <c r="D929" s="38" t="s">
        <v>2689</v>
      </c>
      <c r="E929" s="59"/>
      <c r="F929" s="59" t="str">
        <f>IF(INDEX(I.Gas.P2aC1V1,14)="","",INDEX(I.Gas.P2aC1V1,14))</f>
        <v/>
      </c>
      <c r="G929" s="59"/>
      <c r="H929" s="26" t="str">
        <f>IF(OR(I.Developer.P2a=FALSE,I.Facility.StandardPart&lt;&gt;"Part 2"),"Complete",IF(I.Product.P2aGasToPower="No","Complete",IF(AND(I.Gas.P2aCount&gt;=14,F929=""),"Incomplete","Complete")))</f>
        <v>Complete</v>
      </c>
      <c r="I929" s="39" t="s">
        <v>1132</v>
      </c>
    </row>
    <row r="930" spans="2:9" ht="15" customHeight="1" x14ac:dyDescent="0.25">
      <c r="B930" s="37" t="s">
        <v>1118</v>
      </c>
      <c r="C930" s="26">
        <v>15</v>
      </c>
      <c r="D930" s="38" t="s">
        <v>2689</v>
      </c>
      <c r="E930" s="59"/>
      <c r="F930" s="59" t="str">
        <f>IF(INDEX(I.Gas.P2aC1V1,15)="","",INDEX(I.Gas.P2aC1V1,15))</f>
        <v/>
      </c>
      <c r="G930" s="59"/>
      <c r="H930" s="26" t="str">
        <f>IF(OR(I.Developer.P2a=FALSE,I.Facility.StandardPart&lt;&gt;"Part 2"),"Complete",IF(I.Product.P2aGasToPower="No","Complete",IF(AND(I.Gas.P2aCount&gt;=15,F930=""),"Incomplete","Complete")))</f>
        <v>Complete</v>
      </c>
      <c r="I930" s="39" t="s">
        <v>1133</v>
      </c>
    </row>
    <row r="931" spans="2:9" ht="15" customHeight="1" x14ac:dyDescent="0.25">
      <c r="B931" s="37" t="s">
        <v>1118</v>
      </c>
      <c r="C931" s="26">
        <v>16</v>
      </c>
      <c r="D931" s="38" t="s">
        <v>2689</v>
      </c>
      <c r="E931" s="59"/>
      <c r="F931" s="59" t="str">
        <f>IF(INDEX(I.Gas.P2aC1V1,16)="","",INDEX(I.Gas.P2aC1V1,16))</f>
        <v/>
      </c>
      <c r="G931" s="59"/>
      <c r="H931" s="26" t="str">
        <f>IF(OR(I.Developer.P2a=FALSE,I.Facility.StandardPart&lt;&gt;"Part 2"),"Complete",IF(I.Product.P2aGasToPower="No","Complete",IF(AND(I.Gas.P2aCount&gt;=16,F931=""),"Incomplete","Complete")))</f>
        <v>Complete</v>
      </c>
      <c r="I931" s="39" t="s">
        <v>1134</v>
      </c>
    </row>
    <row r="932" spans="2:9" ht="15" customHeight="1" x14ac:dyDescent="0.25">
      <c r="B932" s="37" t="s">
        <v>1118</v>
      </c>
      <c r="C932" s="26">
        <v>17</v>
      </c>
      <c r="D932" s="38" t="s">
        <v>2689</v>
      </c>
      <c r="E932" s="59"/>
      <c r="F932" s="59" t="str">
        <f>IF(INDEX(I.Gas.P2aC1V1,17)="","",INDEX(I.Gas.P2aC1V1,17))</f>
        <v/>
      </c>
      <c r="G932" s="59"/>
      <c r="H932" s="26" t="str">
        <f>IF(OR(I.Developer.P2a=FALSE,I.Facility.StandardPart&lt;&gt;"Part 2"),"Complete",IF(I.Product.P2aGasToPower="No","Complete",IF(AND(I.Gas.P2aCount&gt;=17,F932=""),"Incomplete","Complete")))</f>
        <v>Complete</v>
      </c>
      <c r="I932" s="39" t="s">
        <v>1135</v>
      </c>
    </row>
    <row r="933" spans="2:9" ht="15" customHeight="1" x14ac:dyDescent="0.25">
      <c r="B933" s="37" t="s">
        <v>1118</v>
      </c>
      <c r="C933" s="26">
        <v>18</v>
      </c>
      <c r="D933" s="38" t="s">
        <v>2689</v>
      </c>
      <c r="E933" s="59"/>
      <c r="F933" s="59" t="str">
        <f>IF(INDEX(I.Gas.P2aC1V1,18)="","",INDEX(I.Gas.P2aC1V1,18))</f>
        <v/>
      </c>
      <c r="G933" s="59"/>
      <c r="H933" s="26" t="str">
        <f>IF(OR(I.Developer.P2a=FALSE,I.Facility.StandardPart&lt;&gt;"Part 2"),"Complete",IF(I.Product.P2aGasToPower="No","Complete",IF(AND(I.Gas.P2aCount&gt;=18,F933=""),"Incomplete","Complete")))</f>
        <v>Complete</v>
      </c>
      <c r="I933" s="39" t="s">
        <v>1136</v>
      </c>
    </row>
    <row r="934" spans="2:9" ht="15" customHeight="1" x14ac:dyDescent="0.25">
      <c r="B934" s="37" t="s">
        <v>1118</v>
      </c>
      <c r="C934" s="26">
        <v>19</v>
      </c>
      <c r="D934" s="38" t="s">
        <v>2689</v>
      </c>
      <c r="E934" s="59"/>
      <c r="F934" s="59" t="str">
        <f>IF(INDEX(I.Gas.P2aC1V1,19)="","",INDEX(I.Gas.P2aC1V1,19))</f>
        <v/>
      </c>
      <c r="G934" s="59"/>
      <c r="H934" s="26" t="str">
        <f>IF(OR(I.Developer.P2a=FALSE,I.Facility.StandardPart&lt;&gt;"Part 2"),"Complete",IF(I.Product.P2aGasToPower="No","Complete",IF(AND(I.Gas.P2aCount&gt;=19,F934=""),"Incomplete","Complete")))</f>
        <v>Complete</v>
      </c>
      <c r="I934" s="39" t="s">
        <v>1137</v>
      </c>
    </row>
    <row r="935" spans="2:9" ht="15" customHeight="1" x14ac:dyDescent="0.25">
      <c r="B935" s="37" t="s">
        <v>1118</v>
      </c>
      <c r="C935" s="26">
        <v>20</v>
      </c>
      <c r="D935" s="38" t="s">
        <v>2689</v>
      </c>
      <c r="E935" s="59"/>
      <c r="F935" s="59" t="str">
        <f>IF(INDEX(I.Gas.P2aC1V1,20)="","",INDEX(I.Gas.P2aC1V1,20))</f>
        <v/>
      </c>
      <c r="G935" s="59"/>
      <c r="H935" s="26" t="str">
        <f>IF(OR(I.Developer.P2a=FALSE,I.Facility.StandardPart&lt;&gt;"Part 2"),"Complete",IF(I.Product.P2aGasToPower="No","Complete",IF(AND(I.Gas.P2aCount&gt;=20,F935=""),"Incomplete","Complete")))</f>
        <v>Complete</v>
      </c>
      <c r="I935" s="39" t="s">
        <v>1138</v>
      </c>
    </row>
    <row r="936" spans="2:9" ht="15" customHeight="1" x14ac:dyDescent="0.25">
      <c r="B936" s="37" t="s">
        <v>1118</v>
      </c>
      <c r="C936" s="26">
        <v>21</v>
      </c>
      <c r="D936" s="38" t="s">
        <v>2689</v>
      </c>
      <c r="E936" s="59"/>
      <c r="F936" s="59" t="str">
        <f>IF(INDEX(I.Gas.P2aC1V1,21)="","",INDEX(I.Gas.P2aC1V1,21))</f>
        <v/>
      </c>
      <c r="G936" s="59"/>
      <c r="H936" s="26" t="str">
        <f>IF(OR(I.Developer.P2a=FALSE,I.Facility.StandardPart&lt;&gt;"Part 2"),"Complete",IF(I.Product.P2aGasToPower="No","Complete",IF(AND(I.Gas.P2aCount&gt;=21,F936=""),"Incomplete","Complete")))</f>
        <v>Complete</v>
      </c>
      <c r="I936" s="39" t="s">
        <v>1139</v>
      </c>
    </row>
    <row r="937" spans="2:9" ht="15" customHeight="1" x14ac:dyDescent="0.25">
      <c r="B937" s="37" t="s">
        <v>1118</v>
      </c>
      <c r="C937" s="26">
        <v>22</v>
      </c>
      <c r="D937" s="38" t="s">
        <v>2689</v>
      </c>
      <c r="E937" s="59"/>
      <c r="F937" s="59" t="str">
        <f>IF(INDEX(I.Gas.P2aC1V1,22)="","",INDEX(I.Gas.P2aC1V1,22))</f>
        <v/>
      </c>
      <c r="G937" s="59"/>
      <c r="H937" s="26" t="str">
        <f>IF(OR(I.Developer.P2a=FALSE,I.Facility.StandardPart&lt;&gt;"Part 2"),"Complete",IF(I.Product.P2aGasToPower="No","Complete",IF(AND(I.Gas.P2aCount&gt;=22,F937=""),"Incomplete","Complete")))</f>
        <v>Complete</v>
      </c>
      <c r="I937" s="39" t="s">
        <v>1140</v>
      </c>
    </row>
    <row r="938" spans="2:9" ht="15" customHeight="1" x14ac:dyDescent="0.25">
      <c r="B938" s="37" t="s">
        <v>1118</v>
      </c>
      <c r="C938" s="26">
        <v>23</v>
      </c>
      <c r="D938" s="38" t="s">
        <v>2689</v>
      </c>
      <c r="E938" s="59"/>
      <c r="F938" s="59" t="str">
        <f>IF(INDEX(I.Gas.P2aC1V1,23)="","",INDEX(I.Gas.P2aC1V1,23))</f>
        <v/>
      </c>
      <c r="G938" s="59"/>
      <c r="H938" s="26" t="str">
        <f>IF(OR(I.Developer.P2a=FALSE,I.Facility.StandardPart&lt;&gt;"Part 2"),"Complete",IF(I.Product.P2aGasToPower="No","Complete",IF(AND(I.Gas.P2aCount&gt;=23,F938=""),"Incomplete","Complete")))</f>
        <v>Complete</v>
      </c>
      <c r="I938" s="39" t="s">
        <v>1141</v>
      </c>
    </row>
    <row r="939" spans="2:9" ht="15" customHeight="1" x14ac:dyDescent="0.25">
      <c r="B939" s="37" t="s">
        <v>1118</v>
      </c>
      <c r="C939" s="26">
        <v>24</v>
      </c>
      <c r="D939" s="38" t="s">
        <v>2689</v>
      </c>
      <c r="E939" s="59"/>
      <c r="F939" s="59" t="str">
        <f>IF(INDEX(I.Gas.P2aC1V1,24)="","",INDEX(I.Gas.P2aC1V1,24))</f>
        <v/>
      </c>
      <c r="G939" s="59"/>
      <c r="H939" s="26" t="str">
        <f>IF(OR(I.Developer.P2a=FALSE,I.Facility.StandardPart&lt;&gt;"Part 2"),"Complete",IF(I.Product.P2aGasToPower="No","Complete",IF(AND(I.Gas.P2aCount&gt;=24,F939=""),"Incomplete","Complete")))</f>
        <v>Complete</v>
      </c>
      <c r="I939" s="39" t="s">
        <v>1142</v>
      </c>
    </row>
    <row r="940" spans="2:9" ht="15" customHeight="1" x14ac:dyDescent="0.25">
      <c r="B940" s="37" t="s">
        <v>1118</v>
      </c>
      <c r="C940" s="26">
        <v>25</v>
      </c>
      <c r="D940" s="38" t="s">
        <v>2689</v>
      </c>
      <c r="E940" s="59"/>
      <c r="F940" s="59" t="str">
        <f>IF(INDEX(I.Gas.P2aC1V1,25)="","",INDEX(I.Gas.P2aC1V1,25))</f>
        <v/>
      </c>
      <c r="G940" s="59"/>
      <c r="H940" s="26" t="str">
        <f>IF(OR(I.Developer.P2a=FALSE,I.Facility.StandardPart&lt;&gt;"Part 2"),"Complete",IF(I.Product.P2aGasToPower="No","Complete",IF(AND(I.Gas.P2aCount&gt;=25,F940=""),"Incomplete","Complete")))</f>
        <v>Complete</v>
      </c>
      <c r="I940" s="39" t="s">
        <v>1143</v>
      </c>
    </row>
    <row r="941" spans="2:9" ht="15" customHeight="1" x14ac:dyDescent="0.25">
      <c r="B941" s="37" t="s">
        <v>1118</v>
      </c>
      <c r="C941" s="26">
        <v>26</v>
      </c>
      <c r="D941" s="38" t="s">
        <v>2689</v>
      </c>
      <c r="E941" s="59"/>
      <c r="F941" s="59" t="str">
        <f>IF(INDEX(I.Gas.P2aC1V1,26)="","",INDEX(I.Gas.P2aC1V1,26))</f>
        <v/>
      </c>
      <c r="G941" s="59"/>
      <c r="H941" s="26" t="str">
        <f>IF(OR(I.Developer.P2a=FALSE,I.Facility.StandardPart&lt;&gt;"Part 2"),"Complete",IF(I.Product.P2aGasToPower="No","Complete",IF(AND(I.Gas.P2aCount&gt;=26,F941=""),"Incomplete","Complete")))</f>
        <v>Complete</v>
      </c>
      <c r="I941" s="39" t="s">
        <v>1144</v>
      </c>
    </row>
    <row r="942" spans="2:9" ht="15" customHeight="1" x14ac:dyDescent="0.25">
      <c r="B942" s="37" t="s">
        <v>1118</v>
      </c>
      <c r="C942" s="26">
        <v>27</v>
      </c>
      <c r="D942" s="38" t="s">
        <v>2689</v>
      </c>
      <c r="E942" s="59"/>
      <c r="F942" s="59" t="str">
        <f>IF(INDEX(I.Gas.P2aC1V1,27)="","",INDEX(I.Gas.P2aC1V1,27))</f>
        <v/>
      </c>
      <c r="G942" s="59"/>
      <c r="H942" s="26" t="str">
        <f>IF(OR(I.Developer.P2a=FALSE,I.Facility.StandardPart&lt;&gt;"Part 2"),"Complete",IF(I.Product.P2aGasToPower="No","Complete",IF(AND(I.Gas.P2aCount&gt;=27,F942=""),"Incomplete","Complete")))</f>
        <v>Complete</v>
      </c>
      <c r="I942" s="39" t="s">
        <v>1145</v>
      </c>
    </row>
    <row r="943" spans="2:9" ht="15" customHeight="1" x14ac:dyDescent="0.25">
      <c r="B943" s="37" t="s">
        <v>1118</v>
      </c>
      <c r="C943" s="26">
        <v>28</v>
      </c>
      <c r="D943" s="38" t="s">
        <v>2689</v>
      </c>
      <c r="E943" s="59"/>
      <c r="F943" s="59" t="str">
        <f>IF(INDEX(I.Gas.P2aC1V1,28)="","",INDEX(I.Gas.P2aC1V1,28))</f>
        <v/>
      </c>
      <c r="G943" s="59"/>
      <c r="H943" s="26" t="str">
        <f>IF(OR(I.Developer.P2a=FALSE,I.Facility.StandardPart&lt;&gt;"Part 2"),"Complete",IF(I.Product.P2aGasToPower="No","Complete",IF(AND(I.Gas.P2aCount&gt;=28,F943=""),"Incomplete","Complete")))</f>
        <v>Complete</v>
      </c>
      <c r="I943" s="39" t="s">
        <v>1146</v>
      </c>
    </row>
    <row r="944" spans="2:9" ht="15" customHeight="1" x14ac:dyDescent="0.25">
      <c r="B944" s="37" t="s">
        <v>1118</v>
      </c>
      <c r="C944" s="26">
        <v>29</v>
      </c>
      <c r="D944" s="38" t="s">
        <v>2689</v>
      </c>
      <c r="E944" s="59"/>
      <c r="F944" s="59" t="str">
        <f>IF(INDEX(I.Gas.P2aC1V1,29)="","",INDEX(I.Gas.P2aC1V1,29))</f>
        <v/>
      </c>
      <c r="G944" s="59"/>
      <c r="H944" s="26" t="str">
        <f>IF(OR(I.Developer.P2a=FALSE,I.Facility.StandardPart&lt;&gt;"Part 2"),"Complete",IF(I.Product.P2aGasToPower="No","Complete",IF(AND(I.Gas.P2aCount&gt;=29,F944=""),"Incomplete","Complete")))</f>
        <v>Complete</v>
      </c>
      <c r="I944" s="39" t="s">
        <v>1147</v>
      </c>
    </row>
    <row r="945" spans="2:9" ht="15" customHeight="1" x14ac:dyDescent="0.25">
      <c r="B945" s="37" t="s">
        <v>1118</v>
      </c>
      <c r="C945" s="26">
        <v>30</v>
      </c>
      <c r="D945" s="38" t="s">
        <v>2689</v>
      </c>
      <c r="E945" s="59"/>
      <c r="F945" s="59" t="str">
        <f>IF(INDEX(I.Gas.P2aC1V1,30)="","",INDEX(I.Gas.P2aC1V1,30))</f>
        <v/>
      </c>
      <c r="G945" s="59"/>
      <c r="H945" s="26" t="str">
        <f>IF(OR(I.Developer.P2a=FALSE,I.Facility.StandardPart&lt;&gt;"Part 2"),"Complete",IF(I.Product.P2aGasToPower="No","Complete",IF(AND(I.Gas.P2aCount&gt;=30,F945=""),"Incomplete","Complete")))</f>
        <v>Complete</v>
      </c>
      <c r="I945" s="39" t="s">
        <v>1148</v>
      </c>
    </row>
    <row r="946" spans="2:9" ht="15" customHeight="1" x14ac:dyDescent="0.25">
      <c r="B946" s="37" t="s">
        <v>1118</v>
      </c>
      <c r="C946" s="26">
        <v>31</v>
      </c>
      <c r="D946" s="38" t="s">
        <v>2689</v>
      </c>
      <c r="E946" s="59"/>
      <c r="F946" s="59" t="str">
        <f>IF(INDEX(I.Gas.P2aC1V1,31)="","",INDEX(I.Gas.P2aC1V1,31))</f>
        <v/>
      </c>
      <c r="G946" s="59"/>
      <c r="H946" s="26" t="str">
        <f>IF(OR(I.Developer.P2a=FALSE,I.Facility.StandardPart&lt;&gt;"Part 2"),"Complete",IF(I.Product.P2aGasToPower="No","Complete",IF(AND(I.Gas.P2aCount&gt;=31,F946=""),"Incomplete","Complete")))</f>
        <v>Complete</v>
      </c>
      <c r="I946" s="39" t="s">
        <v>1149</v>
      </c>
    </row>
    <row r="947" spans="2:9" ht="15" customHeight="1" x14ac:dyDescent="0.25">
      <c r="B947" s="37" t="s">
        <v>1118</v>
      </c>
      <c r="C947" s="26">
        <v>32</v>
      </c>
      <c r="D947" s="38" t="s">
        <v>2689</v>
      </c>
      <c r="E947" s="59"/>
      <c r="F947" s="59" t="str">
        <f>IF(INDEX(I.Gas.P2aC1V1,32)="","",INDEX(I.Gas.P2aC1V1,32))</f>
        <v/>
      </c>
      <c r="G947" s="59"/>
      <c r="H947" s="26" t="str">
        <f>IF(OR(I.Developer.P2a=FALSE,I.Facility.StandardPart&lt;&gt;"Part 2"),"Complete",IF(I.Product.P2aGasToPower="No","Complete",IF(AND(I.Gas.P2aCount&gt;=32,F947=""),"Incomplete","Complete")))</f>
        <v>Complete</v>
      </c>
      <c r="I947" s="39" t="s">
        <v>1150</v>
      </c>
    </row>
    <row r="948" spans="2:9" ht="15" customHeight="1" x14ac:dyDescent="0.25">
      <c r="B948" s="37" t="s">
        <v>1118</v>
      </c>
      <c r="C948" s="26">
        <v>33</v>
      </c>
      <c r="D948" s="38" t="s">
        <v>2689</v>
      </c>
      <c r="E948" s="59"/>
      <c r="F948" s="59" t="str">
        <f>IF(INDEX(I.Gas.P2aC1V1,33)="","",INDEX(I.Gas.P2aC1V1,33))</f>
        <v/>
      </c>
      <c r="G948" s="59"/>
      <c r="H948" s="26" t="str">
        <f>IF(OR(I.Developer.P2a=FALSE,I.Facility.StandardPart&lt;&gt;"Part 2"),"Complete",IF(I.Product.P2aGasToPower="No","Complete",IF(AND(I.Gas.P2aCount&gt;=33,F948=""),"Incomplete","Complete")))</f>
        <v>Complete</v>
      </c>
      <c r="I948" s="39" t="s">
        <v>1151</v>
      </c>
    </row>
    <row r="949" spans="2:9" ht="15" customHeight="1" x14ac:dyDescent="0.25">
      <c r="B949" s="37" t="s">
        <v>1118</v>
      </c>
      <c r="C949" s="26">
        <v>34</v>
      </c>
      <c r="D949" s="38" t="s">
        <v>2689</v>
      </c>
      <c r="E949" s="59"/>
      <c r="F949" s="59" t="str">
        <f>IF(INDEX(I.Gas.P2aC1V1,34)="","",INDEX(I.Gas.P2aC1V1,34))</f>
        <v/>
      </c>
      <c r="G949" s="59"/>
      <c r="H949" s="26" t="str">
        <f>IF(OR(I.Developer.P2a=FALSE,I.Facility.StandardPart&lt;&gt;"Part 2"),"Complete",IF(I.Product.P2aGasToPower="No","Complete",IF(AND(I.Gas.P2aCount&gt;=34,F949=""),"Incomplete","Complete")))</f>
        <v>Complete</v>
      </c>
      <c r="I949" s="39" t="s">
        <v>1152</v>
      </c>
    </row>
    <row r="950" spans="2:9" ht="15" customHeight="1" x14ac:dyDescent="0.25">
      <c r="B950" s="37" t="s">
        <v>1118</v>
      </c>
      <c r="C950" s="26">
        <v>35</v>
      </c>
      <c r="D950" s="38" t="s">
        <v>2689</v>
      </c>
      <c r="E950" s="59"/>
      <c r="F950" s="59" t="str">
        <f>IF(INDEX(I.Gas.P2aC1V1,35)="","",INDEX(I.Gas.P2aC1V1,35))</f>
        <v/>
      </c>
      <c r="G950" s="59"/>
      <c r="H950" s="26" t="str">
        <f>IF(OR(I.Developer.P2a=FALSE,I.Facility.StandardPart&lt;&gt;"Part 2"),"Complete",IF(I.Product.P2aGasToPower="No","Complete",IF(AND(I.Gas.P2aCount&gt;=35,F950=""),"Incomplete","Complete")))</f>
        <v>Complete</v>
      </c>
      <c r="I950" s="39" t="s">
        <v>1153</v>
      </c>
    </row>
    <row r="951" spans="2:9" ht="15" customHeight="1" x14ac:dyDescent="0.25">
      <c r="B951" s="37" t="s">
        <v>1118</v>
      </c>
      <c r="C951" s="26">
        <v>36</v>
      </c>
      <c r="D951" s="38" t="s">
        <v>2689</v>
      </c>
      <c r="E951" s="59"/>
      <c r="F951" s="59" t="str">
        <f>IF(INDEX(I.Gas.P2aC1V1,36)="","",INDEX(I.Gas.P2aC1V1,36))</f>
        <v/>
      </c>
      <c r="G951" s="59"/>
      <c r="H951" s="26" t="str">
        <f>IF(OR(I.Developer.P2a=FALSE,I.Facility.StandardPart&lt;&gt;"Part 2"),"Complete",IF(I.Product.P2aGasToPower="No","Complete",IF(AND(I.Gas.P2aCount&gt;=36,F951=""),"Incomplete","Complete")))</f>
        <v>Complete</v>
      </c>
      <c r="I951" s="39" t="s">
        <v>1154</v>
      </c>
    </row>
    <row r="952" spans="2:9" ht="15" customHeight="1" x14ac:dyDescent="0.25">
      <c r="B952" s="37" t="s">
        <v>1118</v>
      </c>
      <c r="C952" s="26">
        <v>37</v>
      </c>
      <c r="D952" s="38" t="s">
        <v>2689</v>
      </c>
      <c r="E952" s="59"/>
      <c r="F952" s="59" t="str">
        <f>IF(INDEX(I.Gas.P2aC1V1,37)="","",INDEX(I.Gas.P2aC1V1,37))</f>
        <v/>
      </c>
      <c r="G952" s="59"/>
      <c r="H952" s="26" t="str">
        <f>IF(OR(I.Developer.P2a=FALSE,I.Facility.StandardPart&lt;&gt;"Part 2"),"Complete",IF(I.Product.P2aGasToPower="No","Complete",IF(AND(I.Gas.P2aCount&gt;=37,F952=""),"Incomplete","Complete")))</f>
        <v>Complete</v>
      </c>
      <c r="I952" s="39" t="s">
        <v>1155</v>
      </c>
    </row>
    <row r="953" spans="2:9" ht="15" customHeight="1" x14ac:dyDescent="0.25">
      <c r="B953" s="37" t="s">
        <v>1118</v>
      </c>
      <c r="C953" s="26">
        <v>38</v>
      </c>
      <c r="D953" s="38" t="s">
        <v>2689</v>
      </c>
      <c r="E953" s="59"/>
      <c r="F953" s="59" t="str">
        <f>IF(INDEX(I.Gas.P2aC1V1,38)="","",INDEX(I.Gas.P2aC1V1,38))</f>
        <v/>
      </c>
      <c r="G953" s="59"/>
      <c r="H953" s="26" t="str">
        <f>IF(OR(I.Developer.P2a=FALSE,I.Facility.StandardPart&lt;&gt;"Part 2"),"Complete",IF(I.Product.P2aGasToPower="No","Complete",IF(AND(I.Gas.P2aCount&gt;=38,F953=""),"Incomplete","Complete")))</f>
        <v>Complete</v>
      </c>
      <c r="I953" s="39" t="s">
        <v>1156</v>
      </c>
    </row>
    <row r="954" spans="2:9" ht="15" customHeight="1" x14ac:dyDescent="0.25">
      <c r="B954" s="37" t="s">
        <v>1118</v>
      </c>
      <c r="C954" s="26">
        <v>39</v>
      </c>
      <c r="D954" s="38" t="s">
        <v>2689</v>
      </c>
      <c r="E954" s="59"/>
      <c r="F954" s="59" t="str">
        <f>IF(INDEX(I.Gas.P2aC1V1,39)="","",INDEX(I.Gas.P2aC1V1,39))</f>
        <v/>
      </c>
      <c r="G954" s="59"/>
      <c r="H954" s="26" t="str">
        <f>IF(OR(I.Developer.P2a=FALSE,I.Facility.StandardPart&lt;&gt;"Part 2"),"Complete",IF(I.Product.P2aGasToPower="No","Complete",IF(AND(I.Gas.P2aCount&gt;=39,F954=""),"Incomplete","Complete")))</f>
        <v>Complete</v>
      </c>
      <c r="I954" s="39" t="s">
        <v>1157</v>
      </c>
    </row>
    <row r="955" spans="2:9" ht="15" customHeight="1" x14ac:dyDescent="0.25">
      <c r="B955" s="37" t="s">
        <v>1118</v>
      </c>
      <c r="C955" s="26">
        <v>40</v>
      </c>
      <c r="D955" s="38" t="s">
        <v>2689</v>
      </c>
      <c r="E955" s="59"/>
      <c r="F955" s="59" t="str">
        <f>IF(INDEX(I.Gas.P2aC1V1,40)="","",INDEX(I.Gas.P2aC1V1,40))</f>
        <v/>
      </c>
      <c r="G955" s="59"/>
      <c r="H955" s="26" t="str">
        <f>IF(OR(I.Developer.P2a=FALSE,I.Facility.StandardPart&lt;&gt;"Part 2"),"Complete",IF(I.Product.P2aGasToPower="No","Complete",IF(AND(I.Gas.P2aCount&gt;=40,F955=""),"Incomplete","Complete")))</f>
        <v>Complete</v>
      </c>
      <c r="I955" s="39" t="s">
        <v>1158</v>
      </c>
    </row>
    <row r="956" spans="2:9" ht="15" customHeight="1" x14ac:dyDescent="0.25">
      <c r="B956" s="37" t="s">
        <v>1118</v>
      </c>
      <c r="C956" s="26">
        <v>41</v>
      </c>
      <c r="D956" s="38" t="s">
        <v>2689</v>
      </c>
      <c r="E956" s="59"/>
      <c r="F956" s="59" t="str">
        <f>IF(INDEX(I.Gas.P2aC1V1,41)="","",INDEX(I.Gas.P2aC1V1,41))</f>
        <v/>
      </c>
      <c r="G956" s="59"/>
      <c r="H956" s="26" t="str">
        <f>IF(OR(I.Developer.P2a=FALSE,I.Facility.StandardPart&lt;&gt;"Part 2"),"Complete",IF(I.Product.P2aGasToPower="No","Complete",IF(AND(I.Gas.P2aCount&gt;=41,F956=""),"Incomplete","Complete")))</f>
        <v>Complete</v>
      </c>
      <c r="I956" s="39" t="s">
        <v>1159</v>
      </c>
    </row>
    <row r="957" spans="2:9" ht="15" customHeight="1" x14ac:dyDescent="0.25">
      <c r="B957" s="37" t="s">
        <v>1118</v>
      </c>
      <c r="C957" s="26">
        <v>42</v>
      </c>
      <c r="D957" s="38" t="s">
        <v>2689</v>
      </c>
      <c r="E957" s="59"/>
      <c r="F957" s="59" t="str">
        <f>IF(INDEX(I.Gas.P2aC1V1,42)="","",INDEX(I.Gas.P2aC1V1,42))</f>
        <v/>
      </c>
      <c r="G957" s="59"/>
      <c r="H957" s="26" t="str">
        <f>IF(OR(I.Developer.P2a=FALSE,I.Facility.StandardPart&lt;&gt;"Part 2"),"Complete",IF(I.Product.P2aGasToPower="No","Complete",IF(AND(I.Gas.P2aCount&gt;=42,F957=""),"Incomplete","Complete")))</f>
        <v>Complete</v>
      </c>
      <c r="I957" s="39" t="s">
        <v>1160</v>
      </c>
    </row>
    <row r="958" spans="2:9" ht="15" customHeight="1" x14ac:dyDescent="0.25">
      <c r="B958" s="37" t="s">
        <v>1118</v>
      </c>
      <c r="C958" s="26">
        <v>43</v>
      </c>
      <c r="D958" s="38" t="s">
        <v>2689</v>
      </c>
      <c r="E958" s="59"/>
      <c r="F958" s="59" t="str">
        <f>IF(INDEX(I.Gas.P2aC1V1,43)="","",INDEX(I.Gas.P2aC1V1,43))</f>
        <v/>
      </c>
      <c r="G958" s="59"/>
      <c r="H958" s="26" t="str">
        <f>IF(OR(I.Developer.P2a=FALSE,I.Facility.StandardPart&lt;&gt;"Part 2"),"Complete",IF(I.Product.P2aGasToPower="No","Complete",IF(AND(I.Gas.P2aCount&gt;=43,F958=""),"Incomplete","Complete")))</f>
        <v>Complete</v>
      </c>
      <c r="I958" s="39" t="s">
        <v>1161</v>
      </c>
    </row>
    <row r="959" spans="2:9" ht="15" customHeight="1" x14ac:dyDescent="0.25">
      <c r="B959" s="37" t="s">
        <v>1118</v>
      </c>
      <c r="C959" s="26">
        <v>44</v>
      </c>
      <c r="D959" s="38" t="s">
        <v>2689</v>
      </c>
      <c r="E959" s="59"/>
      <c r="F959" s="59" t="str">
        <f>IF(INDEX(I.Gas.P2aC1V1,44)="","",INDEX(I.Gas.P2aC1V1,44))</f>
        <v/>
      </c>
      <c r="G959" s="59"/>
      <c r="H959" s="26" t="str">
        <f>IF(OR(I.Developer.P2a=FALSE,I.Facility.StandardPart&lt;&gt;"Part 2"),"Complete",IF(I.Product.P2aGasToPower="No","Complete",IF(AND(I.Gas.P2aCount&gt;=44,F959=""),"Incomplete","Complete")))</f>
        <v>Complete</v>
      </c>
      <c r="I959" s="39" t="s">
        <v>1162</v>
      </c>
    </row>
    <row r="960" spans="2:9" ht="15" customHeight="1" x14ac:dyDescent="0.25">
      <c r="B960" s="37" t="s">
        <v>1118</v>
      </c>
      <c r="C960" s="26">
        <v>45</v>
      </c>
      <c r="D960" s="38" t="s">
        <v>2689</v>
      </c>
      <c r="E960" s="59"/>
      <c r="F960" s="59" t="str">
        <f>IF(INDEX(I.Gas.P2aC1V1,45)="","",INDEX(I.Gas.P2aC1V1,45))</f>
        <v/>
      </c>
      <c r="G960" s="59"/>
      <c r="H960" s="26" t="str">
        <f>IF(OR(I.Developer.P2a=FALSE,I.Facility.StandardPart&lt;&gt;"Part 2"),"Complete",IF(I.Product.P2aGasToPower="No","Complete",IF(AND(I.Gas.P2aCount&gt;=45,F960=""),"Incomplete","Complete")))</f>
        <v>Complete</v>
      </c>
      <c r="I960" s="39" t="s">
        <v>1163</v>
      </c>
    </row>
    <row r="961" spans="2:9" ht="15" customHeight="1" x14ac:dyDescent="0.25">
      <c r="B961" s="37" t="s">
        <v>1118</v>
      </c>
      <c r="C961" s="26">
        <v>46</v>
      </c>
      <c r="D961" s="38" t="s">
        <v>2689</v>
      </c>
      <c r="E961" s="59"/>
      <c r="F961" s="59" t="str">
        <f>IF(INDEX(I.Gas.P2aC1V1,46)="","",INDEX(I.Gas.P2aC1V1,46))</f>
        <v/>
      </c>
      <c r="G961" s="59"/>
      <c r="H961" s="26" t="str">
        <f>IF(OR(I.Developer.P2a=FALSE,I.Facility.StandardPart&lt;&gt;"Part 2"),"Complete",IF(I.Product.P2aGasToPower="No","Complete",IF(AND(I.Gas.P2aCount&gt;=46,F961=""),"Incomplete","Complete")))</f>
        <v>Complete</v>
      </c>
      <c r="I961" s="39" t="s">
        <v>1164</v>
      </c>
    </row>
    <row r="962" spans="2:9" ht="15" customHeight="1" x14ac:dyDescent="0.25">
      <c r="B962" s="37" t="s">
        <v>1118</v>
      </c>
      <c r="C962" s="26">
        <v>47</v>
      </c>
      <c r="D962" s="38" t="s">
        <v>2689</v>
      </c>
      <c r="E962" s="59"/>
      <c r="F962" s="59" t="str">
        <f>IF(INDEX(I.Gas.P2aC1V1,47)="","",INDEX(I.Gas.P2aC1V1,47))</f>
        <v/>
      </c>
      <c r="G962" s="59"/>
      <c r="H962" s="26" t="str">
        <f>IF(OR(I.Developer.P2a=FALSE,I.Facility.StandardPart&lt;&gt;"Part 2"),"Complete",IF(I.Product.P2aGasToPower="No","Complete",IF(AND(I.Gas.P2aCount&gt;=47,F962=""),"Incomplete","Complete")))</f>
        <v>Complete</v>
      </c>
      <c r="I962" s="39" t="s">
        <v>1165</v>
      </c>
    </row>
    <row r="963" spans="2:9" ht="15" customHeight="1" x14ac:dyDescent="0.25">
      <c r="B963" s="37" t="s">
        <v>1118</v>
      </c>
      <c r="C963" s="26">
        <v>48</v>
      </c>
      <c r="D963" s="38" t="s">
        <v>2689</v>
      </c>
      <c r="E963" s="59"/>
      <c r="F963" s="59" t="str">
        <f>IF(INDEX(I.Gas.P2aC1V1,48)="","",INDEX(I.Gas.P2aC1V1,48))</f>
        <v/>
      </c>
      <c r="G963" s="59"/>
      <c r="H963" s="26" t="str">
        <f>IF(OR(I.Developer.P2a=FALSE,I.Facility.StandardPart&lt;&gt;"Part 2"),"Complete",IF(I.Product.P2aGasToPower="No","Complete",IF(AND(I.Gas.P2aCount&gt;=48,F963=""),"Incomplete","Complete")))</f>
        <v>Complete</v>
      </c>
      <c r="I963" s="39" t="s">
        <v>1166</v>
      </c>
    </row>
    <row r="964" spans="2:9" ht="15" customHeight="1" x14ac:dyDescent="0.25">
      <c r="B964" s="37" t="s">
        <v>1118</v>
      </c>
      <c r="C964" s="26">
        <v>49</v>
      </c>
      <c r="D964" s="38" t="s">
        <v>2689</v>
      </c>
      <c r="E964" s="59"/>
      <c r="F964" s="59" t="str">
        <f>IF(INDEX(I.Gas.P2aC1V1,49)="","",INDEX(I.Gas.P2aC1V1,49))</f>
        <v/>
      </c>
      <c r="G964" s="59"/>
      <c r="H964" s="26" t="str">
        <f>IF(OR(I.Developer.P2a=FALSE,I.Facility.StandardPart&lt;&gt;"Part 2"),"Complete",IF(I.Product.P2aGasToPower="No","Complete",IF(AND(I.Gas.P2aCount&gt;=49,F964=""),"Incomplete","Complete")))</f>
        <v>Complete</v>
      </c>
      <c r="I964" s="39" t="s">
        <v>1167</v>
      </c>
    </row>
    <row r="965" spans="2:9" ht="15" customHeight="1" x14ac:dyDescent="0.25">
      <c r="B965" s="40" t="s">
        <v>1118</v>
      </c>
      <c r="C965" s="46">
        <v>50</v>
      </c>
      <c r="D965" s="44" t="s">
        <v>2689</v>
      </c>
      <c r="E965" s="63"/>
      <c r="F965" s="63" t="str">
        <f>IF(INDEX(I.Gas.P2aC1V1,50)="","",INDEX(I.Gas.P2aC1V1,50))</f>
        <v/>
      </c>
      <c r="G965" s="63"/>
      <c r="H965" s="46" t="str">
        <f>IF(OR(I.Developer.P2a=FALSE,I.Facility.StandardPart&lt;&gt;"Part 2"),"Complete",IF(I.Product.P2aGasToPower="No","Complete",IF(AND(I.Gas.P2aCount&gt;=50,F965=""),"Incomplete","Complete")))</f>
        <v>Complete</v>
      </c>
      <c r="I965" s="47" t="s">
        <v>1168</v>
      </c>
    </row>
    <row r="966" spans="2:9" ht="15" customHeight="1" x14ac:dyDescent="0.25">
      <c r="B966" s="37" t="s">
        <v>1169</v>
      </c>
      <c r="C966" s="26">
        <v>1</v>
      </c>
      <c r="D966" s="38" t="s">
        <v>2690</v>
      </c>
      <c r="E966" s="59"/>
      <c r="F966" s="59" t="str">
        <f>IF(INDEX(I.Gas.P2aC1E1,1)="","",INDEX(I.Gas.P2aC1E1,1))</f>
        <v/>
      </c>
      <c r="G966" s="59"/>
      <c r="H966" s="26" t="str">
        <f>IF(OR(I.Developer.P2a=FALSE,I.Facility.StandardPart="Part 2"),"Complete",IF(I.Product.P2aGasToPower="No","Complete",IF(AND(I.Gas.P2aCount&gt;=1,F966=""),"Incomplete","Complete")))</f>
        <v>Complete</v>
      </c>
      <c r="I966" s="39" t="s">
        <v>1170</v>
      </c>
    </row>
    <row r="967" spans="2:9" ht="15" customHeight="1" x14ac:dyDescent="0.25">
      <c r="B967" s="37" t="s">
        <v>1169</v>
      </c>
      <c r="C967" s="26">
        <v>2</v>
      </c>
      <c r="D967" s="38" t="s">
        <v>2690</v>
      </c>
      <c r="E967" s="59"/>
      <c r="F967" s="59" t="str">
        <f>IF(INDEX(I.Gas.P2aC1E1,2)="","",INDEX(I.Gas.P2aC1E1,2))</f>
        <v/>
      </c>
      <c r="G967" s="59"/>
      <c r="H967" s="26" t="str">
        <f>IF(OR(I.Developer.P2a=FALSE,I.Facility.StandardPart="Part 2"),"Complete",IF(I.Product.P2aGasToPower="No","Complete",IF(AND(I.Gas.P2aCount&gt;=2,F967=""),"Incomplete","Complete")))</f>
        <v>Complete</v>
      </c>
      <c r="I967" s="39" t="s">
        <v>1171</v>
      </c>
    </row>
    <row r="968" spans="2:9" ht="15" customHeight="1" x14ac:dyDescent="0.25">
      <c r="B968" s="37" t="s">
        <v>1169</v>
      </c>
      <c r="C968" s="26">
        <v>3</v>
      </c>
      <c r="D968" s="38" t="s">
        <v>2690</v>
      </c>
      <c r="E968" s="59"/>
      <c r="F968" s="59" t="str">
        <f>IF(INDEX(I.Gas.P2aC1E1,3)="","",INDEX(I.Gas.P2aC1E1,3))</f>
        <v/>
      </c>
      <c r="G968" s="59"/>
      <c r="H968" s="26" t="str">
        <f>IF(OR(I.Developer.P2a=FALSE,I.Facility.StandardPart="Part 2"),"Complete",IF(I.Product.P2aGasToPower="No","Complete",IF(AND(I.Gas.P2aCount&gt;=3,F968=""),"Incomplete","Complete")))</f>
        <v>Complete</v>
      </c>
      <c r="I968" s="39" t="s">
        <v>1172</v>
      </c>
    </row>
    <row r="969" spans="2:9" ht="15" customHeight="1" x14ac:dyDescent="0.25">
      <c r="B969" s="37" t="s">
        <v>1169</v>
      </c>
      <c r="C969" s="26">
        <v>4</v>
      </c>
      <c r="D969" s="38" t="s">
        <v>2690</v>
      </c>
      <c r="E969" s="59"/>
      <c r="F969" s="59" t="str">
        <f>IF(INDEX(I.Gas.P2aC1E1,4)="","",INDEX(I.Gas.P2aC1E1,4))</f>
        <v/>
      </c>
      <c r="G969" s="59"/>
      <c r="H969" s="26" t="str">
        <f>IF(OR(I.Developer.P2a=FALSE,I.Facility.StandardPart="Part 2"),"Complete",IF(I.Product.P2aGasToPower="No","Complete",IF(AND(I.Gas.P2aCount&gt;=4,F969=""),"Incomplete","Complete")))</f>
        <v>Complete</v>
      </c>
      <c r="I969" s="39" t="s">
        <v>1173</v>
      </c>
    </row>
    <row r="970" spans="2:9" ht="15" customHeight="1" x14ac:dyDescent="0.25">
      <c r="B970" s="37" t="s">
        <v>1169</v>
      </c>
      <c r="C970" s="26">
        <v>5</v>
      </c>
      <c r="D970" s="38" t="s">
        <v>2690</v>
      </c>
      <c r="E970" s="59"/>
      <c r="F970" s="59" t="str">
        <f>IF(INDEX(I.Gas.P2aC1E1,5)="","",INDEX(I.Gas.P2aC1E1,5))</f>
        <v/>
      </c>
      <c r="G970" s="59"/>
      <c r="H970" s="26" t="str">
        <f>IF(OR(I.Developer.P2a=FALSE,I.Facility.StandardPart="Part 2"),"Complete",IF(I.Product.P2aGasToPower="No","Complete",IF(AND(I.Gas.P2aCount&gt;=5,F970=""),"Incomplete","Complete")))</f>
        <v>Complete</v>
      </c>
      <c r="I970" s="39" t="s">
        <v>1174</v>
      </c>
    </row>
    <row r="971" spans="2:9" ht="15" customHeight="1" x14ac:dyDescent="0.25">
      <c r="B971" s="37" t="s">
        <v>1169</v>
      </c>
      <c r="C971" s="26">
        <v>6</v>
      </c>
      <c r="D971" s="38" t="s">
        <v>2690</v>
      </c>
      <c r="E971" s="59"/>
      <c r="F971" s="59" t="str">
        <f>IF(INDEX(I.Gas.P2aC1E1,6)="","",INDEX(I.Gas.P2aC1E1,6))</f>
        <v/>
      </c>
      <c r="G971" s="59"/>
      <c r="H971" s="26" t="str">
        <f>IF(OR(I.Developer.P2a=FALSE,I.Facility.StandardPart="Part 2"),"Complete",IF(I.Product.P2aGasToPower="No","Complete",IF(AND(I.Gas.P2aCount&gt;=6,F971=""),"Incomplete","Complete")))</f>
        <v>Complete</v>
      </c>
      <c r="I971" s="39" t="s">
        <v>1175</v>
      </c>
    </row>
    <row r="972" spans="2:9" ht="15" customHeight="1" x14ac:dyDescent="0.25">
      <c r="B972" s="37" t="s">
        <v>1169</v>
      </c>
      <c r="C972" s="26">
        <v>7</v>
      </c>
      <c r="D972" s="38" t="s">
        <v>2690</v>
      </c>
      <c r="E972" s="59"/>
      <c r="F972" s="59" t="str">
        <f>IF(INDEX(I.Gas.P2aC1E1,7)="","",INDEX(I.Gas.P2aC1E1,7))</f>
        <v/>
      </c>
      <c r="G972" s="59"/>
      <c r="H972" s="26" t="str">
        <f>IF(OR(I.Developer.P2a=FALSE,I.Facility.StandardPart="Part 2"),"Complete",IF(I.Product.P2aGasToPower="No","Complete",IF(AND(I.Gas.P2aCount&gt;=7,F972=""),"Incomplete","Complete")))</f>
        <v>Complete</v>
      </c>
      <c r="I972" s="39" t="s">
        <v>1176</v>
      </c>
    </row>
    <row r="973" spans="2:9" ht="15" customHeight="1" x14ac:dyDescent="0.25">
      <c r="B973" s="37" t="s">
        <v>1169</v>
      </c>
      <c r="C973" s="26">
        <v>8</v>
      </c>
      <c r="D973" s="38" t="s">
        <v>2690</v>
      </c>
      <c r="E973" s="59"/>
      <c r="F973" s="59" t="str">
        <f>IF(INDEX(I.Gas.P2aC1E1,8)="","",INDEX(I.Gas.P2aC1E1,8))</f>
        <v/>
      </c>
      <c r="G973" s="59"/>
      <c r="H973" s="26" t="str">
        <f>IF(OR(I.Developer.P2a=FALSE,I.Facility.StandardPart="Part 2"),"Complete",IF(I.Product.P2aGasToPower="No","Complete",IF(AND(I.Gas.P2aCount&gt;=8,F973=""),"Incomplete","Complete")))</f>
        <v>Complete</v>
      </c>
      <c r="I973" s="39" t="s">
        <v>1177</v>
      </c>
    </row>
    <row r="974" spans="2:9" ht="15" customHeight="1" x14ac:dyDescent="0.25">
      <c r="B974" s="37" t="s">
        <v>1169</v>
      </c>
      <c r="C974" s="26">
        <v>9</v>
      </c>
      <c r="D974" s="38" t="s">
        <v>2690</v>
      </c>
      <c r="E974" s="59"/>
      <c r="F974" s="59" t="str">
        <f>IF(INDEX(I.Gas.P2aC1E1,9)="","",INDEX(I.Gas.P2aC1E1,9))</f>
        <v/>
      </c>
      <c r="G974" s="59"/>
      <c r="H974" s="26" t="str">
        <f>IF(OR(I.Developer.P2a=FALSE,I.Facility.StandardPart="Part 2"),"Complete",IF(I.Product.P2aGasToPower="No","Complete",IF(AND(I.Gas.P2aCount&gt;=9,F974=""),"Incomplete","Complete")))</f>
        <v>Complete</v>
      </c>
      <c r="I974" s="39" t="s">
        <v>1178</v>
      </c>
    </row>
    <row r="975" spans="2:9" ht="15" customHeight="1" x14ac:dyDescent="0.25">
      <c r="B975" s="37" t="s">
        <v>1169</v>
      </c>
      <c r="C975" s="26">
        <v>10</v>
      </c>
      <c r="D975" s="38" t="s">
        <v>2690</v>
      </c>
      <c r="E975" s="59"/>
      <c r="F975" s="59" t="str">
        <f>IF(INDEX(I.Gas.P2aC1E1,10)="","",INDEX(I.Gas.P2aC1E1,10))</f>
        <v/>
      </c>
      <c r="G975" s="59"/>
      <c r="H975" s="26" t="str">
        <f>IF(OR(I.Developer.P2a=FALSE,I.Facility.StandardPart="Part 2"),"Complete",IF(I.Product.P2aGasToPower="No","Complete",IF(AND(I.Gas.P2aCount&gt;=10,F975=""),"Incomplete","Complete")))</f>
        <v>Complete</v>
      </c>
      <c r="I975" s="39" t="s">
        <v>1179</v>
      </c>
    </row>
    <row r="976" spans="2:9" ht="15" customHeight="1" x14ac:dyDescent="0.25">
      <c r="B976" s="37" t="s">
        <v>1169</v>
      </c>
      <c r="C976" s="26">
        <v>11</v>
      </c>
      <c r="D976" s="38" t="s">
        <v>2690</v>
      </c>
      <c r="E976" s="59"/>
      <c r="F976" s="59" t="str">
        <f>IF(INDEX(I.Gas.P2aC1E1,11)="","",INDEX(I.Gas.P2aC1E1,11))</f>
        <v/>
      </c>
      <c r="G976" s="59"/>
      <c r="H976" s="26" t="str">
        <f>IF(OR(I.Developer.P2a=FALSE,I.Facility.StandardPart="Part 2"),"Complete",IF(I.Product.P2aGasToPower="No","Complete",IF(AND(I.Gas.P2aCount&gt;=11,F976=""),"Incomplete","Complete")))</f>
        <v>Complete</v>
      </c>
      <c r="I976" s="39" t="s">
        <v>1180</v>
      </c>
    </row>
    <row r="977" spans="2:9" ht="15" customHeight="1" x14ac:dyDescent="0.25">
      <c r="B977" s="37" t="s">
        <v>1169</v>
      </c>
      <c r="C977" s="26">
        <v>12</v>
      </c>
      <c r="D977" s="38" t="s">
        <v>2690</v>
      </c>
      <c r="E977" s="59"/>
      <c r="F977" s="59" t="str">
        <f>IF(INDEX(I.Gas.P2aC1E1,12)="","",INDEX(I.Gas.P2aC1E1,12))</f>
        <v/>
      </c>
      <c r="G977" s="59"/>
      <c r="H977" s="26" t="str">
        <f>IF(OR(I.Developer.P2a=FALSE,I.Facility.StandardPart="Part 2"),"Complete",IF(I.Product.P2aGasToPower="No","Complete",IF(AND(I.Gas.P2aCount&gt;=12,F977=""),"Incomplete","Complete")))</f>
        <v>Complete</v>
      </c>
      <c r="I977" s="39" t="s">
        <v>1181</v>
      </c>
    </row>
    <row r="978" spans="2:9" ht="15" customHeight="1" x14ac:dyDescent="0.25">
      <c r="B978" s="37" t="s">
        <v>1169</v>
      </c>
      <c r="C978" s="26">
        <v>13</v>
      </c>
      <c r="D978" s="38" t="s">
        <v>2690</v>
      </c>
      <c r="E978" s="59"/>
      <c r="F978" s="59" t="str">
        <f>IF(INDEX(I.Gas.P2aC1E1,13)="","",INDEX(I.Gas.P2aC1E1,13))</f>
        <v/>
      </c>
      <c r="G978" s="59"/>
      <c r="H978" s="26" t="str">
        <f>IF(OR(I.Developer.P2a=FALSE,I.Facility.StandardPart="Part 2"),"Complete",IF(I.Product.P2aGasToPower="No","Complete",IF(AND(I.Gas.P2aCount&gt;=13,F978=""),"Incomplete","Complete")))</f>
        <v>Complete</v>
      </c>
      <c r="I978" s="39" t="s">
        <v>1182</v>
      </c>
    </row>
    <row r="979" spans="2:9" ht="15" customHeight="1" x14ac:dyDescent="0.25">
      <c r="B979" s="37" t="s">
        <v>1169</v>
      </c>
      <c r="C979" s="26">
        <v>14</v>
      </c>
      <c r="D979" s="38" t="s">
        <v>2690</v>
      </c>
      <c r="E979" s="59"/>
      <c r="F979" s="59" t="str">
        <f>IF(INDEX(I.Gas.P2aC1E1,14)="","",INDEX(I.Gas.P2aC1E1,14))</f>
        <v/>
      </c>
      <c r="G979" s="59"/>
      <c r="H979" s="26" t="str">
        <f>IF(OR(I.Developer.P2a=FALSE,I.Facility.StandardPart="Part 2"),"Complete",IF(I.Product.P2aGasToPower="No","Complete",IF(AND(I.Gas.P2aCount&gt;=14,F979=""),"Incomplete","Complete")))</f>
        <v>Complete</v>
      </c>
      <c r="I979" s="39" t="s">
        <v>1183</v>
      </c>
    </row>
    <row r="980" spans="2:9" ht="15" customHeight="1" x14ac:dyDescent="0.25">
      <c r="B980" s="37" t="s">
        <v>1169</v>
      </c>
      <c r="C980" s="26">
        <v>15</v>
      </c>
      <c r="D980" s="38" t="s">
        <v>2690</v>
      </c>
      <c r="E980" s="59"/>
      <c r="F980" s="59" t="str">
        <f>IF(INDEX(I.Gas.P2aC1E1,15)="","",INDEX(I.Gas.P2aC1E1,15))</f>
        <v/>
      </c>
      <c r="G980" s="59"/>
      <c r="H980" s="26" t="str">
        <f>IF(OR(I.Developer.P2a=FALSE,I.Facility.StandardPart="Part 2"),"Complete",IF(I.Product.P2aGasToPower="No","Complete",IF(AND(I.Gas.P2aCount&gt;=15,F980=""),"Incomplete","Complete")))</f>
        <v>Complete</v>
      </c>
      <c r="I980" s="39" t="s">
        <v>1184</v>
      </c>
    </row>
    <row r="981" spans="2:9" ht="15" customHeight="1" x14ac:dyDescent="0.25">
      <c r="B981" s="37" t="s">
        <v>1169</v>
      </c>
      <c r="C981" s="26">
        <v>16</v>
      </c>
      <c r="D981" s="38" t="s">
        <v>2690</v>
      </c>
      <c r="E981" s="59"/>
      <c r="F981" s="59" t="str">
        <f>IF(INDEX(I.Gas.P2aC1E1,16)="","",INDEX(I.Gas.P2aC1E1,16))</f>
        <v/>
      </c>
      <c r="G981" s="59"/>
      <c r="H981" s="26" t="str">
        <f>IF(OR(I.Developer.P2a=FALSE,I.Facility.StandardPart="Part 2"),"Complete",IF(I.Product.P2aGasToPower="No","Complete",IF(AND(I.Gas.P2aCount&gt;=16,F981=""),"Incomplete","Complete")))</f>
        <v>Complete</v>
      </c>
      <c r="I981" s="39" t="s">
        <v>1185</v>
      </c>
    </row>
    <row r="982" spans="2:9" ht="15" customHeight="1" x14ac:dyDescent="0.25">
      <c r="B982" s="37" t="s">
        <v>1169</v>
      </c>
      <c r="C982" s="26">
        <v>17</v>
      </c>
      <c r="D982" s="38" t="s">
        <v>2690</v>
      </c>
      <c r="E982" s="59"/>
      <c r="F982" s="59" t="str">
        <f>IF(INDEX(I.Gas.P2aC1E1,17)="","",INDEX(I.Gas.P2aC1E1,17))</f>
        <v/>
      </c>
      <c r="G982" s="59"/>
      <c r="H982" s="26" t="str">
        <f>IF(OR(I.Developer.P2a=FALSE,I.Facility.StandardPart="Part 2"),"Complete",IF(I.Product.P2aGasToPower="No","Complete",IF(AND(I.Gas.P2aCount&gt;=17,F982=""),"Incomplete","Complete")))</f>
        <v>Complete</v>
      </c>
      <c r="I982" s="39" t="s">
        <v>1186</v>
      </c>
    </row>
    <row r="983" spans="2:9" ht="15" customHeight="1" x14ac:dyDescent="0.25">
      <c r="B983" s="37" t="s">
        <v>1169</v>
      </c>
      <c r="C983" s="26">
        <v>18</v>
      </c>
      <c r="D983" s="38" t="s">
        <v>2690</v>
      </c>
      <c r="E983" s="59"/>
      <c r="F983" s="59" t="str">
        <f>IF(INDEX(I.Gas.P2aC1E1,18)="","",INDEX(I.Gas.P2aC1E1,18))</f>
        <v/>
      </c>
      <c r="G983" s="59"/>
      <c r="H983" s="26" t="str">
        <f>IF(OR(I.Developer.P2a=FALSE,I.Facility.StandardPart="Part 2"),"Complete",IF(I.Product.P2aGasToPower="No","Complete",IF(AND(I.Gas.P2aCount&gt;=18,F983=""),"Incomplete","Complete")))</f>
        <v>Complete</v>
      </c>
      <c r="I983" s="39" t="s">
        <v>1187</v>
      </c>
    </row>
    <row r="984" spans="2:9" ht="15" customHeight="1" x14ac:dyDescent="0.25">
      <c r="B984" s="37" t="s">
        <v>1169</v>
      </c>
      <c r="C984" s="26">
        <v>19</v>
      </c>
      <c r="D984" s="38" t="s">
        <v>2690</v>
      </c>
      <c r="E984" s="59"/>
      <c r="F984" s="59" t="str">
        <f>IF(INDEX(I.Gas.P2aC1E1,19)="","",INDEX(I.Gas.P2aC1E1,19))</f>
        <v/>
      </c>
      <c r="G984" s="59"/>
      <c r="H984" s="26" t="str">
        <f>IF(OR(I.Developer.P2a=FALSE,I.Facility.StandardPart="Part 2"),"Complete",IF(I.Product.P2aGasToPower="No","Complete",IF(AND(I.Gas.P2aCount&gt;=19,F984=""),"Incomplete","Complete")))</f>
        <v>Complete</v>
      </c>
      <c r="I984" s="39" t="s">
        <v>1188</v>
      </c>
    </row>
    <row r="985" spans="2:9" ht="15" customHeight="1" x14ac:dyDescent="0.25">
      <c r="B985" s="37" t="s">
        <v>1169</v>
      </c>
      <c r="C985" s="26">
        <v>20</v>
      </c>
      <c r="D985" s="38" t="s">
        <v>2690</v>
      </c>
      <c r="E985" s="59"/>
      <c r="F985" s="59" t="str">
        <f>IF(INDEX(I.Gas.P2aC1E1,20)="","",INDEX(I.Gas.P2aC1E1,20))</f>
        <v/>
      </c>
      <c r="G985" s="59"/>
      <c r="H985" s="26" t="str">
        <f>IF(OR(I.Developer.P2a=FALSE,I.Facility.StandardPart="Part 2"),"Complete",IF(I.Product.P2aGasToPower="No","Complete",IF(AND(I.Gas.P2aCount&gt;=20,F985=""),"Incomplete","Complete")))</f>
        <v>Complete</v>
      </c>
      <c r="I985" s="39" t="s">
        <v>1189</v>
      </c>
    </row>
    <row r="986" spans="2:9" ht="15" customHeight="1" x14ac:dyDescent="0.25">
      <c r="B986" s="37" t="s">
        <v>1169</v>
      </c>
      <c r="C986" s="26">
        <v>21</v>
      </c>
      <c r="D986" s="38" t="s">
        <v>2690</v>
      </c>
      <c r="E986" s="59"/>
      <c r="F986" s="59" t="str">
        <f>IF(INDEX(I.Gas.P2aC1E1,21)="","",INDEX(I.Gas.P2aC1E1,21))</f>
        <v/>
      </c>
      <c r="G986" s="59"/>
      <c r="H986" s="26" t="str">
        <f>IF(OR(I.Developer.P2a=FALSE,I.Facility.StandardPart="Part 2"),"Complete",IF(I.Product.P2aGasToPower="No","Complete",IF(AND(I.Gas.P2aCount&gt;=21,F986=""),"Incomplete","Complete")))</f>
        <v>Complete</v>
      </c>
      <c r="I986" s="39" t="s">
        <v>1190</v>
      </c>
    </row>
    <row r="987" spans="2:9" ht="15" customHeight="1" x14ac:dyDescent="0.25">
      <c r="B987" s="37" t="s">
        <v>1169</v>
      </c>
      <c r="C987" s="26">
        <v>22</v>
      </c>
      <c r="D987" s="38" t="s">
        <v>2690</v>
      </c>
      <c r="E987" s="59"/>
      <c r="F987" s="59" t="str">
        <f>IF(INDEX(I.Gas.P2aC1E1,22)="","",INDEX(I.Gas.P2aC1E1,22))</f>
        <v/>
      </c>
      <c r="G987" s="59"/>
      <c r="H987" s="26" t="str">
        <f>IF(OR(I.Developer.P2a=FALSE,I.Facility.StandardPart="Part 2"),"Complete",IF(I.Product.P2aGasToPower="No","Complete",IF(AND(I.Gas.P2aCount&gt;=22,F987=""),"Incomplete","Complete")))</f>
        <v>Complete</v>
      </c>
      <c r="I987" s="39" t="s">
        <v>1191</v>
      </c>
    </row>
    <row r="988" spans="2:9" ht="15" customHeight="1" x14ac:dyDescent="0.25">
      <c r="B988" s="37" t="s">
        <v>1169</v>
      </c>
      <c r="C988" s="26">
        <v>23</v>
      </c>
      <c r="D988" s="38" t="s">
        <v>2690</v>
      </c>
      <c r="E988" s="59"/>
      <c r="F988" s="59" t="str">
        <f>IF(INDEX(I.Gas.P2aC1E1,23)="","",INDEX(I.Gas.P2aC1E1,23))</f>
        <v/>
      </c>
      <c r="G988" s="59"/>
      <c r="H988" s="26" t="str">
        <f>IF(OR(I.Developer.P2a=FALSE,I.Facility.StandardPart="Part 2"),"Complete",IF(I.Product.P2aGasToPower="No","Complete",IF(AND(I.Gas.P2aCount&gt;=23,F988=""),"Incomplete","Complete")))</f>
        <v>Complete</v>
      </c>
      <c r="I988" s="39" t="s">
        <v>1192</v>
      </c>
    </row>
    <row r="989" spans="2:9" ht="15" customHeight="1" x14ac:dyDescent="0.25">
      <c r="B989" s="37" t="s">
        <v>1169</v>
      </c>
      <c r="C989" s="26">
        <v>24</v>
      </c>
      <c r="D989" s="38" t="s">
        <v>2690</v>
      </c>
      <c r="E989" s="59"/>
      <c r="F989" s="59" t="str">
        <f>IF(INDEX(I.Gas.P2aC1E1,24)="","",INDEX(I.Gas.P2aC1E1,24))</f>
        <v/>
      </c>
      <c r="G989" s="59"/>
      <c r="H989" s="26" t="str">
        <f>IF(OR(I.Developer.P2a=FALSE,I.Facility.StandardPart="Part 2"),"Complete",IF(I.Product.P2aGasToPower="No","Complete",IF(AND(I.Gas.P2aCount&gt;=24,F989=""),"Incomplete","Complete")))</f>
        <v>Complete</v>
      </c>
      <c r="I989" s="39" t="s">
        <v>1193</v>
      </c>
    </row>
    <row r="990" spans="2:9" ht="15" customHeight="1" x14ac:dyDescent="0.25">
      <c r="B990" s="37" t="s">
        <v>1169</v>
      </c>
      <c r="C990" s="26">
        <v>25</v>
      </c>
      <c r="D990" s="38" t="s">
        <v>2690</v>
      </c>
      <c r="E990" s="59"/>
      <c r="F990" s="59" t="str">
        <f>IF(INDEX(I.Gas.P2aC1E1,25)="","",INDEX(I.Gas.P2aC1E1,25))</f>
        <v/>
      </c>
      <c r="G990" s="59"/>
      <c r="H990" s="26" t="str">
        <f>IF(OR(I.Developer.P2a=FALSE,I.Facility.StandardPart="Part 2"),"Complete",IF(I.Product.P2aGasToPower="No","Complete",IF(AND(I.Gas.P2aCount&gt;=25,F990=""),"Incomplete","Complete")))</f>
        <v>Complete</v>
      </c>
      <c r="I990" s="39" t="s">
        <v>1194</v>
      </c>
    </row>
    <row r="991" spans="2:9" ht="15" customHeight="1" x14ac:dyDescent="0.25">
      <c r="B991" s="37" t="s">
        <v>1169</v>
      </c>
      <c r="C991" s="26">
        <v>26</v>
      </c>
      <c r="D991" s="38" t="s">
        <v>2690</v>
      </c>
      <c r="E991" s="59"/>
      <c r="F991" s="59" t="str">
        <f>IF(INDEX(I.Gas.P2aC1E1,26)="","",INDEX(I.Gas.P2aC1E1,26))</f>
        <v/>
      </c>
      <c r="G991" s="59"/>
      <c r="H991" s="26" t="str">
        <f>IF(OR(I.Developer.P2a=FALSE,I.Facility.StandardPart="Part 2"),"Complete",IF(I.Product.P2aGasToPower="No","Complete",IF(AND(I.Gas.P2aCount&gt;=26,F991=""),"Incomplete","Complete")))</f>
        <v>Complete</v>
      </c>
      <c r="I991" s="39" t="s">
        <v>1195</v>
      </c>
    </row>
    <row r="992" spans="2:9" ht="15" customHeight="1" x14ac:dyDescent="0.25">
      <c r="B992" s="37" t="s">
        <v>1169</v>
      </c>
      <c r="C992" s="26">
        <v>27</v>
      </c>
      <c r="D992" s="38" t="s">
        <v>2690</v>
      </c>
      <c r="E992" s="59"/>
      <c r="F992" s="59" t="str">
        <f>IF(INDEX(I.Gas.P2aC1E1,27)="","",INDEX(I.Gas.P2aC1E1,27))</f>
        <v/>
      </c>
      <c r="G992" s="59"/>
      <c r="H992" s="26" t="str">
        <f>IF(OR(I.Developer.P2a=FALSE,I.Facility.StandardPart="Part 2"),"Complete",IF(I.Product.P2aGasToPower="No","Complete",IF(AND(I.Gas.P2aCount&gt;=27,F992=""),"Incomplete","Complete")))</f>
        <v>Complete</v>
      </c>
      <c r="I992" s="39" t="s">
        <v>1196</v>
      </c>
    </row>
    <row r="993" spans="2:9" ht="15" customHeight="1" x14ac:dyDescent="0.25">
      <c r="B993" s="37" t="s">
        <v>1169</v>
      </c>
      <c r="C993" s="26">
        <v>28</v>
      </c>
      <c r="D993" s="38" t="s">
        <v>2690</v>
      </c>
      <c r="E993" s="59"/>
      <c r="F993" s="59" t="str">
        <f>IF(INDEX(I.Gas.P2aC1E1,28)="","",INDEX(I.Gas.P2aC1E1,28))</f>
        <v/>
      </c>
      <c r="G993" s="59"/>
      <c r="H993" s="26" t="str">
        <f>IF(OR(I.Developer.P2a=FALSE,I.Facility.StandardPart="Part 2"),"Complete",IF(I.Product.P2aGasToPower="No","Complete",IF(AND(I.Gas.P2aCount&gt;=28,F993=""),"Incomplete","Complete")))</f>
        <v>Complete</v>
      </c>
      <c r="I993" s="39" t="s">
        <v>1197</v>
      </c>
    </row>
    <row r="994" spans="2:9" ht="15" customHeight="1" x14ac:dyDescent="0.25">
      <c r="B994" s="37" t="s">
        <v>1169</v>
      </c>
      <c r="C994" s="26">
        <v>29</v>
      </c>
      <c r="D994" s="38" t="s">
        <v>2690</v>
      </c>
      <c r="E994" s="59"/>
      <c r="F994" s="59" t="str">
        <f>IF(INDEX(I.Gas.P2aC1E1,29)="","",INDEX(I.Gas.P2aC1E1,29))</f>
        <v/>
      </c>
      <c r="G994" s="59"/>
      <c r="H994" s="26" t="str">
        <f>IF(OR(I.Developer.P2a=FALSE,I.Facility.StandardPart="Part 2"),"Complete",IF(I.Product.P2aGasToPower="No","Complete",IF(AND(I.Gas.P2aCount&gt;=29,F994=""),"Incomplete","Complete")))</f>
        <v>Complete</v>
      </c>
      <c r="I994" s="39" t="s">
        <v>1198</v>
      </c>
    </row>
    <row r="995" spans="2:9" ht="15" customHeight="1" x14ac:dyDescent="0.25">
      <c r="B995" s="37" t="s">
        <v>1169</v>
      </c>
      <c r="C995" s="26">
        <v>30</v>
      </c>
      <c r="D995" s="38" t="s">
        <v>2690</v>
      </c>
      <c r="E995" s="59"/>
      <c r="F995" s="59" t="str">
        <f>IF(INDEX(I.Gas.P2aC1E1,30)="","",INDEX(I.Gas.P2aC1E1,30))</f>
        <v/>
      </c>
      <c r="G995" s="59"/>
      <c r="H995" s="26" t="str">
        <f>IF(OR(I.Developer.P2a=FALSE,I.Facility.StandardPart="Part 2"),"Complete",IF(I.Product.P2aGasToPower="No","Complete",IF(AND(I.Gas.P2aCount&gt;=30,F995=""),"Incomplete","Complete")))</f>
        <v>Complete</v>
      </c>
      <c r="I995" s="39" t="s">
        <v>1199</v>
      </c>
    </row>
    <row r="996" spans="2:9" ht="15" customHeight="1" x14ac:dyDescent="0.25">
      <c r="B996" s="37" t="s">
        <v>1169</v>
      </c>
      <c r="C996" s="26">
        <v>31</v>
      </c>
      <c r="D996" s="38" t="s">
        <v>2690</v>
      </c>
      <c r="E996" s="59"/>
      <c r="F996" s="59" t="str">
        <f>IF(INDEX(I.Gas.P2aC1E1,31)="","",INDEX(I.Gas.P2aC1E1,31))</f>
        <v/>
      </c>
      <c r="G996" s="59"/>
      <c r="H996" s="26" t="str">
        <f>IF(OR(I.Developer.P2a=FALSE,I.Facility.StandardPart="Part 2"),"Complete",IF(I.Product.P2aGasToPower="No","Complete",IF(AND(I.Gas.P2aCount&gt;=31,F996=""),"Incomplete","Complete")))</f>
        <v>Complete</v>
      </c>
      <c r="I996" s="39" t="s">
        <v>1200</v>
      </c>
    </row>
    <row r="997" spans="2:9" ht="15" customHeight="1" x14ac:dyDescent="0.25">
      <c r="B997" s="37" t="s">
        <v>1169</v>
      </c>
      <c r="C997" s="26">
        <v>32</v>
      </c>
      <c r="D997" s="38" t="s">
        <v>2690</v>
      </c>
      <c r="E997" s="59"/>
      <c r="F997" s="59" t="str">
        <f>IF(INDEX(I.Gas.P2aC1E1,32)="","",INDEX(I.Gas.P2aC1E1,32))</f>
        <v/>
      </c>
      <c r="G997" s="59"/>
      <c r="H997" s="26" t="str">
        <f>IF(OR(I.Developer.P2a=FALSE,I.Facility.StandardPart="Part 2"),"Complete",IF(I.Product.P2aGasToPower="No","Complete",IF(AND(I.Gas.P2aCount&gt;=32,F997=""),"Incomplete","Complete")))</f>
        <v>Complete</v>
      </c>
      <c r="I997" s="39" t="s">
        <v>1201</v>
      </c>
    </row>
    <row r="998" spans="2:9" ht="15" customHeight="1" x14ac:dyDescent="0.25">
      <c r="B998" s="37" t="s">
        <v>1169</v>
      </c>
      <c r="C998" s="26">
        <v>33</v>
      </c>
      <c r="D998" s="38" t="s">
        <v>2690</v>
      </c>
      <c r="E998" s="59"/>
      <c r="F998" s="59" t="str">
        <f>IF(INDEX(I.Gas.P2aC1E1,33)="","",INDEX(I.Gas.P2aC1E1,33))</f>
        <v/>
      </c>
      <c r="G998" s="59"/>
      <c r="H998" s="26" t="str">
        <f>IF(OR(I.Developer.P2a=FALSE,I.Facility.StandardPart="Part 2"),"Complete",IF(I.Product.P2aGasToPower="No","Complete",IF(AND(I.Gas.P2aCount&gt;=33,F998=""),"Incomplete","Complete")))</f>
        <v>Complete</v>
      </c>
      <c r="I998" s="39" t="s">
        <v>1202</v>
      </c>
    </row>
    <row r="999" spans="2:9" ht="15" customHeight="1" x14ac:dyDescent="0.25">
      <c r="B999" s="37" t="s">
        <v>1169</v>
      </c>
      <c r="C999" s="26">
        <v>34</v>
      </c>
      <c r="D999" s="38" t="s">
        <v>2690</v>
      </c>
      <c r="E999" s="59"/>
      <c r="F999" s="59" t="str">
        <f>IF(INDEX(I.Gas.P2aC1E1,34)="","",INDEX(I.Gas.P2aC1E1,34))</f>
        <v/>
      </c>
      <c r="G999" s="59"/>
      <c r="H999" s="26" t="str">
        <f>IF(OR(I.Developer.P2a=FALSE,I.Facility.StandardPart="Part 2"),"Complete",IF(I.Product.P2aGasToPower="No","Complete",IF(AND(I.Gas.P2aCount&gt;=34,F999=""),"Incomplete","Complete")))</f>
        <v>Complete</v>
      </c>
      <c r="I999" s="39" t="s">
        <v>1203</v>
      </c>
    </row>
    <row r="1000" spans="2:9" ht="15" customHeight="1" x14ac:dyDescent="0.25">
      <c r="B1000" s="37" t="s">
        <v>1169</v>
      </c>
      <c r="C1000" s="26">
        <v>35</v>
      </c>
      <c r="D1000" s="38" t="s">
        <v>2690</v>
      </c>
      <c r="E1000" s="59"/>
      <c r="F1000" s="59" t="str">
        <f>IF(INDEX(I.Gas.P2aC1E1,35)="","",INDEX(I.Gas.P2aC1E1,35))</f>
        <v/>
      </c>
      <c r="G1000" s="59"/>
      <c r="H1000" s="26" t="str">
        <f>IF(OR(I.Developer.P2a=FALSE,I.Facility.StandardPart="Part 2"),"Complete",IF(I.Product.P2aGasToPower="No","Complete",IF(AND(I.Gas.P2aCount&gt;=35,F1000=""),"Incomplete","Complete")))</f>
        <v>Complete</v>
      </c>
      <c r="I1000" s="39" t="s">
        <v>1204</v>
      </c>
    </row>
    <row r="1001" spans="2:9" ht="15" customHeight="1" x14ac:dyDescent="0.25">
      <c r="B1001" s="37" t="s">
        <v>1169</v>
      </c>
      <c r="C1001" s="26">
        <v>36</v>
      </c>
      <c r="D1001" s="38" t="s">
        <v>2690</v>
      </c>
      <c r="E1001" s="59"/>
      <c r="F1001" s="59" t="str">
        <f>IF(INDEX(I.Gas.P2aC1E1,36)="","",INDEX(I.Gas.P2aC1E1,36))</f>
        <v/>
      </c>
      <c r="G1001" s="59"/>
      <c r="H1001" s="26" t="str">
        <f>IF(OR(I.Developer.P2a=FALSE,I.Facility.StandardPart="Part 2"),"Complete",IF(I.Product.P2aGasToPower="No","Complete",IF(AND(I.Gas.P2aCount&gt;=36,F1001=""),"Incomplete","Complete")))</f>
        <v>Complete</v>
      </c>
      <c r="I1001" s="39" t="s">
        <v>1205</v>
      </c>
    </row>
    <row r="1002" spans="2:9" ht="15" customHeight="1" x14ac:dyDescent="0.25">
      <c r="B1002" s="37" t="s">
        <v>1169</v>
      </c>
      <c r="C1002" s="26">
        <v>37</v>
      </c>
      <c r="D1002" s="38" t="s">
        <v>2690</v>
      </c>
      <c r="E1002" s="59"/>
      <c r="F1002" s="59" t="str">
        <f>IF(INDEX(I.Gas.P2aC1E1,37)="","",INDEX(I.Gas.P2aC1E1,37))</f>
        <v/>
      </c>
      <c r="G1002" s="59"/>
      <c r="H1002" s="26" t="str">
        <f>IF(OR(I.Developer.P2a=FALSE,I.Facility.StandardPart="Part 2"),"Complete",IF(I.Product.P2aGasToPower="No","Complete",IF(AND(I.Gas.P2aCount&gt;=37,F1002=""),"Incomplete","Complete")))</f>
        <v>Complete</v>
      </c>
      <c r="I1002" s="39" t="s">
        <v>1206</v>
      </c>
    </row>
    <row r="1003" spans="2:9" ht="15" customHeight="1" x14ac:dyDescent="0.25">
      <c r="B1003" s="37" t="s">
        <v>1169</v>
      </c>
      <c r="C1003" s="26">
        <v>38</v>
      </c>
      <c r="D1003" s="38" t="s">
        <v>2690</v>
      </c>
      <c r="E1003" s="59"/>
      <c r="F1003" s="59" t="str">
        <f>IF(INDEX(I.Gas.P2aC1E1,38)="","",INDEX(I.Gas.P2aC1E1,38))</f>
        <v/>
      </c>
      <c r="G1003" s="59"/>
      <c r="H1003" s="26" t="str">
        <f>IF(OR(I.Developer.P2a=FALSE,I.Facility.StandardPart="Part 2"),"Complete",IF(I.Product.P2aGasToPower="No","Complete",IF(AND(I.Gas.P2aCount&gt;=38,F1003=""),"Incomplete","Complete")))</f>
        <v>Complete</v>
      </c>
      <c r="I1003" s="39" t="s">
        <v>1207</v>
      </c>
    </row>
    <row r="1004" spans="2:9" ht="15" customHeight="1" x14ac:dyDescent="0.25">
      <c r="B1004" s="37" t="s">
        <v>1169</v>
      </c>
      <c r="C1004" s="26">
        <v>39</v>
      </c>
      <c r="D1004" s="38" t="s">
        <v>2690</v>
      </c>
      <c r="E1004" s="59"/>
      <c r="F1004" s="59" t="str">
        <f>IF(INDEX(I.Gas.P2aC1E1,39)="","",INDEX(I.Gas.P2aC1E1,39))</f>
        <v/>
      </c>
      <c r="G1004" s="59"/>
      <c r="H1004" s="26" t="str">
        <f>IF(OR(I.Developer.P2a=FALSE,I.Facility.StandardPart="Part 2"),"Complete",IF(I.Product.P2aGasToPower="No","Complete",IF(AND(I.Gas.P2aCount&gt;=39,F1004=""),"Incomplete","Complete")))</f>
        <v>Complete</v>
      </c>
      <c r="I1004" s="39" t="s">
        <v>1208</v>
      </c>
    </row>
    <row r="1005" spans="2:9" ht="15" customHeight="1" x14ac:dyDescent="0.25">
      <c r="B1005" s="37" t="s">
        <v>1169</v>
      </c>
      <c r="C1005" s="26">
        <v>40</v>
      </c>
      <c r="D1005" s="38" t="s">
        <v>2690</v>
      </c>
      <c r="E1005" s="59"/>
      <c r="F1005" s="59" t="str">
        <f>IF(INDEX(I.Gas.P2aC1E1,40)="","",INDEX(I.Gas.P2aC1E1,40))</f>
        <v/>
      </c>
      <c r="G1005" s="59"/>
      <c r="H1005" s="26" t="str">
        <f>IF(OR(I.Developer.P2a=FALSE,I.Facility.StandardPart="Part 2"),"Complete",IF(I.Product.P2aGasToPower="No","Complete",IF(AND(I.Gas.P2aCount&gt;=40,F1005=""),"Incomplete","Complete")))</f>
        <v>Complete</v>
      </c>
      <c r="I1005" s="39" t="s">
        <v>1209</v>
      </c>
    </row>
    <row r="1006" spans="2:9" ht="15" customHeight="1" x14ac:dyDescent="0.25">
      <c r="B1006" s="37" t="s">
        <v>1169</v>
      </c>
      <c r="C1006" s="26">
        <v>41</v>
      </c>
      <c r="D1006" s="38" t="s">
        <v>2690</v>
      </c>
      <c r="E1006" s="59"/>
      <c r="F1006" s="59" t="str">
        <f>IF(INDEX(I.Gas.P2aC1E1,41)="","",INDEX(I.Gas.P2aC1E1,41))</f>
        <v/>
      </c>
      <c r="G1006" s="59"/>
      <c r="H1006" s="26" t="str">
        <f>IF(OR(I.Developer.P2a=FALSE,I.Facility.StandardPart="Part 2"),"Complete",IF(I.Product.P2aGasToPower="No","Complete",IF(AND(I.Gas.P2aCount&gt;=41,F1006=""),"Incomplete","Complete")))</f>
        <v>Complete</v>
      </c>
      <c r="I1006" s="39" t="s">
        <v>1210</v>
      </c>
    </row>
    <row r="1007" spans="2:9" ht="15" customHeight="1" x14ac:dyDescent="0.25">
      <c r="B1007" s="37" t="s">
        <v>1169</v>
      </c>
      <c r="C1007" s="26">
        <v>42</v>
      </c>
      <c r="D1007" s="38" t="s">
        <v>2690</v>
      </c>
      <c r="E1007" s="59"/>
      <c r="F1007" s="59" t="str">
        <f>IF(INDEX(I.Gas.P2aC1E1,42)="","",INDEX(I.Gas.P2aC1E1,42))</f>
        <v/>
      </c>
      <c r="G1007" s="59"/>
      <c r="H1007" s="26" t="str">
        <f>IF(OR(I.Developer.P2a=FALSE,I.Facility.StandardPart="Part 2"),"Complete",IF(I.Product.P2aGasToPower="No","Complete",IF(AND(I.Gas.P2aCount&gt;=42,F1007=""),"Incomplete","Complete")))</f>
        <v>Complete</v>
      </c>
      <c r="I1007" s="39" t="s">
        <v>1211</v>
      </c>
    </row>
    <row r="1008" spans="2:9" ht="15" customHeight="1" x14ac:dyDescent="0.25">
      <c r="B1008" s="37" t="s">
        <v>1169</v>
      </c>
      <c r="C1008" s="26">
        <v>43</v>
      </c>
      <c r="D1008" s="38" t="s">
        <v>2690</v>
      </c>
      <c r="E1008" s="59"/>
      <c r="F1008" s="59" t="str">
        <f>IF(INDEX(I.Gas.P2aC1E1,43)="","",INDEX(I.Gas.P2aC1E1,43))</f>
        <v/>
      </c>
      <c r="G1008" s="59"/>
      <c r="H1008" s="26" t="str">
        <f>IF(OR(I.Developer.P2a=FALSE,I.Facility.StandardPart="Part 2"),"Complete",IF(I.Product.P2aGasToPower="No","Complete",IF(AND(I.Gas.P2aCount&gt;=43,F1008=""),"Incomplete","Complete")))</f>
        <v>Complete</v>
      </c>
      <c r="I1008" s="39" t="s">
        <v>1212</v>
      </c>
    </row>
    <row r="1009" spans="2:9" ht="15" customHeight="1" x14ac:dyDescent="0.25">
      <c r="B1009" s="37" t="s">
        <v>1169</v>
      </c>
      <c r="C1009" s="26">
        <v>44</v>
      </c>
      <c r="D1009" s="38" t="s">
        <v>2690</v>
      </c>
      <c r="E1009" s="59"/>
      <c r="F1009" s="59" t="str">
        <f>IF(INDEX(I.Gas.P2aC1E1,44)="","",INDEX(I.Gas.P2aC1E1,44))</f>
        <v/>
      </c>
      <c r="G1009" s="59"/>
      <c r="H1009" s="26" t="str">
        <f>IF(OR(I.Developer.P2a=FALSE,I.Facility.StandardPart="Part 2"),"Complete",IF(I.Product.P2aGasToPower="No","Complete",IF(AND(I.Gas.P2aCount&gt;=44,F1009=""),"Incomplete","Complete")))</f>
        <v>Complete</v>
      </c>
      <c r="I1009" s="39" t="s">
        <v>1213</v>
      </c>
    </row>
    <row r="1010" spans="2:9" ht="15" customHeight="1" x14ac:dyDescent="0.25">
      <c r="B1010" s="37" t="s">
        <v>1169</v>
      </c>
      <c r="C1010" s="26">
        <v>45</v>
      </c>
      <c r="D1010" s="38" t="s">
        <v>2690</v>
      </c>
      <c r="E1010" s="59"/>
      <c r="F1010" s="59" t="str">
        <f>IF(INDEX(I.Gas.P2aC1E1,45)="","",INDEX(I.Gas.P2aC1E1,45))</f>
        <v/>
      </c>
      <c r="G1010" s="59"/>
      <c r="H1010" s="26" t="str">
        <f>IF(OR(I.Developer.P2a=FALSE,I.Facility.StandardPart="Part 2"),"Complete",IF(I.Product.P2aGasToPower="No","Complete",IF(AND(I.Gas.P2aCount&gt;=45,F1010=""),"Incomplete","Complete")))</f>
        <v>Complete</v>
      </c>
      <c r="I1010" s="39" t="s">
        <v>1214</v>
      </c>
    </row>
    <row r="1011" spans="2:9" ht="15" customHeight="1" x14ac:dyDescent="0.25">
      <c r="B1011" s="37" t="s">
        <v>1169</v>
      </c>
      <c r="C1011" s="26">
        <v>46</v>
      </c>
      <c r="D1011" s="38" t="s">
        <v>2690</v>
      </c>
      <c r="E1011" s="59"/>
      <c r="F1011" s="59" t="str">
        <f>IF(INDEX(I.Gas.P2aC1E1,46)="","",INDEX(I.Gas.P2aC1E1,46))</f>
        <v/>
      </c>
      <c r="G1011" s="59"/>
      <c r="H1011" s="26" t="str">
        <f>IF(OR(I.Developer.P2a=FALSE,I.Facility.StandardPart="Part 2"),"Complete",IF(I.Product.P2aGasToPower="No","Complete",IF(AND(I.Gas.P2aCount&gt;=46,F1011=""),"Incomplete","Complete")))</f>
        <v>Complete</v>
      </c>
      <c r="I1011" s="39" t="s">
        <v>1215</v>
      </c>
    </row>
    <row r="1012" spans="2:9" ht="15" customHeight="1" x14ac:dyDescent="0.25">
      <c r="B1012" s="37" t="s">
        <v>1169</v>
      </c>
      <c r="C1012" s="26">
        <v>47</v>
      </c>
      <c r="D1012" s="38" t="s">
        <v>2690</v>
      </c>
      <c r="E1012" s="59"/>
      <c r="F1012" s="59" t="str">
        <f>IF(INDEX(I.Gas.P2aC1E1,47)="","",INDEX(I.Gas.P2aC1E1,47))</f>
        <v/>
      </c>
      <c r="G1012" s="59"/>
      <c r="H1012" s="26" t="str">
        <f>IF(OR(I.Developer.P2a=FALSE,I.Facility.StandardPart="Part 2"),"Complete",IF(I.Product.P2aGasToPower="No","Complete",IF(AND(I.Gas.P2aCount&gt;=47,F1012=""),"Incomplete","Complete")))</f>
        <v>Complete</v>
      </c>
      <c r="I1012" s="39" t="s">
        <v>1216</v>
      </c>
    </row>
    <row r="1013" spans="2:9" ht="15" customHeight="1" x14ac:dyDescent="0.25">
      <c r="B1013" s="37" t="s">
        <v>1169</v>
      </c>
      <c r="C1013" s="26">
        <v>48</v>
      </c>
      <c r="D1013" s="38" t="s">
        <v>2690</v>
      </c>
      <c r="E1013" s="59"/>
      <c r="F1013" s="59" t="str">
        <f>IF(INDEX(I.Gas.P2aC1E1,48)="","",INDEX(I.Gas.P2aC1E1,48))</f>
        <v/>
      </c>
      <c r="G1013" s="59"/>
      <c r="H1013" s="26" t="str">
        <f>IF(OR(I.Developer.P2a=FALSE,I.Facility.StandardPart="Part 2"),"Complete",IF(I.Product.P2aGasToPower="No","Complete",IF(AND(I.Gas.P2aCount&gt;=48,F1013=""),"Incomplete","Complete")))</f>
        <v>Complete</v>
      </c>
      <c r="I1013" s="39" t="s">
        <v>1217</v>
      </c>
    </row>
    <row r="1014" spans="2:9" ht="15" customHeight="1" x14ac:dyDescent="0.25">
      <c r="B1014" s="37" t="s">
        <v>1169</v>
      </c>
      <c r="C1014" s="26">
        <v>49</v>
      </c>
      <c r="D1014" s="38" t="s">
        <v>2690</v>
      </c>
      <c r="E1014" s="59"/>
      <c r="F1014" s="59" t="str">
        <f>IF(INDEX(I.Gas.P2aC1E1,49)="","",INDEX(I.Gas.P2aC1E1,49))</f>
        <v/>
      </c>
      <c r="G1014" s="59"/>
      <c r="H1014" s="26" t="str">
        <f>IF(OR(I.Developer.P2a=FALSE,I.Facility.StandardPart="Part 2"),"Complete",IF(I.Product.P2aGasToPower="No","Complete",IF(AND(I.Gas.P2aCount&gt;=49,F1014=""),"Incomplete","Complete")))</f>
        <v>Complete</v>
      </c>
      <c r="I1014" s="39" t="s">
        <v>1218</v>
      </c>
    </row>
    <row r="1015" spans="2:9" ht="15" customHeight="1" x14ac:dyDescent="0.25">
      <c r="B1015" s="40" t="s">
        <v>1169</v>
      </c>
      <c r="C1015" s="46">
        <v>50</v>
      </c>
      <c r="D1015" s="44" t="s">
        <v>2690</v>
      </c>
      <c r="E1015" s="63"/>
      <c r="F1015" s="63" t="str">
        <f>IF(INDEX(I.Gas.P2aC1E1,50)="","",INDEX(I.Gas.P2aC1E1,50))</f>
        <v/>
      </c>
      <c r="G1015" s="63"/>
      <c r="H1015" s="46" t="str">
        <f>IF(OR(I.Developer.P2a=FALSE,I.Facility.StandardPart="Part 2"),"Complete",IF(I.Product.P2aGasToPower="No","Complete",IF(AND(I.Gas.P2aCount&gt;=50,F1015=""),"Incomplete","Complete")))</f>
        <v>Complete</v>
      </c>
      <c r="I1015" s="47" t="s">
        <v>1219</v>
      </c>
    </row>
    <row r="1016" spans="2:9" ht="15" customHeight="1" x14ac:dyDescent="0.25">
      <c r="B1016" s="37" t="s">
        <v>1220</v>
      </c>
      <c r="C1016" s="26">
        <v>1</v>
      </c>
      <c r="D1016" s="38" t="s">
        <v>2691</v>
      </c>
      <c r="E1016" s="59"/>
      <c r="F1016" s="59" t="str">
        <f>IF(INDEX(I.Gas.P2aC1E2,1)="","",INDEX(I.Gas.P2aC1E2,1))</f>
        <v/>
      </c>
      <c r="G1016" s="59"/>
      <c r="H1016" s="26" t="str">
        <f>IF(OR(I.Developer.P2a=FALSE,I.Facility.StandardPart="Part 2"),"Complete",IF(I.Product.P2aGasToPower="No","Complete",IF(AND(I.Gas.P2aCount&gt;=1,F1016=""),"Incomplete","Complete")))</f>
        <v>Complete</v>
      </c>
      <c r="I1016" s="39" t="s">
        <v>1221</v>
      </c>
    </row>
    <row r="1017" spans="2:9" ht="15" customHeight="1" x14ac:dyDescent="0.25">
      <c r="B1017" s="37" t="s">
        <v>1220</v>
      </c>
      <c r="C1017" s="26">
        <v>2</v>
      </c>
      <c r="D1017" s="38" t="s">
        <v>2691</v>
      </c>
      <c r="E1017" s="59"/>
      <c r="F1017" s="59" t="str">
        <f>IF(INDEX(I.Gas.P2aC1E2,2)="","",INDEX(I.Gas.P2aC1E2,2))</f>
        <v/>
      </c>
      <c r="G1017" s="59"/>
      <c r="H1017" s="26" t="str">
        <f>IF(OR(I.Developer.P2a=FALSE,I.Facility.StandardPart="Part 2"),"Complete",IF(I.Product.P2aGasToPower="No","Complete",IF(AND(I.Gas.P2aCount&gt;=2,F1017=""),"Incomplete","Complete")))</f>
        <v>Complete</v>
      </c>
      <c r="I1017" s="39" t="s">
        <v>1222</v>
      </c>
    </row>
    <row r="1018" spans="2:9" ht="15" customHeight="1" x14ac:dyDescent="0.25">
      <c r="B1018" s="37" t="s">
        <v>1220</v>
      </c>
      <c r="C1018" s="26">
        <v>3</v>
      </c>
      <c r="D1018" s="38" t="s">
        <v>2691</v>
      </c>
      <c r="E1018" s="59"/>
      <c r="F1018" s="59" t="str">
        <f>IF(INDEX(I.Gas.P2aC1E2,3)="","",INDEX(I.Gas.P2aC1E2,3))</f>
        <v/>
      </c>
      <c r="G1018" s="59"/>
      <c r="H1018" s="26" t="str">
        <f>IF(OR(I.Developer.P2a=FALSE,I.Facility.StandardPart="Part 2"),"Complete",IF(I.Product.P2aGasToPower="No","Complete",IF(AND(I.Gas.P2aCount&gt;=3,F1018=""),"Incomplete","Complete")))</f>
        <v>Complete</v>
      </c>
      <c r="I1018" s="39" t="s">
        <v>1223</v>
      </c>
    </row>
    <row r="1019" spans="2:9" ht="15" customHeight="1" x14ac:dyDescent="0.25">
      <c r="B1019" s="37" t="s">
        <v>1220</v>
      </c>
      <c r="C1019" s="26">
        <v>4</v>
      </c>
      <c r="D1019" s="38" t="s">
        <v>2691</v>
      </c>
      <c r="E1019" s="59"/>
      <c r="F1019" s="59" t="str">
        <f>IF(INDEX(I.Gas.P2aC1E2,4)="","",INDEX(I.Gas.P2aC1E2,4))</f>
        <v/>
      </c>
      <c r="G1019" s="59"/>
      <c r="H1019" s="26" t="str">
        <f>IF(OR(I.Developer.P2a=FALSE,I.Facility.StandardPart="Part 2"),"Complete",IF(I.Product.P2aGasToPower="No","Complete",IF(AND(I.Gas.P2aCount&gt;=4,F1019=""),"Incomplete","Complete")))</f>
        <v>Complete</v>
      </c>
      <c r="I1019" s="39" t="s">
        <v>1224</v>
      </c>
    </row>
    <row r="1020" spans="2:9" ht="15" customHeight="1" x14ac:dyDescent="0.25">
      <c r="B1020" s="37" t="s">
        <v>1220</v>
      </c>
      <c r="C1020" s="26">
        <v>5</v>
      </c>
      <c r="D1020" s="38" t="s">
        <v>2691</v>
      </c>
      <c r="E1020" s="59"/>
      <c r="F1020" s="59" t="str">
        <f>IF(INDEX(I.Gas.P2aC1E2,5)="","",INDEX(I.Gas.P2aC1E2,5))</f>
        <v/>
      </c>
      <c r="G1020" s="59"/>
      <c r="H1020" s="26" t="str">
        <f>IF(OR(I.Developer.P2a=FALSE,I.Facility.StandardPart="Part 2"),"Complete",IF(I.Product.P2aGasToPower="No","Complete",IF(AND(I.Gas.P2aCount&gt;=5,F1020=""),"Incomplete","Complete")))</f>
        <v>Complete</v>
      </c>
      <c r="I1020" s="39" t="s">
        <v>1225</v>
      </c>
    </row>
    <row r="1021" spans="2:9" ht="15" customHeight="1" x14ac:dyDescent="0.25">
      <c r="B1021" s="37" t="s">
        <v>1220</v>
      </c>
      <c r="C1021" s="26">
        <v>6</v>
      </c>
      <c r="D1021" s="38" t="s">
        <v>2691</v>
      </c>
      <c r="E1021" s="59"/>
      <c r="F1021" s="59" t="str">
        <f>IF(INDEX(I.Gas.P2aC1E2,6)="","",INDEX(I.Gas.P2aC1E2,6))</f>
        <v/>
      </c>
      <c r="G1021" s="59"/>
      <c r="H1021" s="26" t="str">
        <f>IF(OR(I.Developer.P2a=FALSE,I.Facility.StandardPart="Part 2"),"Complete",IF(I.Product.P2aGasToPower="No","Complete",IF(AND(I.Gas.P2aCount&gt;=6,F1021=""),"Incomplete","Complete")))</f>
        <v>Complete</v>
      </c>
      <c r="I1021" s="39" t="s">
        <v>1226</v>
      </c>
    </row>
    <row r="1022" spans="2:9" ht="15" customHeight="1" x14ac:dyDescent="0.25">
      <c r="B1022" s="37" t="s">
        <v>1220</v>
      </c>
      <c r="C1022" s="26">
        <v>7</v>
      </c>
      <c r="D1022" s="38" t="s">
        <v>2691</v>
      </c>
      <c r="E1022" s="59"/>
      <c r="F1022" s="59" t="str">
        <f>IF(INDEX(I.Gas.P2aC1E2,7)="","",INDEX(I.Gas.P2aC1E2,7))</f>
        <v/>
      </c>
      <c r="G1022" s="59"/>
      <c r="H1022" s="26" t="str">
        <f>IF(OR(I.Developer.P2a=FALSE,I.Facility.StandardPart="Part 2"),"Complete",IF(I.Product.P2aGasToPower="No","Complete",IF(AND(I.Gas.P2aCount&gt;=7,F1022=""),"Incomplete","Complete")))</f>
        <v>Complete</v>
      </c>
      <c r="I1022" s="39" t="s">
        <v>1227</v>
      </c>
    </row>
    <row r="1023" spans="2:9" ht="15" customHeight="1" x14ac:dyDescent="0.25">
      <c r="B1023" s="37" t="s">
        <v>1220</v>
      </c>
      <c r="C1023" s="26">
        <v>8</v>
      </c>
      <c r="D1023" s="38" t="s">
        <v>2691</v>
      </c>
      <c r="E1023" s="59"/>
      <c r="F1023" s="59" t="str">
        <f>IF(INDEX(I.Gas.P2aC1E2,8)="","",INDEX(I.Gas.P2aC1E2,8))</f>
        <v/>
      </c>
      <c r="G1023" s="59"/>
      <c r="H1023" s="26" t="str">
        <f>IF(OR(I.Developer.P2a=FALSE,I.Facility.StandardPart="Part 2"),"Complete",IF(I.Product.P2aGasToPower="No","Complete",IF(AND(I.Gas.P2aCount&gt;=8,F1023=""),"Incomplete","Complete")))</f>
        <v>Complete</v>
      </c>
      <c r="I1023" s="39" t="s">
        <v>1228</v>
      </c>
    </row>
    <row r="1024" spans="2:9" ht="15" customHeight="1" x14ac:dyDescent="0.25">
      <c r="B1024" s="37" t="s">
        <v>1220</v>
      </c>
      <c r="C1024" s="26">
        <v>9</v>
      </c>
      <c r="D1024" s="38" t="s">
        <v>2691</v>
      </c>
      <c r="E1024" s="59"/>
      <c r="F1024" s="59" t="str">
        <f>IF(INDEX(I.Gas.P2aC1E2,9)="","",INDEX(I.Gas.P2aC1E2,9))</f>
        <v/>
      </c>
      <c r="G1024" s="59"/>
      <c r="H1024" s="26" t="str">
        <f>IF(OR(I.Developer.P2a=FALSE,I.Facility.StandardPart="Part 2"),"Complete",IF(I.Product.P2aGasToPower="No","Complete",IF(AND(I.Gas.P2aCount&gt;=9,F1024=""),"Incomplete","Complete")))</f>
        <v>Complete</v>
      </c>
      <c r="I1024" s="39" t="s">
        <v>1229</v>
      </c>
    </row>
    <row r="1025" spans="2:9" ht="15" customHeight="1" x14ac:dyDescent="0.25">
      <c r="B1025" s="37" t="s">
        <v>1220</v>
      </c>
      <c r="C1025" s="26">
        <v>10</v>
      </c>
      <c r="D1025" s="38" t="s">
        <v>2691</v>
      </c>
      <c r="E1025" s="59"/>
      <c r="F1025" s="59" t="str">
        <f>IF(INDEX(I.Gas.P2aC1E2,10)="","",INDEX(I.Gas.P2aC1E2,10))</f>
        <v/>
      </c>
      <c r="G1025" s="59"/>
      <c r="H1025" s="26" t="str">
        <f>IF(OR(I.Developer.P2a=FALSE,I.Facility.StandardPart="Part 2"),"Complete",IF(I.Product.P2aGasToPower="No","Complete",IF(AND(I.Gas.P2aCount&gt;=10,F1025=""),"Incomplete","Complete")))</f>
        <v>Complete</v>
      </c>
      <c r="I1025" s="39" t="s">
        <v>1230</v>
      </c>
    </row>
    <row r="1026" spans="2:9" ht="15" customHeight="1" x14ac:dyDescent="0.25">
      <c r="B1026" s="37" t="s">
        <v>1220</v>
      </c>
      <c r="C1026" s="26">
        <v>11</v>
      </c>
      <c r="D1026" s="38" t="s">
        <v>2691</v>
      </c>
      <c r="E1026" s="59"/>
      <c r="F1026" s="59" t="str">
        <f>IF(INDEX(I.Gas.P2aC1E2,11)="","",INDEX(I.Gas.P2aC1E2,11))</f>
        <v/>
      </c>
      <c r="G1026" s="59"/>
      <c r="H1026" s="26" t="str">
        <f>IF(OR(I.Developer.P2a=FALSE,I.Facility.StandardPart="Part 2"),"Complete",IF(I.Product.P2aGasToPower="No","Complete",IF(AND(I.Gas.P2aCount&gt;=11,F1026=""),"Incomplete","Complete")))</f>
        <v>Complete</v>
      </c>
      <c r="I1026" s="39" t="s">
        <v>1231</v>
      </c>
    </row>
    <row r="1027" spans="2:9" ht="15" customHeight="1" x14ac:dyDescent="0.25">
      <c r="B1027" s="37" t="s">
        <v>1220</v>
      </c>
      <c r="C1027" s="26">
        <v>12</v>
      </c>
      <c r="D1027" s="38" t="s">
        <v>2691</v>
      </c>
      <c r="E1027" s="59"/>
      <c r="F1027" s="59" t="str">
        <f>IF(INDEX(I.Gas.P2aC1E2,12)="","",INDEX(I.Gas.P2aC1E2,12))</f>
        <v/>
      </c>
      <c r="G1027" s="59"/>
      <c r="H1027" s="26" t="str">
        <f>IF(OR(I.Developer.P2a=FALSE,I.Facility.StandardPart="Part 2"),"Complete",IF(I.Product.P2aGasToPower="No","Complete",IF(AND(I.Gas.P2aCount&gt;=12,F1027=""),"Incomplete","Complete")))</f>
        <v>Complete</v>
      </c>
      <c r="I1027" s="39" t="s">
        <v>1232</v>
      </c>
    </row>
    <row r="1028" spans="2:9" ht="15" customHeight="1" x14ac:dyDescent="0.25">
      <c r="B1028" s="37" t="s">
        <v>1220</v>
      </c>
      <c r="C1028" s="26">
        <v>13</v>
      </c>
      <c r="D1028" s="38" t="s">
        <v>2691</v>
      </c>
      <c r="E1028" s="59"/>
      <c r="F1028" s="59" t="str">
        <f>IF(INDEX(I.Gas.P2aC1E2,13)="","",INDEX(I.Gas.P2aC1E2,13))</f>
        <v/>
      </c>
      <c r="G1028" s="59"/>
      <c r="H1028" s="26" t="str">
        <f>IF(OR(I.Developer.P2a=FALSE,I.Facility.StandardPart="Part 2"),"Complete",IF(I.Product.P2aGasToPower="No","Complete",IF(AND(I.Gas.P2aCount&gt;=13,F1028=""),"Incomplete","Complete")))</f>
        <v>Complete</v>
      </c>
      <c r="I1028" s="39" t="s">
        <v>1233</v>
      </c>
    </row>
    <row r="1029" spans="2:9" ht="15" customHeight="1" x14ac:dyDescent="0.25">
      <c r="B1029" s="37" t="s">
        <v>1220</v>
      </c>
      <c r="C1029" s="26">
        <v>14</v>
      </c>
      <c r="D1029" s="38" t="s">
        <v>2691</v>
      </c>
      <c r="E1029" s="59"/>
      <c r="F1029" s="59" t="str">
        <f>IF(INDEX(I.Gas.P2aC1E2,14)="","",INDEX(I.Gas.P2aC1E2,14))</f>
        <v/>
      </c>
      <c r="G1029" s="59"/>
      <c r="H1029" s="26" t="str">
        <f>IF(OR(I.Developer.P2a=FALSE,I.Facility.StandardPart="Part 2"),"Complete",IF(I.Product.P2aGasToPower="No","Complete",IF(AND(I.Gas.P2aCount&gt;=14,F1029=""),"Incomplete","Complete")))</f>
        <v>Complete</v>
      </c>
      <c r="I1029" s="39" t="s">
        <v>1234</v>
      </c>
    </row>
    <row r="1030" spans="2:9" ht="15" customHeight="1" x14ac:dyDescent="0.25">
      <c r="B1030" s="37" t="s">
        <v>1220</v>
      </c>
      <c r="C1030" s="26">
        <v>15</v>
      </c>
      <c r="D1030" s="38" t="s">
        <v>2691</v>
      </c>
      <c r="E1030" s="59"/>
      <c r="F1030" s="59" t="str">
        <f>IF(INDEX(I.Gas.P2aC1E2,15)="","",INDEX(I.Gas.P2aC1E2,15))</f>
        <v/>
      </c>
      <c r="G1030" s="59"/>
      <c r="H1030" s="26" t="str">
        <f>IF(OR(I.Developer.P2a=FALSE,I.Facility.StandardPart="Part 2"),"Complete",IF(I.Product.P2aGasToPower="No","Complete",IF(AND(I.Gas.P2aCount&gt;=15,F1030=""),"Incomplete","Complete")))</f>
        <v>Complete</v>
      </c>
      <c r="I1030" s="39" t="s">
        <v>1235</v>
      </c>
    </row>
    <row r="1031" spans="2:9" ht="15" customHeight="1" x14ac:dyDescent="0.25">
      <c r="B1031" s="37" t="s">
        <v>1220</v>
      </c>
      <c r="C1031" s="26">
        <v>16</v>
      </c>
      <c r="D1031" s="38" t="s">
        <v>2691</v>
      </c>
      <c r="E1031" s="59"/>
      <c r="F1031" s="59" t="str">
        <f>IF(INDEX(I.Gas.P2aC1E2,16)="","",INDEX(I.Gas.P2aC1E2,16))</f>
        <v/>
      </c>
      <c r="G1031" s="59"/>
      <c r="H1031" s="26" t="str">
        <f>IF(OR(I.Developer.P2a=FALSE,I.Facility.StandardPart="Part 2"),"Complete",IF(I.Product.P2aGasToPower="No","Complete",IF(AND(I.Gas.P2aCount&gt;=16,F1031=""),"Incomplete","Complete")))</f>
        <v>Complete</v>
      </c>
      <c r="I1031" s="39" t="s">
        <v>1236</v>
      </c>
    </row>
    <row r="1032" spans="2:9" ht="15" customHeight="1" x14ac:dyDescent="0.25">
      <c r="B1032" s="37" t="s">
        <v>1220</v>
      </c>
      <c r="C1032" s="26">
        <v>17</v>
      </c>
      <c r="D1032" s="38" t="s">
        <v>2691</v>
      </c>
      <c r="E1032" s="59"/>
      <c r="F1032" s="59" t="str">
        <f>IF(INDEX(I.Gas.P2aC1E2,17)="","",INDEX(I.Gas.P2aC1E2,17))</f>
        <v/>
      </c>
      <c r="G1032" s="59"/>
      <c r="H1032" s="26" t="str">
        <f>IF(OR(I.Developer.P2a=FALSE,I.Facility.StandardPart="Part 2"),"Complete",IF(I.Product.P2aGasToPower="No","Complete",IF(AND(I.Gas.P2aCount&gt;=17,F1032=""),"Incomplete","Complete")))</f>
        <v>Complete</v>
      </c>
      <c r="I1032" s="39" t="s">
        <v>1237</v>
      </c>
    </row>
    <row r="1033" spans="2:9" ht="15" customHeight="1" x14ac:dyDescent="0.25">
      <c r="B1033" s="37" t="s">
        <v>1220</v>
      </c>
      <c r="C1033" s="26">
        <v>18</v>
      </c>
      <c r="D1033" s="38" t="s">
        <v>2691</v>
      </c>
      <c r="E1033" s="59"/>
      <c r="F1033" s="59" t="str">
        <f>IF(INDEX(I.Gas.P2aC1E2,18)="","",INDEX(I.Gas.P2aC1E2,18))</f>
        <v/>
      </c>
      <c r="G1033" s="59"/>
      <c r="H1033" s="26" t="str">
        <f>IF(OR(I.Developer.P2a=FALSE,I.Facility.StandardPart="Part 2"),"Complete",IF(I.Product.P2aGasToPower="No","Complete",IF(AND(I.Gas.P2aCount&gt;=18,F1033=""),"Incomplete","Complete")))</f>
        <v>Complete</v>
      </c>
      <c r="I1033" s="39" t="s">
        <v>1238</v>
      </c>
    </row>
    <row r="1034" spans="2:9" ht="15" customHeight="1" x14ac:dyDescent="0.25">
      <c r="B1034" s="37" t="s">
        <v>1220</v>
      </c>
      <c r="C1034" s="26">
        <v>19</v>
      </c>
      <c r="D1034" s="38" t="s">
        <v>2691</v>
      </c>
      <c r="E1034" s="59"/>
      <c r="F1034" s="59" t="str">
        <f>IF(INDEX(I.Gas.P2aC1E2,19)="","",INDEX(I.Gas.P2aC1E2,19))</f>
        <v/>
      </c>
      <c r="G1034" s="59"/>
      <c r="H1034" s="26" t="str">
        <f>IF(OR(I.Developer.P2a=FALSE,I.Facility.StandardPart="Part 2"),"Complete",IF(I.Product.P2aGasToPower="No","Complete",IF(AND(I.Gas.P2aCount&gt;=19,F1034=""),"Incomplete","Complete")))</f>
        <v>Complete</v>
      </c>
      <c r="I1034" s="39" t="s">
        <v>1239</v>
      </c>
    </row>
    <row r="1035" spans="2:9" ht="15" customHeight="1" x14ac:dyDescent="0.25">
      <c r="B1035" s="37" t="s">
        <v>1220</v>
      </c>
      <c r="C1035" s="26">
        <v>20</v>
      </c>
      <c r="D1035" s="38" t="s">
        <v>2691</v>
      </c>
      <c r="E1035" s="59"/>
      <c r="F1035" s="59" t="str">
        <f>IF(INDEX(I.Gas.P2aC1E2,20)="","",INDEX(I.Gas.P2aC1E2,20))</f>
        <v/>
      </c>
      <c r="G1035" s="59"/>
      <c r="H1035" s="26" t="str">
        <f>IF(OR(I.Developer.P2a=FALSE,I.Facility.StandardPart="Part 2"),"Complete",IF(I.Product.P2aGasToPower="No","Complete",IF(AND(I.Gas.P2aCount&gt;=20,F1035=""),"Incomplete","Complete")))</f>
        <v>Complete</v>
      </c>
      <c r="I1035" s="39" t="s">
        <v>1240</v>
      </c>
    </row>
    <row r="1036" spans="2:9" ht="15" customHeight="1" x14ac:dyDescent="0.25">
      <c r="B1036" s="37" t="s">
        <v>1220</v>
      </c>
      <c r="C1036" s="26">
        <v>21</v>
      </c>
      <c r="D1036" s="38" t="s">
        <v>2691</v>
      </c>
      <c r="E1036" s="59"/>
      <c r="F1036" s="59" t="str">
        <f>IF(INDEX(I.Gas.P2aC1E2,21)="","",INDEX(I.Gas.P2aC1E2,21))</f>
        <v/>
      </c>
      <c r="G1036" s="59"/>
      <c r="H1036" s="26" t="str">
        <f>IF(OR(I.Developer.P2a=FALSE,I.Facility.StandardPart="Part 2"),"Complete",IF(I.Product.P2aGasToPower="No","Complete",IF(AND(I.Gas.P2aCount&gt;=21,F1036=""),"Incomplete","Complete")))</f>
        <v>Complete</v>
      </c>
      <c r="I1036" s="39" t="s">
        <v>1241</v>
      </c>
    </row>
    <row r="1037" spans="2:9" ht="15" customHeight="1" x14ac:dyDescent="0.25">
      <c r="B1037" s="37" t="s">
        <v>1220</v>
      </c>
      <c r="C1037" s="26">
        <v>22</v>
      </c>
      <c r="D1037" s="38" t="s">
        <v>2691</v>
      </c>
      <c r="E1037" s="59"/>
      <c r="F1037" s="59" t="str">
        <f>IF(INDEX(I.Gas.P2aC1E2,22)="","",INDEX(I.Gas.P2aC1E2,22))</f>
        <v/>
      </c>
      <c r="G1037" s="59"/>
      <c r="H1037" s="26" t="str">
        <f>IF(OR(I.Developer.P2a=FALSE,I.Facility.StandardPart="Part 2"),"Complete",IF(I.Product.P2aGasToPower="No","Complete",IF(AND(I.Gas.P2aCount&gt;=22,F1037=""),"Incomplete","Complete")))</f>
        <v>Complete</v>
      </c>
      <c r="I1037" s="39" t="s">
        <v>1242</v>
      </c>
    </row>
    <row r="1038" spans="2:9" ht="15" customHeight="1" x14ac:dyDescent="0.25">
      <c r="B1038" s="37" t="s">
        <v>1220</v>
      </c>
      <c r="C1038" s="26">
        <v>23</v>
      </c>
      <c r="D1038" s="38" t="s">
        <v>2691</v>
      </c>
      <c r="E1038" s="59"/>
      <c r="F1038" s="59" t="str">
        <f>IF(INDEX(I.Gas.P2aC1E2,23)="","",INDEX(I.Gas.P2aC1E2,23))</f>
        <v/>
      </c>
      <c r="G1038" s="59"/>
      <c r="H1038" s="26" t="str">
        <f>IF(OR(I.Developer.P2a=FALSE,I.Facility.StandardPart="Part 2"),"Complete",IF(I.Product.P2aGasToPower="No","Complete",IF(AND(I.Gas.P2aCount&gt;=23,F1038=""),"Incomplete","Complete")))</f>
        <v>Complete</v>
      </c>
      <c r="I1038" s="39" t="s">
        <v>1243</v>
      </c>
    </row>
    <row r="1039" spans="2:9" ht="15" customHeight="1" x14ac:dyDescent="0.25">
      <c r="B1039" s="37" t="s">
        <v>1220</v>
      </c>
      <c r="C1039" s="26">
        <v>24</v>
      </c>
      <c r="D1039" s="38" t="s">
        <v>2691</v>
      </c>
      <c r="E1039" s="59"/>
      <c r="F1039" s="59" t="str">
        <f>IF(INDEX(I.Gas.P2aC1E2,24)="","",INDEX(I.Gas.P2aC1E2,24))</f>
        <v/>
      </c>
      <c r="G1039" s="59"/>
      <c r="H1039" s="26" t="str">
        <f>IF(OR(I.Developer.P2a=FALSE,I.Facility.StandardPart="Part 2"),"Complete",IF(I.Product.P2aGasToPower="No","Complete",IF(AND(I.Gas.P2aCount&gt;=24,F1039=""),"Incomplete","Complete")))</f>
        <v>Complete</v>
      </c>
      <c r="I1039" s="39" t="s">
        <v>1244</v>
      </c>
    </row>
    <row r="1040" spans="2:9" ht="15" customHeight="1" x14ac:dyDescent="0.25">
      <c r="B1040" s="37" t="s">
        <v>1220</v>
      </c>
      <c r="C1040" s="26">
        <v>25</v>
      </c>
      <c r="D1040" s="38" t="s">
        <v>2691</v>
      </c>
      <c r="E1040" s="59"/>
      <c r="F1040" s="59" t="str">
        <f>IF(INDEX(I.Gas.P2aC1E2,25)="","",INDEX(I.Gas.P2aC1E2,25))</f>
        <v/>
      </c>
      <c r="G1040" s="59"/>
      <c r="H1040" s="26" t="str">
        <f>IF(OR(I.Developer.P2a=FALSE,I.Facility.StandardPart="Part 2"),"Complete",IF(I.Product.P2aGasToPower="No","Complete",IF(AND(I.Gas.P2aCount&gt;=25,F1040=""),"Incomplete","Complete")))</f>
        <v>Complete</v>
      </c>
      <c r="I1040" s="39" t="s">
        <v>1245</v>
      </c>
    </row>
    <row r="1041" spans="2:9" ht="15" customHeight="1" x14ac:dyDescent="0.25">
      <c r="B1041" s="37" t="s">
        <v>1220</v>
      </c>
      <c r="C1041" s="26">
        <v>26</v>
      </c>
      <c r="D1041" s="38" t="s">
        <v>2691</v>
      </c>
      <c r="E1041" s="59"/>
      <c r="F1041" s="59" t="str">
        <f>IF(INDEX(I.Gas.P2aC1E2,26)="","",INDEX(I.Gas.P2aC1E2,26))</f>
        <v/>
      </c>
      <c r="G1041" s="59"/>
      <c r="H1041" s="26" t="str">
        <f>IF(OR(I.Developer.P2a=FALSE,I.Facility.StandardPart="Part 2"),"Complete",IF(I.Product.P2aGasToPower="No","Complete",IF(AND(I.Gas.P2aCount&gt;=26,F1041=""),"Incomplete","Complete")))</f>
        <v>Complete</v>
      </c>
      <c r="I1041" s="39" t="s">
        <v>1246</v>
      </c>
    </row>
    <row r="1042" spans="2:9" ht="15" customHeight="1" x14ac:dyDescent="0.25">
      <c r="B1042" s="37" t="s">
        <v>1220</v>
      </c>
      <c r="C1042" s="26">
        <v>27</v>
      </c>
      <c r="D1042" s="38" t="s">
        <v>2691</v>
      </c>
      <c r="E1042" s="59"/>
      <c r="F1042" s="59" t="str">
        <f>IF(INDEX(I.Gas.P2aC1E2,27)="","",INDEX(I.Gas.P2aC1E2,27))</f>
        <v/>
      </c>
      <c r="G1042" s="59"/>
      <c r="H1042" s="26" t="str">
        <f>IF(OR(I.Developer.P2a=FALSE,I.Facility.StandardPart="Part 2"),"Complete",IF(I.Product.P2aGasToPower="No","Complete",IF(AND(I.Gas.P2aCount&gt;=27,F1042=""),"Incomplete","Complete")))</f>
        <v>Complete</v>
      </c>
      <c r="I1042" s="39" t="s">
        <v>1247</v>
      </c>
    </row>
    <row r="1043" spans="2:9" ht="15" customHeight="1" x14ac:dyDescent="0.25">
      <c r="B1043" s="37" t="s">
        <v>1220</v>
      </c>
      <c r="C1043" s="26">
        <v>28</v>
      </c>
      <c r="D1043" s="38" t="s">
        <v>2691</v>
      </c>
      <c r="E1043" s="59"/>
      <c r="F1043" s="59" t="str">
        <f>IF(INDEX(I.Gas.P2aC1E2,28)="","",INDEX(I.Gas.P2aC1E2,28))</f>
        <v/>
      </c>
      <c r="G1043" s="59"/>
      <c r="H1043" s="26" t="str">
        <f>IF(OR(I.Developer.P2a=FALSE,I.Facility.StandardPart="Part 2"),"Complete",IF(I.Product.P2aGasToPower="No","Complete",IF(AND(I.Gas.P2aCount&gt;=28,F1043=""),"Incomplete","Complete")))</f>
        <v>Complete</v>
      </c>
      <c r="I1043" s="39" t="s">
        <v>1248</v>
      </c>
    </row>
    <row r="1044" spans="2:9" ht="15" customHeight="1" x14ac:dyDescent="0.25">
      <c r="B1044" s="37" t="s">
        <v>1220</v>
      </c>
      <c r="C1044" s="26">
        <v>29</v>
      </c>
      <c r="D1044" s="38" t="s">
        <v>2691</v>
      </c>
      <c r="E1044" s="59"/>
      <c r="F1044" s="59" t="str">
        <f>IF(INDEX(I.Gas.P2aC1E2,29)="","",INDEX(I.Gas.P2aC1E2,29))</f>
        <v/>
      </c>
      <c r="G1044" s="59"/>
      <c r="H1044" s="26" t="str">
        <f>IF(OR(I.Developer.P2a=FALSE,I.Facility.StandardPart="Part 2"),"Complete",IF(I.Product.P2aGasToPower="No","Complete",IF(AND(I.Gas.P2aCount&gt;=29,F1044=""),"Incomplete","Complete")))</f>
        <v>Complete</v>
      </c>
      <c r="I1044" s="39" t="s">
        <v>1249</v>
      </c>
    </row>
    <row r="1045" spans="2:9" ht="15" customHeight="1" x14ac:dyDescent="0.25">
      <c r="B1045" s="37" t="s">
        <v>1220</v>
      </c>
      <c r="C1045" s="26">
        <v>30</v>
      </c>
      <c r="D1045" s="38" t="s">
        <v>2691</v>
      </c>
      <c r="E1045" s="59"/>
      <c r="F1045" s="59" t="str">
        <f>IF(INDEX(I.Gas.P2aC1E2,30)="","",INDEX(I.Gas.P2aC1E2,30))</f>
        <v/>
      </c>
      <c r="G1045" s="59"/>
      <c r="H1045" s="26" t="str">
        <f>IF(OR(I.Developer.P2a=FALSE,I.Facility.StandardPart="Part 2"),"Complete",IF(I.Product.P2aGasToPower="No","Complete",IF(AND(I.Gas.P2aCount&gt;=30,F1045=""),"Incomplete","Complete")))</f>
        <v>Complete</v>
      </c>
      <c r="I1045" s="39" t="s">
        <v>1250</v>
      </c>
    </row>
    <row r="1046" spans="2:9" ht="15" customHeight="1" x14ac:dyDescent="0.25">
      <c r="B1046" s="37" t="s">
        <v>1220</v>
      </c>
      <c r="C1046" s="26">
        <v>31</v>
      </c>
      <c r="D1046" s="38" t="s">
        <v>2691</v>
      </c>
      <c r="E1046" s="59"/>
      <c r="F1046" s="59" t="str">
        <f>IF(INDEX(I.Gas.P2aC1E2,31)="","",INDEX(I.Gas.P2aC1E2,31))</f>
        <v/>
      </c>
      <c r="G1046" s="59"/>
      <c r="H1046" s="26" t="str">
        <f>IF(OR(I.Developer.P2a=FALSE,I.Facility.StandardPart="Part 2"),"Complete",IF(I.Product.P2aGasToPower="No","Complete",IF(AND(I.Gas.P2aCount&gt;=31,F1046=""),"Incomplete","Complete")))</f>
        <v>Complete</v>
      </c>
      <c r="I1046" s="39" t="s">
        <v>1251</v>
      </c>
    </row>
    <row r="1047" spans="2:9" ht="15" customHeight="1" x14ac:dyDescent="0.25">
      <c r="B1047" s="37" t="s">
        <v>1220</v>
      </c>
      <c r="C1047" s="26">
        <v>32</v>
      </c>
      <c r="D1047" s="38" t="s">
        <v>2691</v>
      </c>
      <c r="E1047" s="59"/>
      <c r="F1047" s="59" t="str">
        <f>IF(INDEX(I.Gas.P2aC1E2,32)="","",INDEX(I.Gas.P2aC1E2,32))</f>
        <v/>
      </c>
      <c r="G1047" s="59"/>
      <c r="H1047" s="26" t="str">
        <f>IF(OR(I.Developer.P2a=FALSE,I.Facility.StandardPart="Part 2"),"Complete",IF(I.Product.P2aGasToPower="No","Complete",IF(AND(I.Gas.P2aCount&gt;=32,F1047=""),"Incomplete","Complete")))</f>
        <v>Complete</v>
      </c>
      <c r="I1047" s="39" t="s">
        <v>1252</v>
      </c>
    </row>
    <row r="1048" spans="2:9" ht="15" customHeight="1" x14ac:dyDescent="0.25">
      <c r="B1048" s="37" t="s">
        <v>1220</v>
      </c>
      <c r="C1048" s="26">
        <v>33</v>
      </c>
      <c r="D1048" s="38" t="s">
        <v>2691</v>
      </c>
      <c r="E1048" s="59"/>
      <c r="F1048" s="59" t="str">
        <f>IF(INDEX(I.Gas.P2aC1E2,33)="","",INDEX(I.Gas.P2aC1E2,33))</f>
        <v/>
      </c>
      <c r="G1048" s="59"/>
      <c r="H1048" s="26" t="str">
        <f>IF(OR(I.Developer.P2a=FALSE,I.Facility.StandardPart="Part 2"),"Complete",IF(I.Product.P2aGasToPower="No","Complete",IF(AND(I.Gas.P2aCount&gt;=33,F1048=""),"Incomplete","Complete")))</f>
        <v>Complete</v>
      </c>
      <c r="I1048" s="39" t="s">
        <v>1253</v>
      </c>
    </row>
    <row r="1049" spans="2:9" ht="15" customHeight="1" x14ac:dyDescent="0.25">
      <c r="B1049" s="37" t="s">
        <v>1220</v>
      </c>
      <c r="C1049" s="26">
        <v>34</v>
      </c>
      <c r="D1049" s="38" t="s">
        <v>2691</v>
      </c>
      <c r="E1049" s="59"/>
      <c r="F1049" s="59" t="str">
        <f>IF(INDEX(I.Gas.P2aC1E2,34)="","",INDEX(I.Gas.P2aC1E2,34))</f>
        <v/>
      </c>
      <c r="G1049" s="59"/>
      <c r="H1049" s="26" t="str">
        <f>IF(OR(I.Developer.P2a=FALSE,I.Facility.StandardPart="Part 2"),"Complete",IF(I.Product.P2aGasToPower="No","Complete",IF(AND(I.Gas.P2aCount&gt;=34,F1049=""),"Incomplete","Complete")))</f>
        <v>Complete</v>
      </c>
      <c r="I1049" s="39" t="s">
        <v>1254</v>
      </c>
    </row>
    <row r="1050" spans="2:9" ht="15" customHeight="1" x14ac:dyDescent="0.25">
      <c r="B1050" s="37" t="s">
        <v>1220</v>
      </c>
      <c r="C1050" s="26">
        <v>35</v>
      </c>
      <c r="D1050" s="38" t="s">
        <v>2691</v>
      </c>
      <c r="E1050" s="59"/>
      <c r="F1050" s="59" t="str">
        <f>IF(INDEX(I.Gas.P2aC1E2,35)="","",INDEX(I.Gas.P2aC1E2,35))</f>
        <v/>
      </c>
      <c r="G1050" s="59"/>
      <c r="H1050" s="26" t="str">
        <f>IF(OR(I.Developer.P2a=FALSE,I.Facility.StandardPart="Part 2"),"Complete",IF(I.Product.P2aGasToPower="No","Complete",IF(AND(I.Gas.P2aCount&gt;=35,F1050=""),"Incomplete","Complete")))</f>
        <v>Complete</v>
      </c>
      <c r="I1050" s="39" t="s">
        <v>1255</v>
      </c>
    </row>
    <row r="1051" spans="2:9" ht="15" customHeight="1" x14ac:dyDescent="0.25">
      <c r="B1051" s="37" t="s">
        <v>1220</v>
      </c>
      <c r="C1051" s="26">
        <v>36</v>
      </c>
      <c r="D1051" s="38" t="s">
        <v>2691</v>
      </c>
      <c r="E1051" s="59"/>
      <c r="F1051" s="59" t="str">
        <f>IF(INDEX(I.Gas.P2aC1E2,36)="","",INDEX(I.Gas.P2aC1E2,36))</f>
        <v/>
      </c>
      <c r="G1051" s="59"/>
      <c r="H1051" s="26" t="str">
        <f>IF(OR(I.Developer.P2a=FALSE,I.Facility.StandardPart="Part 2"),"Complete",IF(I.Product.P2aGasToPower="No","Complete",IF(AND(I.Gas.P2aCount&gt;=36,F1051=""),"Incomplete","Complete")))</f>
        <v>Complete</v>
      </c>
      <c r="I1051" s="39" t="s">
        <v>1256</v>
      </c>
    </row>
    <row r="1052" spans="2:9" ht="15" customHeight="1" x14ac:dyDescent="0.25">
      <c r="B1052" s="37" t="s">
        <v>1220</v>
      </c>
      <c r="C1052" s="26">
        <v>37</v>
      </c>
      <c r="D1052" s="38" t="s">
        <v>2691</v>
      </c>
      <c r="E1052" s="59"/>
      <c r="F1052" s="59" t="str">
        <f>IF(INDEX(I.Gas.P2aC1E2,37)="","",INDEX(I.Gas.P2aC1E2,37))</f>
        <v/>
      </c>
      <c r="G1052" s="59"/>
      <c r="H1052" s="26" t="str">
        <f>IF(OR(I.Developer.P2a=FALSE,I.Facility.StandardPart="Part 2"),"Complete",IF(I.Product.P2aGasToPower="No","Complete",IF(AND(I.Gas.P2aCount&gt;=37,F1052=""),"Incomplete","Complete")))</f>
        <v>Complete</v>
      </c>
      <c r="I1052" s="39" t="s">
        <v>1257</v>
      </c>
    </row>
    <row r="1053" spans="2:9" ht="15" customHeight="1" x14ac:dyDescent="0.25">
      <c r="B1053" s="37" t="s">
        <v>1220</v>
      </c>
      <c r="C1053" s="26">
        <v>38</v>
      </c>
      <c r="D1053" s="38" t="s">
        <v>2691</v>
      </c>
      <c r="E1053" s="59"/>
      <c r="F1053" s="59" t="str">
        <f>IF(INDEX(I.Gas.P2aC1E2,38)="","",INDEX(I.Gas.P2aC1E2,38))</f>
        <v/>
      </c>
      <c r="G1053" s="59"/>
      <c r="H1053" s="26" t="str">
        <f>IF(OR(I.Developer.P2a=FALSE,I.Facility.StandardPart="Part 2"),"Complete",IF(I.Product.P2aGasToPower="No","Complete",IF(AND(I.Gas.P2aCount&gt;=38,F1053=""),"Incomplete","Complete")))</f>
        <v>Complete</v>
      </c>
      <c r="I1053" s="39" t="s">
        <v>1258</v>
      </c>
    </row>
    <row r="1054" spans="2:9" ht="15" customHeight="1" x14ac:dyDescent="0.25">
      <c r="B1054" s="37" t="s">
        <v>1220</v>
      </c>
      <c r="C1054" s="26">
        <v>39</v>
      </c>
      <c r="D1054" s="38" t="s">
        <v>2691</v>
      </c>
      <c r="E1054" s="59"/>
      <c r="F1054" s="59" t="str">
        <f>IF(INDEX(I.Gas.P2aC1E2,39)="","",INDEX(I.Gas.P2aC1E2,39))</f>
        <v/>
      </c>
      <c r="G1054" s="59"/>
      <c r="H1054" s="26" t="str">
        <f>IF(OR(I.Developer.P2a=FALSE,I.Facility.StandardPart="Part 2"),"Complete",IF(I.Product.P2aGasToPower="No","Complete",IF(AND(I.Gas.P2aCount&gt;=39,F1054=""),"Incomplete","Complete")))</f>
        <v>Complete</v>
      </c>
      <c r="I1054" s="39" t="s">
        <v>1259</v>
      </c>
    </row>
    <row r="1055" spans="2:9" ht="15" customHeight="1" x14ac:dyDescent="0.25">
      <c r="B1055" s="37" t="s">
        <v>1220</v>
      </c>
      <c r="C1055" s="26">
        <v>40</v>
      </c>
      <c r="D1055" s="38" t="s">
        <v>2691</v>
      </c>
      <c r="E1055" s="59"/>
      <c r="F1055" s="59" t="str">
        <f>IF(INDEX(I.Gas.P2aC1E2,40)="","",INDEX(I.Gas.P2aC1E2,40))</f>
        <v/>
      </c>
      <c r="G1055" s="59"/>
      <c r="H1055" s="26" t="str">
        <f>IF(OR(I.Developer.P2a=FALSE,I.Facility.StandardPart="Part 2"),"Complete",IF(I.Product.P2aGasToPower="No","Complete",IF(AND(I.Gas.P2aCount&gt;=40,F1055=""),"Incomplete","Complete")))</f>
        <v>Complete</v>
      </c>
      <c r="I1055" s="39" t="s">
        <v>1260</v>
      </c>
    </row>
    <row r="1056" spans="2:9" ht="15" customHeight="1" x14ac:dyDescent="0.25">
      <c r="B1056" s="37" t="s">
        <v>1220</v>
      </c>
      <c r="C1056" s="26">
        <v>41</v>
      </c>
      <c r="D1056" s="38" t="s">
        <v>2691</v>
      </c>
      <c r="E1056" s="59"/>
      <c r="F1056" s="59" t="str">
        <f>IF(INDEX(I.Gas.P2aC1E2,41)="","",INDEX(I.Gas.P2aC1E2,41))</f>
        <v/>
      </c>
      <c r="G1056" s="59"/>
      <c r="H1056" s="26" t="str">
        <f>IF(OR(I.Developer.P2a=FALSE,I.Facility.StandardPart="Part 2"),"Complete",IF(I.Product.P2aGasToPower="No","Complete",IF(AND(I.Gas.P2aCount&gt;=41,F1056=""),"Incomplete","Complete")))</f>
        <v>Complete</v>
      </c>
      <c r="I1056" s="39" t="s">
        <v>1261</v>
      </c>
    </row>
    <row r="1057" spans="2:9" ht="15" customHeight="1" x14ac:dyDescent="0.25">
      <c r="B1057" s="37" t="s">
        <v>1220</v>
      </c>
      <c r="C1057" s="26">
        <v>42</v>
      </c>
      <c r="D1057" s="38" t="s">
        <v>2691</v>
      </c>
      <c r="E1057" s="59"/>
      <c r="F1057" s="59" t="str">
        <f>IF(INDEX(I.Gas.P2aC1E2,42)="","",INDEX(I.Gas.P2aC1E2,42))</f>
        <v/>
      </c>
      <c r="G1057" s="59"/>
      <c r="H1057" s="26" t="str">
        <f>IF(OR(I.Developer.P2a=FALSE,I.Facility.StandardPart="Part 2"),"Complete",IF(I.Product.P2aGasToPower="No","Complete",IF(AND(I.Gas.P2aCount&gt;=42,F1057=""),"Incomplete","Complete")))</f>
        <v>Complete</v>
      </c>
      <c r="I1057" s="39" t="s">
        <v>1262</v>
      </c>
    </row>
    <row r="1058" spans="2:9" ht="15" customHeight="1" x14ac:dyDescent="0.25">
      <c r="B1058" s="37" t="s">
        <v>1220</v>
      </c>
      <c r="C1058" s="26">
        <v>43</v>
      </c>
      <c r="D1058" s="38" t="s">
        <v>2691</v>
      </c>
      <c r="E1058" s="59"/>
      <c r="F1058" s="59" t="str">
        <f>IF(INDEX(I.Gas.P2aC1E2,43)="","",INDEX(I.Gas.P2aC1E2,43))</f>
        <v/>
      </c>
      <c r="G1058" s="59"/>
      <c r="H1058" s="26" t="str">
        <f>IF(OR(I.Developer.P2a=FALSE,I.Facility.StandardPart="Part 2"),"Complete",IF(I.Product.P2aGasToPower="No","Complete",IF(AND(I.Gas.P2aCount&gt;=43,F1058=""),"Incomplete","Complete")))</f>
        <v>Complete</v>
      </c>
      <c r="I1058" s="39" t="s">
        <v>1263</v>
      </c>
    </row>
    <row r="1059" spans="2:9" ht="15" customHeight="1" x14ac:dyDescent="0.25">
      <c r="B1059" s="37" t="s">
        <v>1220</v>
      </c>
      <c r="C1059" s="26">
        <v>44</v>
      </c>
      <c r="D1059" s="38" t="s">
        <v>2691</v>
      </c>
      <c r="E1059" s="59"/>
      <c r="F1059" s="59" t="str">
        <f>IF(INDEX(I.Gas.P2aC1E2,44)="","",INDEX(I.Gas.P2aC1E2,44))</f>
        <v/>
      </c>
      <c r="G1059" s="59"/>
      <c r="H1059" s="26" t="str">
        <f>IF(OR(I.Developer.P2a=FALSE,I.Facility.StandardPart="Part 2"),"Complete",IF(I.Product.P2aGasToPower="No","Complete",IF(AND(I.Gas.P2aCount&gt;=44,F1059=""),"Incomplete","Complete")))</f>
        <v>Complete</v>
      </c>
      <c r="I1059" s="39" t="s">
        <v>1264</v>
      </c>
    </row>
    <row r="1060" spans="2:9" ht="15" customHeight="1" x14ac:dyDescent="0.25">
      <c r="B1060" s="37" t="s">
        <v>1220</v>
      </c>
      <c r="C1060" s="26">
        <v>45</v>
      </c>
      <c r="D1060" s="38" t="s">
        <v>2691</v>
      </c>
      <c r="E1060" s="59"/>
      <c r="F1060" s="59" t="str">
        <f>IF(INDEX(I.Gas.P2aC1E2,45)="","",INDEX(I.Gas.P2aC1E2,45))</f>
        <v/>
      </c>
      <c r="G1060" s="59"/>
      <c r="H1060" s="26" t="str">
        <f>IF(OR(I.Developer.P2a=FALSE,I.Facility.StandardPart="Part 2"),"Complete",IF(I.Product.P2aGasToPower="No","Complete",IF(AND(I.Gas.P2aCount&gt;=45,F1060=""),"Incomplete","Complete")))</f>
        <v>Complete</v>
      </c>
      <c r="I1060" s="39" t="s">
        <v>1265</v>
      </c>
    </row>
    <row r="1061" spans="2:9" ht="15" customHeight="1" x14ac:dyDescent="0.25">
      <c r="B1061" s="37" t="s">
        <v>1220</v>
      </c>
      <c r="C1061" s="26">
        <v>46</v>
      </c>
      <c r="D1061" s="38" t="s">
        <v>2691</v>
      </c>
      <c r="E1061" s="59"/>
      <c r="F1061" s="59" t="str">
        <f>IF(INDEX(I.Gas.P2aC1E2,46)="","",INDEX(I.Gas.P2aC1E2,46))</f>
        <v/>
      </c>
      <c r="G1061" s="59"/>
      <c r="H1061" s="26" t="str">
        <f>IF(OR(I.Developer.P2a=FALSE,I.Facility.StandardPart="Part 2"),"Complete",IF(I.Product.P2aGasToPower="No","Complete",IF(AND(I.Gas.P2aCount&gt;=46,F1061=""),"Incomplete","Complete")))</f>
        <v>Complete</v>
      </c>
      <c r="I1061" s="39" t="s">
        <v>1266</v>
      </c>
    </row>
    <row r="1062" spans="2:9" ht="15" customHeight="1" x14ac:dyDescent="0.25">
      <c r="B1062" s="37" t="s">
        <v>1220</v>
      </c>
      <c r="C1062" s="26">
        <v>47</v>
      </c>
      <c r="D1062" s="38" t="s">
        <v>2691</v>
      </c>
      <c r="E1062" s="59"/>
      <c r="F1062" s="59" t="str">
        <f>IF(INDEX(I.Gas.P2aC1E2,47)="","",INDEX(I.Gas.P2aC1E2,47))</f>
        <v/>
      </c>
      <c r="G1062" s="59"/>
      <c r="H1062" s="26" t="str">
        <f>IF(OR(I.Developer.P2a=FALSE,I.Facility.StandardPart="Part 2"),"Complete",IF(I.Product.P2aGasToPower="No","Complete",IF(AND(I.Gas.P2aCount&gt;=47,F1062=""),"Incomplete","Complete")))</f>
        <v>Complete</v>
      </c>
      <c r="I1062" s="39" t="s">
        <v>1267</v>
      </c>
    </row>
    <row r="1063" spans="2:9" ht="15" customHeight="1" x14ac:dyDescent="0.25">
      <c r="B1063" s="37" t="s">
        <v>1220</v>
      </c>
      <c r="C1063" s="26">
        <v>48</v>
      </c>
      <c r="D1063" s="38" t="s">
        <v>2691</v>
      </c>
      <c r="E1063" s="59"/>
      <c r="F1063" s="59" t="str">
        <f>IF(INDEX(I.Gas.P2aC1E2,48)="","",INDEX(I.Gas.P2aC1E2,48))</f>
        <v/>
      </c>
      <c r="G1063" s="59"/>
      <c r="H1063" s="26" t="str">
        <f>IF(OR(I.Developer.P2a=FALSE,I.Facility.StandardPart="Part 2"),"Complete",IF(I.Product.P2aGasToPower="No","Complete",IF(AND(I.Gas.P2aCount&gt;=48,F1063=""),"Incomplete","Complete")))</f>
        <v>Complete</v>
      </c>
      <c r="I1063" s="39" t="s">
        <v>1268</v>
      </c>
    </row>
    <row r="1064" spans="2:9" ht="15" customHeight="1" x14ac:dyDescent="0.25">
      <c r="B1064" s="37" t="s">
        <v>1220</v>
      </c>
      <c r="C1064" s="26">
        <v>49</v>
      </c>
      <c r="D1064" s="38" t="s">
        <v>2691</v>
      </c>
      <c r="E1064" s="59"/>
      <c r="F1064" s="59" t="str">
        <f>IF(INDEX(I.Gas.P2aC1E2,49)="","",INDEX(I.Gas.P2aC1E2,49))</f>
        <v/>
      </c>
      <c r="G1064" s="59"/>
      <c r="H1064" s="26" t="str">
        <f>IF(OR(I.Developer.P2a=FALSE,I.Facility.StandardPart="Part 2"),"Complete",IF(I.Product.P2aGasToPower="No","Complete",IF(AND(I.Gas.P2aCount&gt;=49,F1064=""),"Incomplete","Complete")))</f>
        <v>Complete</v>
      </c>
      <c r="I1064" s="39" t="s">
        <v>1269</v>
      </c>
    </row>
    <row r="1065" spans="2:9" ht="15" customHeight="1" x14ac:dyDescent="0.25">
      <c r="B1065" s="40" t="s">
        <v>1220</v>
      </c>
      <c r="C1065" s="46">
        <v>50</v>
      </c>
      <c r="D1065" s="44" t="s">
        <v>2691</v>
      </c>
      <c r="E1065" s="63"/>
      <c r="F1065" s="63" t="str">
        <f>IF(INDEX(I.Gas.P2aC1E2,50)="","",INDEX(I.Gas.P2aC1E2,50))</f>
        <v/>
      </c>
      <c r="G1065" s="63"/>
      <c r="H1065" s="46" t="str">
        <f>IF(OR(I.Developer.P2a=FALSE,I.Facility.StandardPart="Part 2"),"Complete",IF(I.Product.P2aGasToPower="No","Complete",IF(AND(I.Gas.P2aCount&gt;=50,F1065=""),"Incomplete","Complete")))</f>
        <v>Complete</v>
      </c>
      <c r="I1065" s="47" t="s">
        <v>1270</v>
      </c>
    </row>
    <row r="1066" spans="2:9" ht="15" customHeight="1" x14ac:dyDescent="0.25">
      <c r="B1066" s="37" t="s">
        <v>1271</v>
      </c>
      <c r="C1066" s="26">
        <v>1</v>
      </c>
      <c r="D1066" s="38" t="s">
        <v>2692</v>
      </c>
      <c r="E1066" s="59"/>
      <c r="F1066" s="59" t="str">
        <f>IF(INDEX(I.Gas.P2aC1E3,1)="","",INDEX(I.Gas.P2aC1E3,1))</f>
        <v/>
      </c>
      <c r="G1066" s="59"/>
      <c r="H1066" s="26" t="str">
        <f>IF(OR(I.Developer.P2a=FALSE,I.Facility.StandardPart="Part 2"),"Complete",IF(I.Product.P2aGasToPower="No","Complete",IF(AND(I.Gas.P2aCount&gt;=1,F1066=""),"Incomplete","Complete")))</f>
        <v>Complete</v>
      </c>
      <c r="I1066" s="39" t="s">
        <v>1272</v>
      </c>
    </row>
    <row r="1067" spans="2:9" ht="15" customHeight="1" x14ac:dyDescent="0.25">
      <c r="B1067" s="37" t="s">
        <v>1271</v>
      </c>
      <c r="C1067" s="26">
        <v>2</v>
      </c>
      <c r="D1067" s="38" t="s">
        <v>2692</v>
      </c>
      <c r="E1067" s="59"/>
      <c r="F1067" s="59" t="str">
        <f>IF(INDEX(I.Gas.P2aC1E3,2)="","",INDEX(I.Gas.P2aC1E3,2))</f>
        <v/>
      </c>
      <c r="G1067" s="59"/>
      <c r="H1067" s="26" t="str">
        <f>IF(OR(I.Developer.P2a=FALSE,I.Facility.StandardPart="Part 2"),"Complete",IF(I.Product.P2aGasToPower="No","Complete",IF(AND(I.Gas.P2aCount&gt;=2,F1067=""),"Incomplete","Complete")))</f>
        <v>Complete</v>
      </c>
      <c r="I1067" s="39" t="s">
        <v>1273</v>
      </c>
    </row>
    <row r="1068" spans="2:9" ht="15" customHeight="1" x14ac:dyDescent="0.25">
      <c r="B1068" s="37" t="s">
        <v>1271</v>
      </c>
      <c r="C1068" s="26">
        <v>3</v>
      </c>
      <c r="D1068" s="38" t="s">
        <v>2692</v>
      </c>
      <c r="E1068" s="59"/>
      <c r="F1068" s="59" t="str">
        <f>IF(INDEX(I.Gas.P2aC1E3,3)="","",INDEX(I.Gas.P2aC1E3,3))</f>
        <v/>
      </c>
      <c r="G1068" s="59"/>
      <c r="H1068" s="26" t="str">
        <f>IF(OR(I.Developer.P2a=FALSE,I.Facility.StandardPart="Part 2"),"Complete",IF(I.Product.P2aGasToPower="No","Complete",IF(AND(I.Gas.P2aCount&gt;=3,F1068=""),"Incomplete","Complete")))</f>
        <v>Complete</v>
      </c>
      <c r="I1068" s="39" t="s">
        <v>1274</v>
      </c>
    </row>
    <row r="1069" spans="2:9" ht="15" customHeight="1" x14ac:dyDescent="0.25">
      <c r="B1069" s="37" t="s">
        <v>1271</v>
      </c>
      <c r="C1069" s="26">
        <v>4</v>
      </c>
      <c r="D1069" s="38" t="s">
        <v>2692</v>
      </c>
      <c r="E1069" s="59"/>
      <c r="F1069" s="59" t="str">
        <f>IF(INDEX(I.Gas.P2aC1E3,4)="","",INDEX(I.Gas.P2aC1E3,4))</f>
        <v/>
      </c>
      <c r="G1069" s="59"/>
      <c r="H1069" s="26" t="str">
        <f>IF(OR(I.Developer.P2a=FALSE,I.Facility.StandardPart="Part 2"),"Complete",IF(I.Product.P2aGasToPower="No","Complete",IF(AND(I.Gas.P2aCount&gt;=4,F1069=""),"Incomplete","Complete")))</f>
        <v>Complete</v>
      </c>
      <c r="I1069" s="39" t="s">
        <v>1275</v>
      </c>
    </row>
    <row r="1070" spans="2:9" ht="15" customHeight="1" x14ac:dyDescent="0.25">
      <c r="B1070" s="37" t="s">
        <v>1271</v>
      </c>
      <c r="C1070" s="26">
        <v>5</v>
      </c>
      <c r="D1070" s="38" t="s">
        <v>2692</v>
      </c>
      <c r="E1070" s="59"/>
      <c r="F1070" s="59" t="str">
        <f>IF(INDEX(I.Gas.P2aC1E3,5)="","",INDEX(I.Gas.P2aC1E3,5))</f>
        <v/>
      </c>
      <c r="G1070" s="59"/>
      <c r="H1070" s="26" t="str">
        <f>IF(OR(I.Developer.P2a=FALSE,I.Facility.StandardPart="Part 2"),"Complete",IF(I.Product.P2aGasToPower="No","Complete",IF(AND(I.Gas.P2aCount&gt;=5,F1070=""),"Incomplete","Complete")))</f>
        <v>Complete</v>
      </c>
      <c r="I1070" s="39" t="s">
        <v>1276</v>
      </c>
    </row>
    <row r="1071" spans="2:9" ht="15" customHeight="1" x14ac:dyDescent="0.25">
      <c r="B1071" s="37" t="s">
        <v>1271</v>
      </c>
      <c r="C1071" s="26">
        <v>6</v>
      </c>
      <c r="D1071" s="38" t="s">
        <v>2692</v>
      </c>
      <c r="E1071" s="59"/>
      <c r="F1071" s="59" t="str">
        <f>IF(INDEX(I.Gas.P2aC1E3,6)="","",INDEX(I.Gas.P2aC1E3,6))</f>
        <v/>
      </c>
      <c r="G1071" s="59"/>
      <c r="H1071" s="26" t="str">
        <f>IF(OR(I.Developer.P2a=FALSE,I.Facility.StandardPart="Part 2"),"Complete",IF(I.Product.P2aGasToPower="No","Complete",IF(AND(I.Gas.P2aCount&gt;=6,F1071=""),"Incomplete","Complete")))</f>
        <v>Complete</v>
      </c>
      <c r="I1071" s="39" t="s">
        <v>1277</v>
      </c>
    </row>
    <row r="1072" spans="2:9" ht="15" customHeight="1" x14ac:dyDescent="0.25">
      <c r="B1072" s="37" t="s">
        <v>1271</v>
      </c>
      <c r="C1072" s="26">
        <v>7</v>
      </c>
      <c r="D1072" s="38" t="s">
        <v>2692</v>
      </c>
      <c r="E1072" s="59"/>
      <c r="F1072" s="59" t="str">
        <f>IF(INDEX(I.Gas.P2aC1E3,7)="","",INDEX(I.Gas.P2aC1E3,7))</f>
        <v/>
      </c>
      <c r="G1072" s="59"/>
      <c r="H1072" s="26" t="str">
        <f>IF(OR(I.Developer.P2a=FALSE,I.Facility.StandardPart="Part 2"),"Complete",IF(I.Product.P2aGasToPower="No","Complete",IF(AND(I.Gas.P2aCount&gt;=7,F1072=""),"Incomplete","Complete")))</f>
        <v>Complete</v>
      </c>
      <c r="I1072" s="39" t="s">
        <v>1278</v>
      </c>
    </row>
    <row r="1073" spans="2:9" ht="15" customHeight="1" x14ac:dyDescent="0.25">
      <c r="B1073" s="37" t="s">
        <v>1271</v>
      </c>
      <c r="C1073" s="26">
        <v>8</v>
      </c>
      <c r="D1073" s="38" t="s">
        <v>2692</v>
      </c>
      <c r="E1073" s="59"/>
      <c r="F1073" s="59" t="str">
        <f>IF(INDEX(I.Gas.P2aC1E3,8)="","",INDEX(I.Gas.P2aC1E3,8))</f>
        <v/>
      </c>
      <c r="G1073" s="59"/>
      <c r="H1073" s="26" t="str">
        <f>IF(OR(I.Developer.P2a=FALSE,I.Facility.StandardPart="Part 2"),"Complete",IF(I.Product.P2aGasToPower="No","Complete",IF(AND(I.Gas.P2aCount&gt;=8,F1073=""),"Incomplete","Complete")))</f>
        <v>Complete</v>
      </c>
      <c r="I1073" s="39" t="s">
        <v>1279</v>
      </c>
    </row>
    <row r="1074" spans="2:9" ht="15" customHeight="1" x14ac:dyDescent="0.25">
      <c r="B1074" s="37" t="s">
        <v>1271</v>
      </c>
      <c r="C1074" s="26">
        <v>9</v>
      </c>
      <c r="D1074" s="38" t="s">
        <v>2692</v>
      </c>
      <c r="E1074" s="59"/>
      <c r="F1074" s="59" t="str">
        <f>IF(INDEX(I.Gas.P2aC1E3,9)="","",INDEX(I.Gas.P2aC1E3,9))</f>
        <v/>
      </c>
      <c r="G1074" s="59"/>
      <c r="H1074" s="26" t="str">
        <f>IF(OR(I.Developer.P2a=FALSE,I.Facility.StandardPart="Part 2"),"Complete",IF(I.Product.P2aGasToPower="No","Complete",IF(AND(I.Gas.P2aCount&gt;=9,F1074=""),"Incomplete","Complete")))</f>
        <v>Complete</v>
      </c>
      <c r="I1074" s="39" t="s">
        <v>1280</v>
      </c>
    </row>
    <row r="1075" spans="2:9" ht="15" customHeight="1" x14ac:dyDescent="0.25">
      <c r="B1075" s="37" t="s">
        <v>1271</v>
      </c>
      <c r="C1075" s="26">
        <v>10</v>
      </c>
      <c r="D1075" s="38" t="s">
        <v>2692</v>
      </c>
      <c r="E1075" s="59"/>
      <c r="F1075" s="59" t="str">
        <f>IF(INDEX(I.Gas.P2aC1E3,10)="","",INDEX(I.Gas.P2aC1E3,10))</f>
        <v/>
      </c>
      <c r="G1075" s="59"/>
      <c r="H1075" s="26" t="str">
        <f>IF(OR(I.Developer.P2a=FALSE,I.Facility.StandardPart="Part 2"),"Complete",IF(I.Product.P2aGasToPower="No","Complete",IF(AND(I.Gas.P2aCount&gt;=10,F1075=""),"Incomplete","Complete")))</f>
        <v>Complete</v>
      </c>
      <c r="I1075" s="39" t="s">
        <v>1281</v>
      </c>
    </row>
    <row r="1076" spans="2:9" ht="15" customHeight="1" x14ac:dyDescent="0.25">
      <c r="B1076" s="37" t="s">
        <v>1271</v>
      </c>
      <c r="C1076" s="26">
        <v>11</v>
      </c>
      <c r="D1076" s="38" t="s">
        <v>2692</v>
      </c>
      <c r="E1076" s="59"/>
      <c r="F1076" s="59" t="str">
        <f>IF(INDEX(I.Gas.P2aC1E3,11)="","",INDEX(I.Gas.P2aC1E3,11))</f>
        <v/>
      </c>
      <c r="G1076" s="59"/>
      <c r="H1076" s="26" t="str">
        <f>IF(OR(I.Developer.P2a=FALSE,I.Facility.StandardPart="Part 2"),"Complete",IF(I.Product.P2aGasToPower="No","Complete",IF(AND(I.Gas.P2aCount&gt;=11,F1076=""),"Incomplete","Complete")))</f>
        <v>Complete</v>
      </c>
      <c r="I1076" s="39" t="s">
        <v>1282</v>
      </c>
    </row>
    <row r="1077" spans="2:9" ht="15" customHeight="1" x14ac:dyDescent="0.25">
      <c r="B1077" s="37" t="s">
        <v>1271</v>
      </c>
      <c r="C1077" s="26">
        <v>12</v>
      </c>
      <c r="D1077" s="38" t="s">
        <v>2692</v>
      </c>
      <c r="E1077" s="59"/>
      <c r="F1077" s="59" t="str">
        <f>IF(INDEX(I.Gas.P2aC1E3,12)="","",INDEX(I.Gas.P2aC1E3,12))</f>
        <v/>
      </c>
      <c r="G1077" s="59"/>
      <c r="H1077" s="26" t="str">
        <f>IF(OR(I.Developer.P2a=FALSE,I.Facility.StandardPart="Part 2"),"Complete",IF(I.Product.P2aGasToPower="No","Complete",IF(AND(I.Gas.P2aCount&gt;=12,F1077=""),"Incomplete","Complete")))</f>
        <v>Complete</v>
      </c>
      <c r="I1077" s="39" t="s">
        <v>1283</v>
      </c>
    </row>
    <row r="1078" spans="2:9" ht="15" customHeight="1" x14ac:dyDescent="0.25">
      <c r="B1078" s="37" t="s">
        <v>1271</v>
      </c>
      <c r="C1078" s="26">
        <v>13</v>
      </c>
      <c r="D1078" s="38" t="s">
        <v>2692</v>
      </c>
      <c r="E1078" s="59"/>
      <c r="F1078" s="59" t="str">
        <f>IF(INDEX(I.Gas.P2aC1E3,13)="","",INDEX(I.Gas.P2aC1E3,13))</f>
        <v/>
      </c>
      <c r="G1078" s="59"/>
      <c r="H1078" s="26" t="str">
        <f>IF(OR(I.Developer.P2a=FALSE,I.Facility.StandardPart="Part 2"),"Complete",IF(I.Product.P2aGasToPower="No","Complete",IF(AND(I.Gas.P2aCount&gt;=13,F1078=""),"Incomplete","Complete")))</f>
        <v>Complete</v>
      </c>
      <c r="I1078" s="39" t="s">
        <v>1284</v>
      </c>
    </row>
    <row r="1079" spans="2:9" ht="15" customHeight="1" x14ac:dyDescent="0.25">
      <c r="B1079" s="37" t="s">
        <v>1271</v>
      </c>
      <c r="C1079" s="26">
        <v>14</v>
      </c>
      <c r="D1079" s="38" t="s">
        <v>2692</v>
      </c>
      <c r="E1079" s="59"/>
      <c r="F1079" s="59" t="str">
        <f>IF(INDEX(I.Gas.P2aC1E3,14)="","",INDEX(I.Gas.P2aC1E3,14))</f>
        <v/>
      </c>
      <c r="G1079" s="59"/>
      <c r="H1079" s="26" t="str">
        <f>IF(OR(I.Developer.P2a=FALSE,I.Facility.StandardPart="Part 2"),"Complete",IF(I.Product.P2aGasToPower="No","Complete",IF(AND(I.Gas.P2aCount&gt;=14,F1079=""),"Incomplete","Complete")))</f>
        <v>Complete</v>
      </c>
      <c r="I1079" s="39" t="s">
        <v>1285</v>
      </c>
    </row>
    <row r="1080" spans="2:9" ht="15" customHeight="1" x14ac:dyDescent="0.25">
      <c r="B1080" s="37" t="s">
        <v>1271</v>
      </c>
      <c r="C1080" s="26">
        <v>15</v>
      </c>
      <c r="D1080" s="38" t="s">
        <v>2692</v>
      </c>
      <c r="E1080" s="59"/>
      <c r="F1080" s="59" t="str">
        <f>IF(INDEX(I.Gas.P2aC1E3,15)="","",INDEX(I.Gas.P2aC1E3,15))</f>
        <v/>
      </c>
      <c r="G1080" s="59"/>
      <c r="H1080" s="26" t="str">
        <f>IF(OR(I.Developer.P2a=FALSE,I.Facility.StandardPart="Part 2"),"Complete",IF(I.Product.P2aGasToPower="No","Complete",IF(AND(I.Gas.P2aCount&gt;=15,F1080=""),"Incomplete","Complete")))</f>
        <v>Complete</v>
      </c>
      <c r="I1080" s="39" t="s">
        <v>1286</v>
      </c>
    </row>
    <row r="1081" spans="2:9" ht="15" customHeight="1" x14ac:dyDescent="0.25">
      <c r="B1081" s="37" t="s">
        <v>1271</v>
      </c>
      <c r="C1081" s="26">
        <v>16</v>
      </c>
      <c r="D1081" s="38" t="s">
        <v>2692</v>
      </c>
      <c r="E1081" s="59"/>
      <c r="F1081" s="59" t="str">
        <f>IF(INDEX(I.Gas.P2aC1E3,16)="","",INDEX(I.Gas.P2aC1E3,16))</f>
        <v/>
      </c>
      <c r="G1081" s="59"/>
      <c r="H1081" s="26" t="str">
        <f>IF(OR(I.Developer.P2a=FALSE,I.Facility.StandardPart="Part 2"),"Complete",IF(I.Product.P2aGasToPower="No","Complete",IF(AND(I.Gas.P2aCount&gt;=16,F1081=""),"Incomplete","Complete")))</f>
        <v>Complete</v>
      </c>
      <c r="I1081" s="39" t="s">
        <v>1287</v>
      </c>
    </row>
    <row r="1082" spans="2:9" ht="15" customHeight="1" x14ac:dyDescent="0.25">
      <c r="B1082" s="37" t="s">
        <v>1271</v>
      </c>
      <c r="C1082" s="26">
        <v>17</v>
      </c>
      <c r="D1082" s="38" t="s">
        <v>2692</v>
      </c>
      <c r="E1082" s="59"/>
      <c r="F1082" s="59" t="str">
        <f>IF(INDEX(I.Gas.P2aC1E3,17)="","",INDEX(I.Gas.P2aC1E3,17))</f>
        <v/>
      </c>
      <c r="G1082" s="59"/>
      <c r="H1082" s="26" t="str">
        <f>IF(OR(I.Developer.P2a=FALSE,I.Facility.StandardPart="Part 2"),"Complete",IF(I.Product.P2aGasToPower="No","Complete",IF(AND(I.Gas.P2aCount&gt;=17,F1082=""),"Incomplete","Complete")))</f>
        <v>Complete</v>
      </c>
      <c r="I1082" s="39" t="s">
        <v>1288</v>
      </c>
    </row>
    <row r="1083" spans="2:9" ht="15" customHeight="1" x14ac:dyDescent="0.25">
      <c r="B1083" s="37" t="s">
        <v>1271</v>
      </c>
      <c r="C1083" s="26">
        <v>18</v>
      </c>
      <c r="D1083" s="38" t="s">
        <v>2692</v>
      </c>
      <c r="E1083" s="59"/>
      <c r="F1083" s="59" t="str">
        <f>IF(INDEX(I.Gas.P2aC1E3,18)="","",INDEX(I.Gas.P2aC1E3,18))</f>
        <v/>
      </c>
      <c r="G1083" s="59"/>
      <c r="H1083" s="26" t="str">
        <f>IF(OR(I.Developer.P2a=FALSE,I.Facility.StandardPart="Part 2"),"Complete",IF(I.Product.P2aGasToPower="No","Complete",IF(AND(I.Gas.P2aCount&gt;=18,F1083=""),"Incomplete","Complete")))</f>
        <v>Complete</v>
      </c>
      <c r="I1083" s="39" t="s">
        <v>1289</v>
      </c>
    </row>
    <row r="1084" spans="2:9" ht="15" customHeight="1" x14ac:dyDescent="0.25">
      <c r="B1084" s="37" t="s">
        <v>1271</v>
      </c>
      <c r="C1084" s="26">
        <v>19</v>
      </c>
      <c r="D1084" s="38" t="s">
        <v>2692</v>
      </c>
      <c r="E1084" s="59"/>
      <c r="F1084" s="59" t="str">
        <f>IF(INDEX(I.Gas.P2aC1E3,19)="","",INDEX(I.Gas.P2aC1E3,19))</f>
        <v/>
      </c>
      <c r="G1084" s="59"/>
      <c r="H1084" s="26" t="str">
        <f>IF(OR(I.Developer.P2a=FALSE,I.Facility.StandardPart="Part 2"),"Complete",IF(I.Product.P2aGasToPower="No","Complete",IF(AND(I.Gas.P2aCount&gt;=19,F1084=""),"Incomplete","Complete")))</f>
        <v>Complete</v>
      </c>
      <c r="I1084" s="39" t="s">
        <v>1290</v>
      </c>
    </row>
    <row r="1085" spans="2:9" ht="15" customHeight="1" x14ac:dyDescent="0.25">
      <c r="B1085" s="37" t="s">
        <v>1271</v>
      </c>
      <c r="C1085" s="26">
        <v>20</v>
      </c>
      <c r="D1085" s="38" t="s">
        <v>2692</v>
      </c>
      <c r="E1085" s="59"/>
      <c r="F1085" s="59" t="str">
        <f>IF(INDEX(I.Gas.P2aC1E3,20)="","",INDEX(I.Gas.P2aC1E3,20))</f>
        <v/>
      </c>
      <c r="G1085" s="59"/>
      <c r="H1085" s="26" t="str">
        <f>IF(OR(I.Developer.P2a=FALSE,I.Facility.StandardPart="Part 2"),"Complete",IF(I.Product.P2aGasToPower="No","Complete",IF(AND(I.Gas.P2aCount&gt;=20,F1085=""),"Incomplete","Complete")))</f>
        <v>Complete</v>
      </c>
      <c r="I1085" s="39" t="s">
        <v>1291</v>
      </c>
    </row>
    <row r="1086" spans="2:9" ht="15" customHeight="1" x14ac:dyDescent="0.25">
      <c r="B1086" s="37" t="s">
        <v>1271</v>
      </c>
      <c r="C1086" s="26">
        <v>21</v>
      </c>
      <c r="D1086" s="38" t="s">
        <v>2692</v>
      </c>
      <c r="E1086" s="59"/>
      <c r="F1086" s="59" t="str">
        <f>IF(INDEX(I.Gas.P2aC1E3,21)="","",INDEX(I.Gas.P2aC1E3,21))</f>
        <v/>
      </c>
      <c r="G1086" s="59"/>
      <c r="H1086" s="26" t="str">
        <f>IF(OR(I.Developer.P2a=FALSE,I.Facility.StandardPart="Part 2"),"Complete",IF(I.Product.P2aGasToPower="No","Complete",IF(AND(I.Gas.P2aCount&gt;=21,F1086=""),"Incomplete","Complete")))</f>
        <v>Complete</v>
      </c>
      <c r="I1086" s="39" t="s">
        <v>1292</v>
      </c>
    </row>
    <row r="1087" spans="2:9" ht="15" customHeight="1" x14ac:dyDescent="0.25">
      <c r="B1087" s="37" t="s">
        <v>1271</v>
      </c>
      <c r="C1087" s="26">
        <v>22</v>
      </c>
      <c r="D1087" s="38" t="s">
        <v>2692</v>
      </c>
      <c r="E1087" s="59"/>
      <c r="F1087" s="59" t="str">
        <f>IF(INDEX(I.Gas.P2aC1E3,22)="","",INDEX(I.Gas.P2aC1E3,22))</f>
        <v/>
      </c>
      <c r="G1087" s="59"/>
      <c r="H1087" s="26" t="str">
        <f>IF(OR(I.Developer.P2a=FALSE,I.Facility.StandardPart="Part 2"),"Complete",IF(I.Product.P2aGasToPower="No","Complete",IF(AND(I.Gas.P2aCount&gt;=22,F1087=""),"Incomplete","Complete")))</f>
        <v>Complete</v>
      </c>
      <c r="I1087" s="39" t="s">
        <v>1293</v>
      </c>
    </row>
    <row r="1088" spans="2:9" ht="15" customHeight="1" x14ac:dyDescent="0.25">
      <c r="B1088" s="37" t="s">
        <v>1271</v>
      </c>
      <c r="C1088" s="26">
        <v>23</v>
      </c>
      <c r="D1088" s="38" t="s">
        <v>2692</v>
      </c>
      <c r="E1088" s="59"/>
      <c r="F1088" s="59" t="str">
        <f>IF(INDEX(I.Gas.P2aC1E3,23)="","",INDEX(I.Gas.P2aC1E3,23))</f>
        <v/>
      </c>
      <c r="G1088" s="59"/>
      <c r="H1088" s="26" t="str">
        <f>IF(OR(I.Developer.P2a=FALSE,I.Facility.StandardPart="Part 2"),"Complete",IF(I.Product.P2aGasToPower="No","Complete",IF(AND(I.Gas.P2aCount&gt;=23,F1088=""),"Incomplete","Complete")))</f>
        <v>Complete</v>
      </c>
      <c r="I1088" s="39" t="s">
        <v>1294</v>
      </c>
    </row>
    <row r="1089" spans="2:9" ht="15" customHeight="1" x14ac:dyDescent="0.25">
      <c r="B1089" s="37" t="s">
        <v>1271</v>
      </c>
      <c r="C1089" s="26">
        <v>24</v>
      </c>
      <c r="D1089" s="38" t="s">
        <v>2692</v>
      </c>
      <c r="E1089" s="59"/>
      <c r="F1089" s="59" t="str">
        <f>IF(INDEX(I.Gas.P2aC1E3,24)="","",INDEX(I.Gas.P2aC1E3,24))</f>
        <v/>
      </c>
      <c r="G1089" s="59"/>
      <c r="H1089" s="26" t="str">
        <f>IF(OR(I.Developer.P2a=FALSE,I.Facility.StandardPart="Part 2"),"Complete",IF(I.Product.P2aGasToPower="No","Complete",IF(AND(I.Gas.P2aCount&gt;=24,F1089=""),"Incomplete","Complete")))</f>
        <v>Complete</v>
      </c>
      <c r="I1089" s="39" t="s">
        <v>1295</v>
      </c>
    </row>
    <row r="1090" spans="2:9" ht="15" customHeight="1" x14ac:dyDescent="0.25">
      <c r="B1090" s="37" t="s">
        <v>1271</v>
      </c>
      <c r="C1090" s="26">
        <v>25</v>
      </c>
      <c r="D1090" s="38" t="s">
        <v>2692</v>
      </c>
      <c r="E1090" s="59"/>
      <c r="F1090" s="59" t="str">
        <f>IF(INDEX(I.Gas.P2aC1E3,25)="","",INDEX(I.Gas.P2aC1E3,25))</f>
        <v/>
      </c>
      <c r="G1090" s="59"/>
      <c r="H1090" s="26" t="str">
        <f>IF(OR(I.Developer.P2a=FALSE,I.Facility.StandardPart="Part 2"),"Complete",IF(I.Product.P2aGasToPower="No","Complete",IF(AND(I.Gas.P2aCount&gt;=25,F1090=""),"Incomplete","Complete")))</f>
        <v>Complete</v>
      </c>
      <c r="I1090" s="39" t="s">
        <v>1296</v>
      </c>
    </row>
    <row r="1091" spans="2:9" ht="15" customHeight="1" x14ac:dyDescent="0.25">
      <c r="B1091" s="37" t="s">
        <v>1271</v>
      </c>
      <c r="C1091" s="26">
        <v>26</v>
      </c>
      <c r="D1091" s="38" t="s">
        <v>2692</v>
      </c>
      <c r="E1091" s="59"/>
      <c r="F1091" s="59" t="str">
        <f>IF(INDEX(I.Gas.P2aC1E3,26)="","",INDEX(I.Gas.P2aC1E3,26))</f>
        <v/>
      </c>
      <c r="G1091" s="59"/>
      <c r="H1091" s="26" t="str">
        <f>IF(OR(I.Developer.P2a=FALSE,I.Facility.StandardPart="Part 2"),"Complete",IF(I.Product.P2aGasToPower="No","Complete",IF(AND(I.Gas.P2aCount&gt;=26,F1091=""),"Incomplete","Complete")))</f>
        <v>Complete</v>
      </c>
      <c r="I1091" s="39" t="s">
        <v>1297</v>
      </c>
    </row>
    <row r="1092" spans="2:9" ht="15" customHeight="1" x14ac:dyDescent="0.25">
      <c r="B1092" s="37" t="s">
        <v>1271</v>
      </c>
      <c r="C1092" s="26">
        <v>27</v>
      </c>
      <c r="D1092" s="38" t="s">
        <v>2692</v>
      </c>
      <c r="E1092" s="59"/>
      <c r="F1092" s="59" t="str">
        <f>IF(INDEX(I.Gas.P2aC1E3,27)="","",INDEX(I.Gas.P2aC1E3,27))</f>
        <v/>
      </c>
      <c r="G1092" s="59"/>
      <c r="H1092" s="26" t="str">
        <f>IF(OR(I.Developer.P2a=FALSE,I.Facility.StandardPart="Part 2"),"Complete",IF(I.Product.P2aGasToPower="No","Complete",IF(AND(I.Gas.P2aCount&gt;=27,F1092=""),"Incomplete","Complete")))</f>
        <v>Complete</v>
      </c>
      <c r="I1092" s="39" t="s">
        <v>1298</v>
      </c>
    </row>
    <row r="1093" spans="2:9" ht="15" customHeight="1" x14ac:dyDescent="0.25">
      <c r="B1093" s="37" t="s">
        <v>1271</v>
      </c>
      <c r="C1093" s="26">
        <v>28</v>
      </c>
      <c r="D1093" s="38" t="s">
        <v>2692</v>
      </c>
      <c r="E1093" s="59"/>
      <c r="F1093" s="59" t="str">
        <f>IF(INDEX(I.Gas.P2aC1E3,28)="","",INDEX(I.Gas.P2aC1E3,28))</f>
        <v/>
      </c>
      <c r="G1093" s="59"/>
      <c r="H1093" s="26" t="str">
        <f>IF(OR(I.Developer.P2a=FALSE,I.Facility.StandardPart="Part 2"),"Complete",IF(I.Product.P2aGasToPower="No","Complete",IF(AND(I.Gas.P2aCount&gt;=28,F1093=""),"Incomplete","Complete")))</f>
        <v>Complete</v>
      </c>
      <c r="I1093" s="39" t="s">
        <v>1299</v>
      </c>
    </row>
    <row r="1094" spans="2:9" ht="15" customHeight="1" x14ac:dyDescent="0.25">
      <c r="B1094" s="37" t="s">
        <v>1271</v>
      </c>
      <c r="C1094" s="26">
        <v>29</v>
      </c>
      <c r="D1094" s="38" t="s">
        <v>2692</v>
      </c>
      <c r="E1094" s="59"/>
      <c r="F1094" s="59" t="str">
        <f>IF(INDEX(I.Gas.P2aC1E3,29)="","",INDEX(I.Gas.P2aC1E3,29))</f>
        <v/>
      </c>
      <c r="G1094" s="59"/>
      <c r="H1094" s="26" t="str">
        <f>IF(OR(I.Developer.P2a=FALSE,I.Facility.StandardPart="Part 2"),"Complete",IF(I.Product.P2aGasToPower="No","Complete",IF(AND(I.Gas.P2aCount&gt;=29,F1094=""),"Incomplete","Complete")))</f>
        <v>Complete</v>
      </c>
      <c r="I1094" s="39" t="s">
        <v>1300</v>
      </c>
    </row>
    <row r="1095" spans="2:9" ht="15" customHeight="1" x14ac:dyDescent="0.25">
      <c r="B1095" s="37" t="s">
        <v>1271</v>
      </c>
      <c r="C1095" s="26">
        <v>30</v>
      </c>
      <c r="D1095" s="38" t="s">
        <v>2692</v>
      </c>
      <c r="E1095" s="59"/>
      <c r="F1095" s="59" t="str">
        <f>IF(INDEX(I.Gas.P2aC1E3,30)="","",INDEX(I.Gas.P2aC1E3,30))</f>
        <v/>
      </c>
      <c r="G1095" s="59"/>
      <c r="H1095" s="26" t="str">
        <f>IF(OR(I.Developer.P2a=FALSE,I.Facility.StandardPart="Part 2"),"Complete",IF(I.Product.P2aGasToPower="No","Complete",IF(AND(I.Gas.P2aCount&gt;=30,F1095=""),"Incomplete","Complete")))</f>
        <v>Complete</v>
      </c>
      <c r="I1095" s="39" t="s">
        <v>1301</v>
      </c>
    </row>
    <row r="1096" spans="2:9" ht="15" customHeight="1" x14ac:dyDescent="0.25">
      <c r="B1096" s="37" t="s">
        <v>1271</v>
      </c>
      <c r="C1096" s="26">
        <v>31</v>
      </c>
      <c r="D1096" s="38" t="s">
        <v>2692</v>
      </c>
      <c r="E1096" s="59"/>
      <c r="F1096" s="59" t="str">
        <f>IF(INDEX(I.Gas.P2aC1E3,31)="","",INDEX(I.Gas.P2aC1E3,31))</f>
        <v/>
      </c>
      <c r="G1096" s="59"/>
      <c r="H1096" s="26" t="str">
        <f>IF(OR(I.Developer.P2a=FALSE,I.Facility.StandardPart="Part 2"),"Complete",IF(I.Product.P2aGasToPower="No","Complete",IF(AND(I.Gas.P2aCount&gt;=31,F1096=""),"Incomplete","Complete")))</f>
        <v>Complete</v>
      </c>
      <c r="I1096" s="39" t="s">
        <v>1302</v>
      </c>
    </row>
    <row r="1097" spans="2:9" ht="15" customHeight="1" x14ac:dyDescent="0.25">
      <c r="B1097" s="37" t="s">
        <v>1271</v>
      </c>
      <c r="C1097" s="26">
        <v>32</v>
      </c>
      <c r="D1097" s="38" t="s">
        <v>2692</v>
      </c>
      <c r="E1097" s="59"/>
      <c r="F1097" s="59" t="str">
        <f>IF(INDEX(I.Gas.P2aC1E3,32)="","",INDEX(I.Gas.P2aC1E3,32))</f>
        <v/>
      </c>
      <c r="G1097" s="59"/>
      <c r="H1097" s="26" t="str">
        <f>IF(OR(I.Developer.P2a=FALSE,I.Facility.StandardPart="Part 2"),"Complete",IF(I.Product.P2aGasToPower="No","Complete",IF(AND(I.Gas.P2aCount&gt;=32,F1097=""),"Incomplete","Complete")))</f>
        <v>Complete</v>
      </c>
      <c r="I1097" s="39" t="s">
        <v>1303</v>
      </c>
    </row>
    <row r="1098" spans="2:9" ht="15" customHeight="1" x14ac:dyDescent="0.25">
      <c r="B1098" s="37" t="s">
        <v>1271</v>
      </c>
      <c r="C1098" s="26">
        <v>33</v>
      </c>
      <c r="D1098" s="38" t="s">
        <v>2692</v>
      </c>
      <c r="E1098" s="59"/>
      <c r="F1098" s="59" t="str">
        <f>IF(INDEX(I.Gas.P2aC1E3,33)="","",INDEX(I.Gas.P2aC1E3,33))</f>
        <v/>
      </c>
      <c r="G1098" s="59"/>
      <c r="H1098" s="26" t="str">
        <f>IF(OR(I.Developer.P2a=FALSE,I.Facility.StandardPart="Part 2"),"Complete",IF(I.Product.P2aGasToPower="No","Complete",IF(AND(I.Gas.P2aCount&gt;=33,F1098=""),"Incomplete","Complete")))</f>
        <v>Complete</v>
      </c>
      <c r="I1098" s="39" t="s">
        <v>1304</v>
      </c>
    </row>
    <row r="1099" spans="2:9" ht="15" customHeight="1" x14ac:dyDescent="0.25">
      <c r="B1099" s="37" t="s">
        <v>1271</v>
      </c>
      <c r="C1099" s="26">
        <v>34</v>
      </c>
      <c r="D1099" s="38" t="s">
        <v>2692</v>
      </c>
      <c r="E1099" s="59"/>
      <c r="F1099" s="59" t="str">
        <f>IF(INDEX(I.Gas.P2aC1E3,34)="","",INDEX(I.Gas.P2aC1E3,34))</f>
        <v/>
      </c>
      <c r="G1099" s="59"/>
      <c r="H1099" s="26" t="str">
        <f>IF(OR(I.Developer.P2a=FALSE,I.Facility.StandardPart="Part 2"),"Complete",IF(I.Product.P2aGasToPower="No","Complete",IF(AND(I.Gas.P2aCount&gt;=34,F1099=""),"Incomplete","Complete")))</f>
        <v>Complete</v>
      </c>
      <c r="I1099" s="39" t="s">
        <v>1305</v>
      </c>
    </row>
    <row r="1100" spans="2:9" ht="15" customHeight="1" x14ac:dyDescent="0.25">
      <c r="B1100" s="37" t="s">
        <v>1271</v>
      </c>
      <c r="C1100" s="26">
        <v>35</v>
      </c>
      <c r="D1100" s="38" t="s">
        <v>2692</v>
      </c>
      <c r="E1100" s="59"/>
      <c r="F1100" s="59" t="str">
        <f>IF(INDEX(I.Gas.P2aC1E3,35)="","",INDEX(I.Gas.P2aC1E3,35))</f>
        <v/>
      </c>
      <c r="G1100" s="59"/>
      <c r="H1100" s="26" t="str">
        <f>IF(OR(I.Developer.P2a=FALSE,I.Facility.StandardPart="Part 2"),"Complete",IF(I.Product.P2aGasToPower="No","Complete",IF(AND(I.Gas.P2aCount&gt;=35,F1100=""),"Incomplete","Complete")))</f>
        <v>Complete</v>
      </c>
      <c r="I1100" s="39" t="s">
        <v>1306</v>
      </c>
    </row>
    <row r="1101" spans="2:9" ht="15" customHeight="1" x14ac:dyDescent="0.25">
      <c r="B1101" s="37" t="s">
        <v>1271</v>
      </c>
      <c r="C1101" s="26">
        <v>36</v>
      </c>
      <c r="D1101" s="38" t="s">
        <v>2692</v>
      </c>
      <c r="E1101" s="59"/>
      <c r="F1101" s="59" t="str">
        <f>IF(INDEX(I.Gas.P2aC1E3,36)="","",INDEX(I.Gas.P2aC1E3,36))</f>
        <v/>
      </c>
      <c r="G1101" s="59"/>
      <c r="H1101" s="26" t="str">
        <f>IF(OR(I.Developer.P2a=FALSE,I.Facility.StandardPart="Part 2"),"Complete",IF(I.Product.P2aGasToPower="No","Complete",IF(AND(I.Gas.P2aCount&gt;=36,F1101=""),"Incomplete","Complete")))</f>
        <v>Complete</v>
      </c>
      <c r="I1101" s="39" t="s">
        <v>1307</v>
      </c>
    </row>
    <row r="1102" spans="2:9" ht="15" customHeight="1" x14ac:dyDescent="0.25">
      <c r="B1102" s="37" t="s">
        <v>1271</v>
      </c>
      <c r="C1102" s="26">
        <v>37</v>
      </c>
      <c r="D1102" s="38" t="s">
        <v>2692</v>
      </c>
      <c r="E1102" s="59"/>
      <c r="F1102" s="59" t="str">
        <f>IF(INDEX(I.Gas.P2aC1E3,37)="","",INDEX(I.Gas.P2aC1E3,37))</f>
        <v/>
      </c>
      <c r="G1102" s="59"/>
      <c r="H1102" s="26" t="str">
        <f>IF(OR(I.Developer.P2a=FALSE,I.Facility.StandardPart="Part 2"),"Complete",IF(I.Product.P2aGasToPower="No","Complete",IF(AND(I.Gas.P2aCount&gt;=37,F1102=""),"Incomplete","Complete")))</f>
        <v>Complete</v>
      </c>
      <c r="I1102" s="39" t="s">
        <v>1308</v>
      </c>
    </row>
    <row r="1103" spans="2:9" ht="15" customHeight="1" x14ac:dyDescent="0.25">
      <c r="B1103" s="37" t="s">
        <v>1271</v>
      </c>
      <c r="C1103" s="26">
        <v>38</v>
      </c>
      <c r="D1103" s="38" t="s">
        <v>2692</v>
      </c>
      <c r="E1103" s="59"/>
      <c r="F1103" s="59" t="str">
        <f>IF(INDEX(I.Gas.P2aC1E3,38)="","",INDEX(I.Gas.P2aC1E3,38))</f>
        <v/>
      </c>
      <c r="G1103" s="59"/>
      <c r="H1103" s="26" t="str">
        <f>IF(OR(I.Developer.P2a=FALSE,I.Facility.StandardPart="Part 2"),"Complete",IF(I.Product.P2aGasToPower="No","Complete",IF(AND(I.Gas.P2aCount&gt;=38,F1103=""),"Incomplete","Complete")))</f>
        <v>Complete</v>
      </c>
      <c r="I1103" s="39" t="s">
        <v>1309</v>
      </c>
    </row>
    <row r="1104" spans="2:9" ht="15" customHeight="1" x14ac:dyDescent="0.25">
      <c r="B1104" s="37" t="s">
        <v>1271</v>
      </c>
      <c r="C1104" s="26">
        <v>39</v>
      </c>
      <c r="D1104" s="38" t="s">
        <v>2692</v>
      </c>
      <c r="E1104" s="59"/>
      <c r="F1104" s="59" t="str">
        <f>IF(INDEX(I.Gas.P2aC1E3,39)="","",INDEX(I.Gas.P2aC1E3,39))</f>
        <v/>
      </c>
      <c r="G1104" s="59"/>
      <c r="H1104" s="26" t="str">
        <f>IF(OR(I.Developer.P2a=FALSE,I.Facility.StandardPart="Part 2"),"Complete",IF(I.Product.P2aGasToPower="No","Complete",IF(AND(I.Gas.P2aCount&gt;=39,F1104=""),"Incomplete","Complete")))</f>
        <v>Complete</v>
      </c>
      <c r="I1104" s="39" t="s">
        <v>1310</v>
      </c>
    </row>
    <row r="1105" spans="2:9" ht="15" customHeight="1" x14ac:dyDescent="0.25">
      <c r="B1105" s="37" t="s">
        <v>1271</v>
      </c>
      <c r="C1105" s="26">
        <v>40</v>
      </c>
      <c r="D1105" s="38" t="s">
        <v>2692</v>
      </c>
      <c r="E1105" s="59"/>
      <c r="F1105" s="59" t="str">
        <f>IF(INDEX(I.Gas.P2aC1E3,40)="","",INDEX(I.Gas.P2aC1E3,40))</f>
        <v/>
      </c>
      <c r="G1105" s="59"/>
      <c r="H1105" s="26" t="str">
        <f>IF(OR(I.Developer.P2a=FALSE,I.Facility.StandardPart="Part 2"),"Complete",IF(I.Product.P2aGasToPower="No","Complete",IF(AND(I.Gas.P2aCount&gt;=40,F1105=""),"Incomplete","Complete")))</f>
        <v>Complete</v>
      </c>
      <c r="I1105" s="39" t="s">
        <v>1311</v>
      </c>
    </row>
    <row r="1106" spans="2:9" ht="15" customHeight="1" x14ac:dyDescent="0.25">
      <c r="B1106" s="37" t="s">
        <v>1271</v>
      </c>
      <c r="C1106" s="26">
        <v>41</v>
      </c>
      <c r="D1106" s="38" t="s">
        <v>2692</v>
      </c>
      <c r="E1106" s="59"/>
      <c r="F1106" s="59" t="str">
        <f>IF(INDEX(I.Gas.P2aC1E3,41)="","",INDEX(I.Gas.P2aC1E3,41))</f>
        <v/>
      </c>
      <c r="G1106" s="59"/>
      <c r="H1106" s="26" t="str">
        <f>IF(OR(I.Developer.P2a=FALSE,I.Facility.StandardPart="Part 2"),"Complete",IF(I.Product.P2aGasToPower="No","Complete",IF(AND(I.Gas.P2aCount&gt;=41,F1106=""),"Incomplete","Complete")))</f>
        <v>Complete</v>
      </c>
      <c r="I1106" s="39" t="s">
        <v>1312</v>
      </c>
    </row>
    <row r="1107" spans="2:9" ht="15" customHeight="1" x14ac:dyDescent="0.25">
      <c r="B1107" s="37" t="s">
        <v>1271</v>
      </c>
      <c r="C1107" s="26">
        <v>42</v>
      </c>
      <c r="D1107" s="38" t="s">
        <v>2692</v>
      </c>
      <c r="E1107" s="59"/>
      <c r="F1107" s="59" t="str">
        <f>IF(INDEX(I.Gas.P2aC1E3,42)="","",INDEX(I.Gas.P2aC1E3,42))</f>
        <v/>
      </c>
      <c r="G1107" s="59"/>
      <c r="H1107" s="26" t="str">
        <f>IF(OR(I.Developer.P2a=FALSE,I.Facility.StandardPart="Part 2"),"Complete",IF(I.Product.P2aGasToPower="No","Complete",IF(AND(I.Gas.P2aCount&gt;=42,F1107=""),"Incomplete","Complete")))</f>
        <v>Complete</v>
      </c>
      <c r="I1107" s="39" t="s">
        <v>1313</v>
      </c>
    </row>
    <row r="1108" spans="2:9" ht="15" customHeight="1" x14ac:dyDescent="0.25">
      <c r="B1108" s="37" t="s">
        <v>1271</v>
      </c>
      <c r="C1108" s="26">
        <v>43</v>
      </c>
      <c r="D1108" s="38" t="s">
        <v>2692</v>
      </c>
      <c r="E1108" s="59"/>
      <c r="F1108" s="59" t="str">
        <f>IF(INDEX(I.Gas.P2aC1E3,43)="","",INDEX(I.Gas.P2aC1E3,43))</f>
        <v/>
      </c>
      <c r="G1108" s="59"/>
      <c r="H1108" s="26" t="str">
        <f>IF(OR(I.Developer.P2a=FALSE,I.Facility.StandardPart="Part 2"),"Complete",IF(I.Product.P2aGasToPower="No","Complete",IF(AND(I.Gas.P2aCount&gt;=43,F1108=""),"Incomplete","Complete")))</f>
        <v>Complete</v>
      </c>
      <c r="I1108" s="39" t="s">
        <v>1314</v>
      </c>
    </row>
    <row r="1109" spans="2:9" ht="15" customHeight="1" x14ac:dyDescent="0.25">
      <c r="B1109" s="37" t="s">
        <v>1271</v>
      </c>
      <c r="C1109" s="26">
        <v>44</v>
      </c>
      <c r="D1109" s="38" t="s">
        <v>2692</v>
      </c>
      <c r="E1109" s="59"/>
      <c r="F1109" s="59" t="str">
        <f>IF(INDEX(I.Gas.P2aC1E3,44)="","",INDEX(I.Gas.P2aC1E3,44))</f>
        <v/>
      </c>
      <c r="G1109" s="59"/>
      <c r="H1109" s="26" t="str">
        <f>IF(OR(I.Developer.P2a=FALSE,I.Facility.StandardPart="Part 2"),"Complete",IF(I.Product.P2aGasToPower="No","Complete",IF(AND(I.Gas.P2aCount&gt;=44,F1109=""),"Incomplete","Complete")))</f>
        <v>Complete</v>
      </c>
      <c r="I1109" s="39" t="s">
        <v>1315</v>
      </c>
    </row>
    <row r="1110" spans="2:9" ht="15" customHeight="1" x14ac:dyDescent="0.25">
      <c r="B1110" s="37" t="s">
        <v>1271</v>
      </c>
      <c r="C1110" s="26">
        <v>45</v>
      </c>
      <c r="D1110" s="38" t="s">
        <v>2692</v>
      </c>
      <c r="E1110" s="59"/>
      <c r="F1110" s="59" t="str">
        <f>IF(INDEX(I.Gas.P2aC1E3,45)="","",INDEX(I.Gas.P2aC1E3,45))</f>
        <v/>
      </c>
      <c r="G1110" s="59"/>
      <c r="H1110" s="26" t="str">
        <f>IF(OR(I.Developer.P2a=FALSE,I.Facility.StandardPart="Part 2"),"Complete",IF(I.Product.P2aGasToPower="No","Complete",IF(AND(I.Gas.P2aCount&gt;=45,F1110=""),"Incomplete","Complete")))</f>
        <v>Complete</v>
      </c>
      <c r="I1110" s="39" t="s">
        <v>1316</v>
      </c>
    </row>
    <row r="1111" spans="2:9" ht="15" customHeight="1" x14ac:dyDescent="0.25">
      <c r="B1111" s="37" t="s">
        <v>1271</v>
      </c>
      <c r="C1111" s="26">
        <v>46</v>
      </c>
      <c r="D1111" s="38" t="s">
        <v>2692</v>
      </c>
      <c r="E1111" s="59"/>
      <c r="F1111" s="59" t="str">
        <f>IF(INDEX(I.Gas.P2aC1E3,46)="","",INDEX(I.Gas.P2aC1E3,46))</f>
        <v/>
      </c>
      <c r="G1111" s="59"/>
      <c r="H1111" s="26" t="str">
        <f>IF(OR(I.Developer.P2a=FALSE,I.Facility.StandardPart="Part 2"),"Complete",IF(I.Product.P2aGasToPower="No","Complete",IF(AND(I.Gas.P2aCount&gt;=46,F1111=""),"Incomplete","Complete")))</f>
        <v>Complete</v>
      </c>
      <c r="I1111" s="39" t="s">
        <v>1317</v>
      </c>
    </row>
    <row r="1112" spans="2:9" ht="15" customHeight="1" x14ac:dyDescent="0.25">
      <c r="B1112" s="37" t="s">
        <v>1271</v>
      </c>
      <c r="C1112" s="26">
        <v>47</v>
      </c>
      <c r="D1112" s="38" t="s">
        <v>2692</v>
      </c>
      <c r="E1112" s="59"/>
      <c r="F1112" s="59" t="str">
        <f>IF(INDEX(I.Gas.P2aC1E3,47)="","",INDEX(I.Gas.P2aC1E3,47))</f>
        <v/>
      </c>
      <c r="G1112" s="59"/>
      <c r="H1112" s="26" t="str">
        <f>IF(OR(I.Developer.P2a=FALSE,I.Facility.StandardPart="Part 2"),"Complete",IF(I.Product.P2aGasToPower="No","Complete",IF(AND(I.Gas.P2aCount&gt;=47,F1112=""),"Incomplete","Complete")))</f>
        <v>Complete</v>
      </c>
      <c r="I1112" s="39" t="s">
        <v>1318</v>
      </c>
    </row>
    <row r="1113" spans="2:9" ht="15" customHeight="1" x14ac:dyDescent="0.25">
      <c r="B1113" s="37" t="s">
        <v>1271</v>
      </c>
      <c r="C1113" s="26">
        <v>48</v>
      </c>
      <c r="D1113" s="38" t="s">
        <v>2692</v>
      </c>
      <c r="E1113" s="59"/>
      <c r="F1113" s="59" t="str">
        <f>IF(INDEX(I.Gas.P2aC1E3,48)="","",INDEX(I.Gas.P2aC1E3,48))</f>
        <v/>
      </c>
      <c r="G1113" s="59"/>
      <c r="H1113" s="26" t="str">
        <f>IF(OR(I.Developer.P2a=FALSE,I.Facility.StandardPart="Part 2"),"Complete",IF(I.Product.P2aGasToPower="No","Complete",IF(AND(I.Gas.P2aCount&gt;=48,F1113=""),"Incomplete","Complete")))</f>
        <v>Complete</v>
      </c>
      <c r="I1113" s="39" t="s">
        <v>1319</v>
      </c>
    </row>
    <row r="1114" spans="2:9" ht="15" customHeight="1" x14ac:dyDescent="0.25">
      <c r="B1114" s="37" t="s">
        <v>1271</v>
      </c>
      <c r="C1114" s="26">
        <v>49</v>
      </c>
      <c r="D1114" s="38" t="s">
        <v>2692</v>
      </c>
      <c r="E1114" s="59"/>
      <c r="F1114" s="59" t="str">
        <f>IF(INDEX(I.Gas.P2aC1E3,49)="","",INDEX(I.Gas.P2aC1E3,49))</f>
        <v/>
      </c>
      <c r="G1114" s="59"/>
      <c r="H1114" s="26" t="str">
        <f>IF(OR(I.Developer.P2a=FALSE,I.Facility.StandardPart="Part 2"),"Complete",IF(I.Product.P2aGasToPower="No","Complete",IF(AND(I.Gas.P2aCount&gt;=49,F1114=""),"Incomplete","Complete")))</f>
        <v>Complete</v>
      </c>
      <c r="I1114" s="39" t="s">
        <v>1320</v>
      </c>
    </row>
    <row r="1115" spans="2:9" ht="15" customHeight="1" x14ac:dyDescent="0.25">
      <c r="B1115" s="40" t="s">
        <v>1271</v>
      </c>
      <c r="C1115" s="46">
        <v>50</v>
      </c>
      <c r="D1115" s="44" t="s">
        <v>2692</v>
      </c>
      <c r="E1115" s="63"/>
      <c r="F1115" s="63" t="str">
        <f>IF(INDEX(I.Gas.P2aC1E3,50)="","",INDEX(I.Gas.P2aC1E3,50))</f>
        <v/>
      </c>
      <c r="G1115" s="63"/>
      <c r="H1115" s="46" t="str">
        <f>IF(OR(I.Developer.P2a=FALSE,I.Facility.StandardPart="Part 2"),"Complete",IF(I.Product.P2aGasToPower="No","Complete",IF(AND(I.Gas.P2aCount&gt;=50,F1115=""),"Incomplete","Complete")))</f>
        <v>Complete</v>
      </c>
      <c r="I1115" s="47" t="s">
        <v>1321</v>
      </c>
    </row>
    <row r="1116" spans="2:9" ht="15" customHeight="1" x14ac:dyDescent="0.25">
      <c r="B1116" s="55" t="s">
        <v>1322</v>
      </c>
      <c r="C1116" s="56">
        <v>1</v>
      </c>
      <c r="D1116" s="53" t="s">
        <v>2693</v>
      </c>
      <c r="E1116" s="73"/>
      <c r="F1116" s="73" t="str">
        <f>IF(I.Gas.P2bCount="","",I.Gas.P2bCount)</f>
        <v/>
      </c>
      <c r="G1116" s="73"/>
      <c r="H1116" s="56" t="str">
        <f>IF(I.Developer.P2b=FALSE,"Complete",IF(I.Product.P2bGasToPower="No","Complete",IF(I.Gas.P2bCount="","Incomplete","Complete")))</f>
        <v>Complete</v>
      </c>
      <c r="I1116" s="58" t="s">
        <v>1323</v>
      </c>
    </row>
    <row r="1117" spans="2:9" ht="15" customHeight="1" x14ac:dyDescent="0.25">
      <c r="B1117" s="37" t="s">
        <v>1324</v>
      </c>
      <c r="C1117" s="26">
        <v>1</v>
      </c>
      <c r="D1117" s="38" t="s">
        <v>2694</v>
      </c>
      <c r="E1117" s="59"/>
      <c r="F1117" s="59" t="str">
        <f>IF(INDEX(I.Gas.P2bAssociatedGasEnergy,1)="","",INDEX(I.Gas.P2bAssociatedGasEnergy,1))</f>
        <v/>
      </c>
      <c r="G1117" s="59"/>
      <c r="H1117" s="26" t="str">
        <f>IF(I.Developer.P2b=FALSE,"Complete",IF(I.Product.P2bGasToPower="No","Complete",IF(AND(I.Gas.P2bCount&gt;=1,F1117=""),"Incomplete","Complete")))</f>
        <v>Complete</v>
      </c>
      <c r="I1117" s="39" t="s">
        <v>1325</v>
      </c>
    </row>
    <row r="1118" spans="2:9" ht="15" customHeight="1" x14ac:dyDescent="0.25">
      <c r="B1118" s="37" t="s">
        <v>1324</v>
      </c>
      <c r="C1118" s="26">
        <v>2</v>
      </c>
      <c r="D1118" s="38" t="s">
        <v>2694</v>
      </c>
      <c r="E1118" s="59"/>
      <c r="F1118" s="59" t="str">
        <f>IF(INDEX(I.Gas.P2bAssociatedGasEnergy,2)="","",INDEX(I.Gas.P2bAssociatedGasEnergy,2))</f>
        <v/>
      </c>
      <c r="G1118" s="59"/>
      <c r="H1118" s="26" t="str">
        <f>IF(I.Developer.P2b=FALSE,"Complete",IF(I.Product.P2bGasToPower="No","Complete",IF(AND(I.Gas.P2bCount&gt;=2,F1118=""),"Incomplete","Complete")))</f>
        <v>Complete</v>
      </c>
      <c r="I1118" s="39" t="s">
        <v>1326</v>
      </c>
    </row>
    <row r="1119" spans="2:9" ht="15" customHeight="1" x14ac:dyDescent="0.25">
      <c r="B1119" s="37" t="s">
        <v>1324</v>
      </c>
      <c r="C1119" s="26">
        <v>3</v>
      </c>
      <c r="D1119" s="38" t="s">
        <v>2694</v>
      </c>
      <c r="E1119" s="59"/>
      <c r="F1119" s="59" t="str">
        <f>IF(INDEX(I.Gas.P2bAssociatedGasEnergy,3)="","",INDEX(I.Gas.P2bAssociatedGasEnergy,3))</f>
        <v/>
      </c>
      <c r="G1119" s="59"/>
      <c r="H1119" s="26" t="str">
        <f>IF(I.Developer.P2b=FALSE,"Complete",IF(I.Product.P2bGasToPower="No","Complete",IF(AND(I.Gas.P2bCount&gt;=3,F1119=""),"Incomplete","Complete")))</f>
        <v>Complete</v>
      </c>
      <c r="I1119" s="39" t="s">
        <v>1327</v>
      </c>
    </row>
    <row r="1120" spans="2:9" ht="15" customHeight="1" x14ac:dyDescent="0.25">
      <c r="B1120" s="37" t="s">
        <v>1324</v>
      </c>
      <c r="C1120" s="26">
        <v>4</v>
      </c>
      <c r="D1120" s="38" t="s">
        <v>2694</v>
      </c>
      <c r="E1120" s="59"/>
      <c r="F1120" s="59" t="str">
        <f>IF(INDEX(I.Gas.P2bAssociatedGasEnergy,4)="","",INDEX(I.Gas.P2bAssociatedGasEnergy,4))</f>
        <v/>
      </c>
      <c r="G1120" s="59"/>
      <c r="H1120" s="26" t="str">
        <f>IF(I.Developer.P2b=FALSE,"Complete",IF(I.Product.P2bGasToPower="No","Complete",IF(AND(I.Gas.P2bCount&gt;=4,F1120=""),"Incomplete","Complete")))</f>
        <v>Complete</v>
      </c>
      <c r="I1120" s="39" t="s">
        <v>1328</v>
      </c>
    </row>
    <row r="1121" spans="2:9" ht="15" customHeight="1" x14ac:dyDescent="0.25">
      <c r="B1121" s="37" t="s">
        <v>1324</v>
      </c>
      <c r="C1121" s="26">
        <v>5</v>
      </c>
      <c r="D1121" s="38" t="s">
        <v>2694</v>
      </c>
      <c r="E1121" s="59"/>
      <c r="F1121" s="59" t="str">
        <f>IF(INDEX(I.Gas.P2bAssociatedGasEnergy,5)="","",INDEX(I.Gas.P2bAssociatedGasEnergy,5))</f>
        <v/>
      </c>
      <c r="G1121" s="59"/>
      <c r="H1121" s="26" t="str">
        <f>IF(I.Developer.P2b=FALSE,"Complete",IF(I.Product.P2bGasToPower="No","Complete",IF(AND(I.Gas.P2bCount&gt;=5,F1121=""),"Incomplete","Complete")))</f>
        <v>Complete</v>
      </c>
      <c r="I1121" s="39" t="s">
        <v>1329</v>
      </c>
    </row>
    <row r="1122" spans="2:9" ht="15" customHeight="1" x14ac:dyDescent="0.25">
      <c r="B1122" s="37" t="s">
        <v>1324</v>
      </c>
      <c r="C1122" s="26">
        <v>6</v>
      </c>
      <c r="D1122" s="38" t="s">
        <v>2694</v>
      </c>
      <c r="E1122" s="59"/>
      <c r="F1122" s="59" t="str">
        <f>IF(INDEX(I.Gas.P2bAssociatedGasEnergy,6)="","",INDEX(I.Gas.P2bAssociatedGasEnergy,6))</f>
        <v/>
      </c>
      <c r="G1122" s="59"/>
      <c r="H1122" s="26" t="str">
        <f>IF(I.Developer.P2b=FALSE,"Complete",IF(I.Product.P2bGasToPower="No","Complete",IF(AND(I.Gas.P2bCount&gt;=6,F1122=""),"Incomplete","Complete")))</f>
        <v>Complete</v>
      </c>
      <c r="I1122" s="39" t="s">
        <v>1330</v>
      </c>
    </row>
    <row r="1123" spans="2:9" ht="15" customHeight="1" x14ac:dyDescent="0.25">
      <c r="B1123" s="37" t="s">
        <v>1324</v>
      </c>
      <c r="C1123" s="26">
        <v>7</v>
      </c>
      <c r="D1123" s="38" t="s">
        <v>2694</v>
      </c>
      <c r="E1123" s="59"/>
      <c r="F1123" s="59" t="str">
        <f>IF(INDEX(I.Gas.P2bAssociatedGasEnergy,7)="","",INDEX(I.Gas.P2bAssociatedGasEnergy,7))</f>
        <v/>
      </c>
      <c r="G1123" s="59"/>
      <c r="H1123" s="26" t="str">
        <f>IF(I.Developer.P2b=FALSE,"Complete",IF(I.Product.P2bGasToPower="No","Complete",IF(AND(I.Gas.P2bCount&gt;=7,F1123=""),"Incomplete","Complete")))</f>
        <v>Complete</v>
      </c>
      <c r="I1123" s="39" t="s">
        <v>1331</v>
      </c>
    </row>
    <row r="1124" spans="2:9" ht="15" customHeight="1" x14ac:dyDescent="0.25">
      <c r="B1124" s="37" t="s">
        <v>1324</v>
      </c>
      <c r="C1124" s="26">
        <v>8</v>
      </c>
      <c r="D1124" s="38" t="s">
        <v>2694</v>
      </c>
      <c r="E1124" s="59"/>
      <c r="F1124" s="59" t="str">
        <f>IF(INDEX(I.Gas.P2bAssociatedGasEnergy,8)="","",INDEX(I.Gas.P2bAssociatedGasEnergy,8))</f>
        <v/>
      </c>
      <c r="G1124" s="59"/>
      <c r="H1124" s="26" t="str">
        <f>IF(I.Developer.P2b=FALSE,"Complete",IF(I.Product.P2bGasToPower="No","Complete",IF(AND(I.Gas.P2bCount&gt;=8,F1124=""),"Incomplete","Complete")))</f>
        <v>Complete</v>
      </c>
      <c r="I1124" s="39" t="s">
        <v>1332</v>
      </c>
    </row>
    <row r="1125" spans="2:9" ht="15" customHeight="1" x14ac:dyDescent="0.25">
      <c r="B1125" s="37" t="s">
        <v>1324</v>
      </c>
      <c r="C1125" s="26">
        <v>9</v>
      </c>
      <c r="D1125" s="38" t="s">
        <v>2694</v>
      </c>
      <c r="E1125" s="59"/>
      <c r="F1125" s="59" t="str">
        <f>IF(INDEX(I.Gas.P2bAssociatedGasEnergy,9)="","",INDEX(I.Gas.P2bAssociatedGasEnergy,9))</f>
        <v/>
      </c>
      <c r="G1125" s="59"/>
      <c r="H1125" s="26" t="str">
        <f>IF(I.Developer.P2b=FALSE,"Complete",IF(I.Product.P2bGasToPower="No","Complete",IF(AND(I.Gas.P2bCount&gt;=9,F1125=""),"Incomplete","Complete")))</f>
        <v>Complete</v>
      </c>
      <c r="I1125" s="39" t="s">
        <v>1333</v>
      </c>
    </row>
    <row r="1126" spans="2:9" ht="15" customHeight="1" x14ac:dyDescent="0.25">
      <c r="B1126" s="37" t="s">
        <v>1324</v>
      </c>
      <c r="C1126" s="26">
        <v>10</v>
      </c>
      <c r="D1126" s="38" t="s">
        <v>2694</v>
      </c>
      <c r="E1126" s="59"/>
      <c r="F1126" s="59" t="str">
        <f>IF(INDEX(I.Gas.P2bAssociatedGasEnergy,10)="","",INDEX(I.Gas.P2bAssociatedGasEnergy,10))</f>
        <v/>
      </c>
      <c r="G1126" s="59"/>
      <c r="H1126" s="26" t="str">
        <f>IF(I.Developer.P2b=FALSE,"Complete",IF(I.Product.P2bGasToPower="No","Complete",IF(AND(I.Gas.P2bCount&gt;=10,F1126=""),"Incomplete","Complete")))</f>
        <v>Complete</v>
      </c>
      <c r="I1126" s="39" t="s">
        <v>1334</v>
      </c>
    </row>
    <row r="1127" spans="2:9" ht="15" customHeight="1" x14ac:dyDescent="0.25">
      <c r="B1127" s="37" t="s">
        <v>1324</v>
      </c>
      <c r="C1127" s="26">
        <v>11</v>
      </c>
      <c r="D1127" s="38" t="s">
        <v>2694</v>
      </c>
      <c r="E1127" s="59"/>
      <c r="F1127" s="59" t="str">
        <f>IF(INDEX(I.Gas.P2bAssociatedGasEnergy,11)="","",INDEX(I.Gas.P2bAssociatedGasEnergy,11))</f>
        <v/>
      </c>
      <c r="G1127" s="59"/>
      <c r="H1127" s="26" t="str">
        <f>IF(I.Developer.P2b=FALSE,"Complete",IF(I.Product.P2bGasToPower="No","Complete",IF(AND(I.Gas.P2bCount&gt;=11,F1127=""),"Incomplete","Complete")))</f>
        <v>Complete</v>
      </c>
      <c r="I1127" s="39" t="s">
        <v>1335</v>
      </c>
    </row>
    <row r="1128" spans="2:9" ht="15" customHeight="1" x14ac:dyDescent="0.25">
      <c r="B1128" s="37" t="s">
        <v>1324</v>
      </c>
      <c r="C1128" s="26">
        <v>12</v>
      </c>
      <c r="D1128" s="38" t="s">
        <v>2694</v>
      </c>
      <c r="E1128" s="59"/>
      <c r="F1128" s="59" t="str">
        <f>IF(INDEX(I.Gas.P2bAssociatedGasEnergy,12)="","",INDEX(I.Gas.P2bAssociatedGasEnergy,12))</f>
        <v/>
      </c>
      <c r="G1128" s="59"/>
      <c r="H1128" s="26" t="str">
        <f>IF(I.Developer.P2b=FALSE,"Complete",IF(I.Product.P2bGasToPower="No","Complete",IF(AND(I.Gas.P2bCount&gt;=12,F1128=""),"Incomplete","Complete")))</f>
        <v>Complete</v>
      </c>
      <c r="I1128" s="39" t="s">
        <v>1336</v>
      </c>
    </row>
    <row r="1129" spans="2:9" ht="15" customHeight="1" x14ac:dyDescent="0.25">
      <c r="B1129" s="37" t="s">
        <v>1324</v>
      </c>
      <c r="C1129" s="26">
        <v>13</v>
      </c>
      <c r="D1129" s="38" t="s">
        <v>2694</v>
      </c>
      <c r="E1129" s="59"/>
      <c r="F1129" s="59" t="str">
        <f>IF(INDEX(I.Gas.P2bAssociatedGasEnergy,13)="","",INDEX(I.Gas.P2bAssociatedGasEnergy,13))</f>
        <v/>
      </c>
      <c r="G1129" s="59"/>
      <c r="H1129" s="26" t="str">
        <f>IF(I.Developer.P2b=FALSE,"Complete",IF(I.Product.P2bGasToPower="No","Complete",IF(AND(I.Gas.P2bCount&gt;=13,F1129=""),"Incomplete","Complete")))</f>
        <v>Complete</v>
      </c>
      <c r="I1129" s="39" t="s">
        <v>1337</v>
      </c>
    </row>
    <row r="1130" spans="2:9" ht="15" customHeight="1" x14ac:dyDescent="0.25">
      <c r="B1130" s="37" t="s">
        <v>1324</v>
      </c>
      <c r="C1130" s="26">
        <v>14</v>
      </c>
      <c r="D1130" s="38" t="s">
        <v>2694</v>
      </c>
      <c r="E1130" s="59"/>
      <c r="F1130" s="59" t="str">
        <f>IF(INDEX(I.Gas.P2bAssociatedGasEnergy,14)="","",INDEX(I.Gas.P2bAssociatedGasEnergy,14))</f>
        <v/>
      </c>
      <c r="G1130" s="59"/>
      <c r="H1130" s="26" t="str">
        <f>IF(I.Developer.P2b=FALSE,"Complete",IF(I.Product.P2bGasToPower="No","Complete",IF(AND(I.Gas.P2bCount&gt;=14,F1130=""),"Incomplete","Complete")))</f>
        <v>Complete</v>
      </c>
      <c r="I1130" s="39" t="s">
        <v>1338</v>
      </c>
    </row>
    <row r="1131" spans="2:9" ht="15" customHeight="1" x14ac:dyDescent="0.25">
      <c r="B1131" s="37" t="s">
        <v>1324</v>
      </c>
      <c r="C1131" s="26">
        <v>15</v>
      </c>
      <c r="D1131" s="38" t="s">
        <v>2694</v>
      </c>
      <c r="E1131" s="59"/>
      <c r="F1131" s="59" t="str">
        <f>IF(INDEX(I.Gas.P2bAssociatedGasEnergy,15)="","",INDEX(I.Gas.P2bAssociatedGasEnergy,15))</f>
        <v/>
      </c>
      <c r="G1131" s="59"/>
      <c r="H1131" s="26" t="str">
        <f>IF(I.Developer.P2b=FALSE,"Complete",IF(I.Product.P2bGasToPower="No","Complete",IF(AND(I.Gas.P2bCount&gt;=15,F1131=""),"Incomplete","Complete")))</f>
        <v>Complete</v>
      </c>
      <c r="I1131" s="39" t="s">
        <v>1339</v>
      </c>
    </row>
    <row r="1132" spans="2:9" ht="15" customHeight="1" x14ac:dyDescent="0.25">
      <c r="B1132" s="37" t="s">
        <v>1324</v>
      </c>
      <c r="C1132" s="26">
        <v>16</v>
      </c>
      <c r="D1132" s="38" t="s">
        <v>2694</v>
      </c>
      <c r="E1132" s="59"/>
      <c r="F1132" s="59" t="str">
        <f>IF(INDEX(I.Gas.P2bAssociatedGasEnergy,16)="","",INDEX(I.Gas.P2bAssociatedGasEnergy,16))</f>
        <v/>
      </c>
      <c r="G1132" s="59"/>
      <c r="H1132" s="26" t="str">
        <f>IF(I.Developer.P2b=FALSE,"Complete",IF(I.Product.P2bGasToPower="No","Complete",IF(AND(I.Gas.P2bCount&gt;=16,F1132=""),"Incomplete","Complete")))</f>
        <v>Complete</v>
      </c>
      <c r="I1132" s="39" t="s">
        <v>1340</v>
      </c>
    </row>
    <row r="1133" spans="2:9" ht="15" customHeight="1" x14ac:dyDescent="0.25">
      <c r="B1133" s="37" t="s">
        <v>1324</v>
      </c>
      <c r="C1133" s="26">
        <v>17</v>
      </c>
      <c r="D1133" s="38" t="s">
        <v>2694</v>
      </c>
      <c r="E1133" s="59"/>
      <c r="F1133" s="59" t="str">
        <f>IF(INDEX(I.Gas.P2bAssociatedGasEnergy,17)="","",INDEX(I.Gas.P2bAssociatedGasEnergy,17))</f>
        <v/>
      </c>
      <c r="G1133" s="59"/>
      <c r="H1133" s="26" t="str">
        <f>IF(I.Developer.P2b=FALSE,"Complete",IF(I.Product.P2bGasToPower="No","Complete",IF(AND(I.Gas.P2bCount&gt;=17,F1133=""),"Incomplete","Complete")))</f>
        <v>Complete</v>
      </c>
      <c r="I1133" s="39" t="s">
        <v>1341</v>
      </c>
    </row>
    <row r="1134" spans="2:9" ht="15" customHeight="1" x14ac:dyDescent="0.25">
      <c r="B1134" s="37" t="s">
        <v>1324</v>
      </c>
      <c r="C1134" s="26">
        <v>18</v>
      </c>
      <c r="D1134" s="38" t="s">
        <v>2694</v>
      </c>
      <c r="E1134" s="59"/>
      <c r="F1134" s="59" t="str">
        <f>IF(INDEX(I.Gas.P2bAssociatedGasEnergy,18)="","",INDEX(I.Gas.P2bAssociatedGasEnergy,18))</f>
        <v/>
      </c>
      <c r="G1134" s="59"/>
      <c r="H1134" s="26" t="str">
        <f>IF(I.Developer.P2b=FALSE,"Complete",IF(I.Product.P2bGasToPower="No","Complete",IF(AND(I.Gas.P2bCount&gt;=18,F1134=""),"Incomplete","Complete")))</f>
        <v>Complete</v>
      </c>
      <c r="I1134" s="39" t="s">
        <v>1342</v>
      </c>
    </row>
    <row r="1135" spans="2:9" ht="15" customHeight="1" x14ac:dyDescent="0.25">
      <c r="B1135" s="37" t="s">
        <v>1324</v>
      </c>
      <c r="C1135" s="26">
        <v>19</v>
      </c>
      <c r="D1135" s="38" t="s">
        <v>2694</v>
      </c>
      <c r="E1135" s="59"/>
      <c r="F1135" s="59" t="str">
        <f>IF(INDEX(I.Gas.P2bAssociatedGasEnergy,19)="","",INDEX(I.Gas.P2bAssociatedGasEnergy,19))</f>
        <v/>
      </c>
      <c r="G1135" s="59"/>
      <c r="H1135" s="26" t="str">
        <f>IF(I.Developer.P2b=FALSE,"Complete",IF(I.Product.P2bGasToPower="No","Complete",IF(AND(I.Gas.P2bCount&gt;=19,F1135=""),"Incomplete","Complete")))</f>
        <v>Complete</v>
      </c>
      <c r="I1135" s="39" t="s">
        <v>1343</v>
      </c>
    </row>
    <row r="1136" spans="2:9" ht="15" customHeight="1" x14ac:dyDescent="0.25">
      <c r="B1136" s="37" t="s">
        <v>1324</v>
      </c>
      <c r="C1136" s="26">
        <v>20</v>
      </c>
      <c r="D1136" s="38" t="s">
        <v>2694</v>
      </c>
      <c r="E1136" s="59"/>
      <c r="F1136" s="59" t="str">
        <f>IF(INDEX(I.Gas.P2bAssociatedGasEnergy,20)="","",INDEX(I.Gas.P2bAssociatedGasEnergy,20))</f>
        <v/>
      </c>
      <c r="G1136" s="59"/>
      <c r="H1136" s="26" t="str">
        <f>IF(I.Developer.P2b=FALSE,"Complete",IF(I.Product.P2bGasToPower="No","Complete",IF(AND(I.Gas.P2bCount&gt;=20,F1136=""),"Incomplete","Complete")))</f>
        <v>Complete</v>
      </c>
      <c r="I1136" s="39" t="s">
        <v>1344</v>
      </c>
    </row>
    <row r="1137" spans="2:9" ht="15" customHeight="1" x14ac:dyDescent="0.25">
      <c r="B1137" s="37" t="s">
        <v>1324</v>
      </c>
      <c r="C1137" s="26">
        <v>21</v>
      </c>
      <c r="D1137" s="38" t="s">
        <v>2694</v>
      </c>
      <c r="E1137" s="59"/>
      <c r="F1137" s="59" t="str">
        <f>IF(INDEX(I.Gas.P2bAssociatedGasEnergy,21)="","",INDEX(I.Gas.P2bAssociatedGasEnergy,21))</f>
        <v/>
      </c>
      <c r="G1137" s="59"/>
      <c r="H1137" s="26" t="str">
        <f>IF(I.Developer.P2b=FALSE,"Complete",IF(I.Product.P2bGasToPower="No","Complete",IF(AND(I.Gas.P2bCount&gt;=21,F1137=""),"Incomplete","Complete")))</f>
        <v>Complete</v>
      </c>
      <c r="I1137" s="39" t="s">
        <v>1345</v>
      </c>
    </row>
    <row r="1138" spans="2:9" ht="15" customHeight="1" x14ac:dyDescent="0.25">
      <c r="B1138" s="37" t="s">
        <v>1324</v>
      </c>
      <c r="C1138" s="26">
        <v>22</v>
      </c>
      <c r="D1138" s="38" t="s">
        <v>2694</v>
      </c>
      <c r="E1138" s="59"/>
      <c r="F1138" s="59" t="str">
        <f>IF(INDEX(I.Gas.P2bAssociatedGasEnergy,22)="","",INDEX(I.Gas.P2bAssociatedGasEnergy,22))</f>
        <v/>
      </c>
      <c r="G1138" s="59"/>
      <c r="H1138" s="26" t="str">
        <f>IF(I.Developer.P2b=FALSE,"Complete",IF(I.Product.P2bGasToPower="No","Complete",IF(AND(I.Gas.P2bCount&gt;=22,F1138=""),"Incomplete","Complete")))</f>
        <v>Complete</v>
      </c>
      <c r="I1138" s="39" t="s">
        <v>1346</v>
      </c>
    </row>
    <row r="1139" spans="2:9" ht="15" customHeight="1" x14ac:dyDescent="0.25">
      <c r="B1139" s="37" t="s">
        <v>1324</v>
      </c>
      <c r="C1139" s="26">
        <v>23</v>
      </c>
      <c r="D1139" s="38" t="s">
        <v>2694</v>
      </c>
      <c r="E1139" s="59"/>
      <c r="F1139" s="59" t="str">
        <f>IF(INDEX(I.Gas.P2bAssociatedGasEnergy,23)="","",INDEX(I.Gas.P2bAssociatedGasEnergy,23))</f>
        <v/>
      </c>
      <c r="G1139" s="59"/>
      <c r="H1139" s="26" t="str">
        <f>IF(I.Developer.P2b=FALSE,"Complete",IF(I.Product.P2bGasToPower="No","Complete",IF(AND(I.Gas.P2bCount&gt;=23,F1139=""),"Incomplete","Complete")))</f>
        <v>Complete</v>
      </c>
      <c r="I1139" s="39" t="s">
        <v>1347</v>
      </c>
    </row>
    <row r="1140" spans="2:9" ht="15" customHeight="1" x14ac:dyDescent="0.25">
      <c r="B1140" s="37" t="s">
        <v>1324</v>
      </c>
      <c r="C1140" s="26">
        <v>24</v>
      </c>
      <c r="D1140" s="38" t="s">
        <v>2694</v>
      </c>
      <c r="E1140" s="59"/>
      <c r="F1140" s="59" t="str">
        <f>IF(INDEX(I.Gas.P2bAssociatedGasEnergy,24)="","",INDEX(I.Gas.P2bAssociatedGasEnergy,24))</f>
        <v/>
      </c>
      <c r="G1140" s="59"/>
      <c r="H1140" s="26" t="str">
        <f>IF(I.Developer.P2b=FALSE,"Complete",IF(I.Product.P2bGasToPower="No","Complete",IF(AND(I.Gas.P2bCount&gt;=24,F1140=""),"Incomplete","Complete")))</f>
        <v>Complete</v>
      </c>
      <c r="I1140" s="39" t="s">
        <v>1348</v>
      </c>
    </row>
    <row r="1141" spans="2:9" ht="15" customHeight="1" x14ac:dyDescent="0.25">
      <c r="B1141" s="37" t="s">
        <v>1324</v>
      </c>
      <c r="C1141" s="26">
        <v>25</v>
      </c>
      <c r="D1141" s="38" t="s">
        <v>2694</v>
      </c>
      <c r="E1141" s="59"/>
      <c r="F1141" s="59" t="str">
        <f>IF(INDEX(I.Gas.P2bAssociatedGasEnergy,25)="","",INDEX(I.Gas.P2bAssociatedGasEnergy,25))</f>
        <v/>
      </c>
      <c r="G1141" s="59"/>
      <c r="H1141" s="26" t="str">
        <f>IF(I.Developer.P2b=FALSE,"Complete",IF(I.Product.P2bGasToPower="No","Complete",IF(AND(I.Gas.P2bCount&gt;=25,F1141=""),"Incomplete","Complete")))</f>
        <v>Complete</v>
      </c>
      <c r="I1141" s="39" t="s">
        <v>1349</v>
      </c>
    </row>
    <row r="1142" spans="2:9" ht="15" customHeight="1" x14ac:dyDescent="0.25">
      <c r="B1142" s="37" t="s">
        <v>1324</v>
      </c>
      <c r="C1142" s="26">
        <v>26</v>
      </c>
      <c r="D1142" s="38" t="s">
        <v>2694</v>
      </c>
      <c r="E1142" s="59"/>
      <c r="F1142" s="59" t="str">
        <f>IF(INDEX(I.Gas.P2bAssociatedGasEnergy,26)="","",INDEX(I.Gas.P2bAssociatedGasEnergy,26))</f>
        <v/>
      </c>
      <c r="G1142" s="59"/>
      <c r="H1142" s="26" t="str">
        <f>IF(I.Developer.P2b=FALSE,"Complete",IF(I.Product.P2bGasToPower="No","Complete",IF(AND(I.Gas.P2bCount&gt;=26,F1142=""),"Incomplete","Complete")))</f>
        <v>Complete</v>
      </c>
      <c r="I1142" s="39" t="s">
        <v>1350</v>
      </c>
    </row>
    <row r="1143" spans="2:9" ht="15" customHeight="1" x14ac:dyDescent="0.25">
      <c r="B1143" s="37" t="s">
        <v>1324</v>
      </c>
      <c r="C1143" s="26">
        <v>27</v>
      </c>
      <c r="D1143" s="38" t="s">
        <v>2694</v>
      </c>
      <c r="E1143" s="59"/>
      <c r="F1143" s="59" t="str">
        <f>IF(INDEX(I.Gas.P2bAssociatedGasEnergy,27)="","",INDEX(I.Gas.P2bAssociatedGasEnergy,27))</f>
        <v/>
      </c>
      <c r="G1143" s="59"/>
      <c r="H1143" s="26" t="str">
        <f>IF(I.Developer.P2b=FALSE,"Complete",IF(I.Product.P2bGasToPower="No","Complete",IF(AND(I.Gas.P2bCount&gt;=27,F1143=""),"Incomplete","Complete")))</f>
        <v>Complete</v>
      </c>
      <c r="I1143" s="39" t="s">
        <v>1351</v>
      </c>
    </row>
    <row r="1144" spans="2:9" ht="15" customHeight="1" x14ac:dyDescent="0.25">
      <c r="B1144" s="37" t="s">
        <v>1324</v>
      </c>
      <c r="C1144" s="26">
        <v>28</v>
      </c>
      <c r="D1144" s="38" t="s">
        <v>2694</v>
      </c>
      <c r="E1144" s="59"/>
      <c r="F1144" s="59" t="str">
        <f>IF(INDEX(I.Gas.P2bAssociatedGasEnergy,28)="","",INDEX(I.Gas.P2bAssociatedGasEnergy,28))</f>
        <v/>
      </c>
      <c r="G1144" s="59"/>
      <c r="H1144" s="26" t="str">
        <f>IF(I.Developer.P2b=FALSE,"Complete",IF(I.Product.P2bGasToPower="No","Complete",IF(AND(I.Gas.P2bCount&gt;=28,F1144=""),"Incomplete","Complete")))</f>
        <v>Complete</v>
      </c>
      <c r="I1144" s="39" t="s">
        <v>1352</v>
      </c>
    </row>
    <row r="1145" spans="2:9" ht="15" customHeight="1" x14ac:dyDescent="0.25">
      <c r="B1145" s="37" t="s">
        <v>1324</v>
      </c>
      <c r="C1145" s="26">
        <v>29</v>
      </c>
      <c r="D1145" s="38" t="s">
        <v>2694</v>
      </c>
      <c r="E1145" s="59"/>
      <c r="F1145" s="59" t="str">
        <f>IF(INDEX(I.Gas.P2bAssociatedGasEnergy,29)="","",INDEX(I.Gas.P2bAssociatedGasEnergy,29))</f>
        <v/>
      </c>
      <c r="G1145" s="59"/>
      <c r="H1145" s="26" t="str">
        <f>IF(I.Developer.P2b=FALSE,"Complete",IF(I.Product.P2bGasToPower="No","Complete",IF(AND(I.Gas.P2bCount&gt;=29,F1145=""),"Incomplete","Complete")))</f>
        <v>Complete</v>
      </c>
      <c r="I1145" s="39" t="s">
        <v>1353</v>
      </c>
    </row>
    <row r="1146" spans="2:9" ht="15" customHeight="1" x14ac:dyDescent="0.25">
      <c r="B1146" s="37" t="s">
        <v>1324</v>
      </c>
      <c r="C1146" s="26">
        <v>30</v>
      </c>
      <c r="D1146" s="38" t="s">
        <v>2694</v>
      </c>
      <c r="E1146" s="59"/>
      <c r="F1146" s="59" t="str">
        <f>IF(INDEX(I.Gas.P2bAssociatedGasEnergy,30)="","",INDEX(I.Gas.P2bAssociatedGasEnergy,30))</f>
        <v/>
      </c>
      <c r="G1146" s="59"/>
      <c r="H1146" s="26" t="str">
        <f>IF(I.Developer.P2b=FALSE,"Complete",IF(I.Product.P2bGasToPower="No","Complete",IF(AND(I.Gas.P2bCount&gt;=30,F1146=""),"Incomplete","Complete")))</f>
        <v>Complete</v>
      </c>
      <c r="I1146" s="39" t="s">
        <v>1354</v>
      </c>
    </row>
    <row r="1147" spans="2:9" ht="15" customHeight="1" x14ac:dyDescent="0.25">
      <c r="B1147" s="37" t="s">
        <v>1324</v>
      </c>
      <c r="C1147" s="26">
        <v>31</v>
      </c>
      <c r="D1147" s="38" t="s">
        <v>2694</v>
      </c>
      <c r="E1147" s="59"/>
      <c r="F1147" s="59" t="str">
        <f>IF(INDEX(I.Gas.P2bAssociatedGasEnergy,31)="","",INDEX(I.Gas.P2bAssociatedGasEnergy,31))</f>
        <v/>
      </c>
      <c r="G1147" s="59"/>
      <c r="H1147" s="26" t="str">
        <f>IF(I.Developer.P2b=FALSE,"Complete",IF(I.Product.P2bGasToPower="No","Complete",IF(AND(I.Gas.P2bCount&gt;=31,F1147=""),"Incomplete","Complete")))</f>
        <v>Complete</v>
      </c>
      <c r="I1147" s="39" t="s">
        <v>1355</v>
      </c>
    </row>
    <row r="1148" spans="2:9" ht="15" customHeight="1" x14ac:dyDescent="0.25">
      <c r="B1148" s="37" t="s">
        <v>1324</v>
      </c>
      <c r="C1148" s="26">
        <v>32</v>
      </c>
      <c r="D1148" s="38" t="s">
        <v>2694</v>
      </c>
      <c r="E1148" s="59"/>
      <c r="F1148" s="59" t="str">
        <f>IF(INDEX(I.Gas.P2bAssociatedGasEnergy,32)="","",INDEX(I.Gas.P2bAssociatedGasEnergy,32))</f>
        <v/>
      </c>
      <c r="G1148" s="59"/>
      <c r="H1148" s="26" t="str">
        <f>IF(I.Developer.P2b=FALSE,"Complete",IF(I.Product.P2bGasToPower="No","Complete",IF(AND(I.Gas.P2bCount&gt;=32,F1148=""),"Incomplete","Complete")))</f>
        <v>Complete</v>
      </c>
      <c r="I1148" s="39" t="s">
        <v>1356</v>
      </c>
    </row>
    <row r="1149" spans="2:9" ht="15" customHeight="1" x14ac:dyDescent="0.25">
      <c r="B1149" s="37" t="s">
        <v>1324</v>
      </c>
      <c r="C1149" s="26">
        <v>33</v>
      </c>
      <c r="D1149" s="38" t="s">
        <v>2694</v>
      </c>
      <c r="E1149" s="59"/>
      <c r="F1149" s="59" t="str">
        <f>IF(INDEX(I.Gas.P2bAssociatedGasEnergy,33)="","",INDEX(I.Gas.P2bAssociatedGasEnergy,33))</f>
        <v/>
      </c>
      <c r="G1149" s="59"/>
      <c r="H1149" s="26" t="str">
        <f>IF(I.Developer.P2b=FALSE,"Complete",IF(I.Product.P2bGasToPower="No","Complete",IF(AND(I.Gas.P2bCount&gt;=33,F1149=""),"Incomplete","Complete")))</f>
        <v>Complete</v>
      </c>
      <c r="I1149" s="39" t="s">
        <v>1357</v>
      </c>
    </row>
    <row r="1150" spans="2:9" ht="15" customHeight="1" x14ac:dyDescent="0.25">
      <c r="B1150" s="37" t="s">
        <v>1324</v>
      </c>
      <c r="C1150" s="26">
        <v>34</v>
      </c>
      <c r="D1150" s="38" t="s">
        <v>2694</v>
      </c>
      <c r="E1150" s="59"/>
      <c r="F1150" s="59" t="str">
        <f>IF(INDEX(I.Gas.P2bAssociatedGasEnergy,34)="","",INDEX(I.Gas.P2bAssociatedGasEnergy,34))</f>
        <v/>
      </c>
      <c r="G1150" s="59"/>
      <c r="H1150" s="26" t="str">
        <f>IF(I.Developer.P2b=FALSE,"Complete",IF(I.Product.P2bGasToPower="No","Complete",IF(AND(I.Gas.P2bCount&gt;=34,F1150=""),"Incomplete","Complete")))</f>
        <v>Complete</v>
      </c>
      <c r="I1150" s="39" t="s">
        <v>1358</v>
      </c>
    </row>
    <row r="1151" spans="2:9" ht="15" customHeight="1" x14ac:dyDescent="0.25">
      <c r="B1151" s="37" t="s">
        <v>1324</v>
      </c>
      <c r="C1151" s="26">
        <v>35</v>
      </c>
      <c r="D1151" s="38" t="s">
        <v>2694</v>
      </c>
      <c r="E1151" s="59"/>
      <c r="F1151" s="59" t="str">
        <f>IF(INDEX(I.Gas.P2bAssociatedGasEnergy,35)="","",INDEX(I.Gas.P2bAssociatedGasEnergy,35))</f>
        <v/>
      </c>
      <c r="G1151" s="59"/>
      <c r="H1151" s="26" t="str">
        <f>IF(I.Developer.P2b=FALSE,"Complete",IF(I.Product.P2bGasToPower="No","Complete",IF(AND(I.Gas.P2bCount&gt;=35,F1151=""),"Incomplete","Complete")))</f>
        <v>Complete</v>
      </c>
      <c r="I1151" s="39" t="s">
        <v>1359</v>
      </c>
    </row>
    <row r="1152" spans="2:9" ht="15" customHeight="1" x14ac:dyDescent="0.25">
      <c r="B1152" s="37" t="s">
        <v>1324</v>
      </c>
      <c r="C1152" s="26">
        <v>36</v>
      </c>
      <c r="D1152" s="38" t="s">
        <v>2694</v>
      </c>
      <c r="E1152" s="59"/>
      <c r="F1152" s="59" t="str">
        <f>IF(INDEX(I.Gas.P2bAssociatedGasEnergy,36)="","",INDEX(I.Gas.P2bAssociatedGasEnergy,36))</f>
        <v/>
      </c>
      <c r="G1152" s="59"/>
      <c r="H1152" s="26" t="str">
        <f>IF(I.Developer.P2b=FALSE,"Complete",IF(I.Product.P2bGasToPower="No","Complete",IF(AND(I.Gas.P2bCount&gt;=36,F1152=""),"Incomplete","Complete")))</f>
        <v>Complete</v>
      </c>
      <c r="I1152" s="39" t="s">
        <v>1360</v>
      </c>
    </row>
    <row r="1153" spans="2:9" ht="15" customHeight="1" x14ac:dyDescent="0.25">
      <c r="B1153" s="37" t="s">
        <v>1324</v>
      </c>
      <c r="C1153" s="26">
        <v>37</v>
      </c>
      <c r="D1153" s="38" t="s">
        <v>2694</v>
      </c>
      <c r="E1153" s="59"/>
      <c r="F1153" s="59" t="str">
        <f>IF(INDEX(I.Gas.P2bAssociatedGasEnergy,37)="","",INDEX(I.Gas.P2bAssociatedGasEnergy,37))</f>
        <v/>
      </c>
      <c r="G1153" s="59"/>
      <c r="H1153" s="26" t="str">
        <f>IF(I.Developer.P2b=FALSE,"Complete",IF(I.Product.P2bGasToPower="No","Complete",IF(AND(I.Gas.P2bCount&gt;=37,F1153=""),"Incomplete","Complete")))</f>
        <v>Complete</v>
      </c>
      <c r="I1153" s="39" t="s">
        <v>1361</v>
      </c>
    </row>
    <row r="1154" spans="2:9" ht="15" customHeight="1" x14ac:dyDescent="0.25">
      <c r="B1154" s="37" t="s">
        <v>1324</v>
      </c>
      <c r="C1154" s="26">
        <v>38</v>
      </c>
      <c r="D1154" s="38" t="s">
        <v>2694</v>
      </c>
      <c r="E1154" s="59"/>
      <c r="F1154" s="59" t="str">
        <f>IF(INDEX(I.Gas.P2bAssociatedGasEnergy,38)="","",INDEX(I.Gas.P2bAssociatedGasEnergy,38))</f>
        <v/>
      </c>
      <c r="G1154" s="59"/>
      <c r="H1154" s="26" t="str">
        <f>IF(I.Developer.P2b=FALSE,"Complete",IF(I.Product.P2bGasToPower="No","Complete",IF(AND(I.Gas.P2bCount&gt;=38,F1154=""),"Incomplete","Complete")))</f>
        <v>Complete</v>
      </c>
      <c r="I1154" s="39" t="s">
        <v>1362</v>
      </c>
    </row>
    <row r="1155" spans="2:9" ht="15" customHeight="1" x14ac:dyDescent="0.25">
      <c r="B1155" s="37" t="s">
        <v>1324</v>
      </c>
      <c r="C1155" s="26">
        <v>39</v>
      </c>
      <c r="D1155" s="38" t="s">
        <v>2694</v>
      </c>
      <c r="E1155" s="59"/>
      <c r="F1155" s="59" t="str">
        <f>IF(INDEX(I.Gas.P2bAssociatedGasEnergy,39)="","",INDEX(I.Gas.P2bAssociatedGasEnergy,39))</f>
        <v/>
      </c>
      <c r="G1155" s="59"/>
      <c r="H1155" s="26" t="str">
        <f>IF(I.Developer.P2b=FALSE,"Complete",IF(I.Product.P2bGasToPower="No","Complete",IF(AND(I.Gas.P2bCount&gt;=39,F1155=""),"Incomplete","Complete")))</f>
        <v>Complete</v>
      </c>
      <c r="I1155" s="39" t="s">
        <v>1363</v>
      </c>
    </row>
    <row r="1156" spans="2:9" ht="15" customHeight="1" x14ac:dyDescent="0.25">
      <c r="B1156" s="37" t="s">
        <v>1324</v>
      </c>
      <c r="C1156" s="26">
        <v>40</v>
      </c>
      <c r="D1156" s="38" t="s">
        <v>2694</v>
      </c>
      <c r="E1156" s="59"/>
      <c r="F1156" s="59" t="str">
        <f>IF(INDEX(I.Gas.P2bAssociatedGasEnergy,40)="","",INDEX(I.Gas.P2bAssociatedGasEnergy,40))</f>
        <v/>
      </c>
      <c r="G1156" s="59"/>
      <c r="H1156" s="26" t="str">
        <f>IF(I.Developer.P2b=FALSE,"Complete",IF(I.Product.P2bGasToPower="No","Complete",IF(AND(I.Gas.P2bCount&gt;=40,F1156=""),"Incomplete","Complete")))</f>
        <v>Complete</v>
      </c>
      <c r="I1156" s="39" t="s">
        <v>1364</v>
      </c>
    </row>
    <row r="1157" spans="2:9" ht="15" customHeight="1" x14ac:dyDescent="0.25">
      <c r="B1157" s="37" t="s">
        <v>1324</v>
      </c>
      <c r="C1157" s="26">
        <v>41</v>
      </c>
      <c r="D1157" s="38" t="s">
        <v>2694</v>
      </c>
      <c r="E1157" s="59"/>
      <c r="F1157" s="59" t="str">
        <f>IF(INDEX(I.Gas.P2bAssociatedGasEnergy,41)="","",INDEX(I.Gas.P2bAssociatedGasEnergy,41))</f>
        <v/>
      </c>
      <c r="G1157" s="59"/>
      <c r="H1157" s="26" t="str">
        <f>IF(I.Developer.P2b=FALSE,"Complete",IF(I.Product.P2bGasToPower="No","Complete",IF(AND(I.Gas.P2bCount&gt;=41,F1157=""),"Incomplete","Complete")))</f>
        <v>Complete</v>
      </c>
      <c r="I1157" s="39" t="s">
        <v>1365</v>
      </c>
    </row>
    <row r="1158" spans="2:9" ht="15" customHeight="1" x14ac:dyDescent="0.25">
      <c r="B1158" s="37" t="s">
        <v>1324</v>
      </c>
      <c r="C1158" s="26">
        <v>42</v>
      </c>
      <c r="D1158" s="38" t="s">
        <v>2694</v>
      </c>
      <c r="E1158" s="59"/>
      <c r="F1158" s="59" t="str">
        <f>IF(INDEX(I.Gas.P2bAssociatedGasEnergy,42)="","",INDEX(I.Gas.P2bAssociatedGasEnergy,42))</f>
        <v/>
      </c>
      <c r="G1158" s="59"/>
      <c r="H1158" s="26" t="str">
        <f>IF(I.Developer.P2b=FALSE,"Complete",IF(I.Product.P2bGasToPower="No","Complete",IF(AND(I.Gas.P2bCount&gt;=42,F1158=""),"Incomplete","Complete")))</f>
        <v>Complete</v>
      </c>
      <c r="I1158" s="39" t="s">
        <v>1366</v>
      </c>
    </row>
    <row r="1159" spans="2:9" ht="15" customHeight="1" x14ac:dyDescent="0.25">
      <c r="B1159" s="37" t="s">
        <v>1324</v>
      </c>
      <c r="C1159" s="26">
        <v>43</v>
      </c>
      <c r="D1159" s="38" t="s">
        <v>2694</v>
      </c>
      <c r="E1159" s="59"/>
      <c r="F1159" s="59" t="str">
        <f>IF(INDEX(I.Gas.P2bAssociatedGasEnergy,43)="","",INDEX(I.Gas.P2bAssociatedGasEnergy,43))</f>
        <v/>
      </c>
      <c r="G1159" s="59"/>
      <c r="H1159" s="26" t="str">
        <f>IF(I.Developer.P2b=FALSE,"Complete",IF(I.Product.P2bGasToPower="No","Complete",IF(AND(I.Gas.P2bCount&gt;=43,F1159=""),"Incomplete","Complete")))</f>
        <v>Complete</v>
      </c>
      <c r="I1159" s="39" t="s">
        <v>1367</v>
      </c>
    </row>
    <row r="1160" spans="2:9" ht="15" customHeight="1" x14ac:dyDescent="0.25">
      <c r="B1160" s="37" t="s">
        <v>1324</v>
      </c>
      <c r="C1160" s="26">
        <v>44</v>
      </c>
      <c r="D1160" s="38" t="s">
        <v>2694</v>
      </c>
      <c r="E1160" s="59"/>
      <c r="F1160" s="59" t="str">
        <f>IF(INDEX(I.Gas.P2bAssociatedGasEnergy,44)="","",INDEX(I.Gas.P2bAssociatedGasEnergy,44))</f>
        <v/>
      </c>
      <c r="G1160" s="59"/>
      <c r="H1160" s="26" t="str">
        <f>IF(I.Developer.P2b=FALSE,"Complete",IF(I.Product.P2bGasToPower="No","Complete",IF(AND(I.Gas.P2bCount&gt;=44,F1160=""),"Incomplete","Complete")))</f>
        <v>Complete</v>
      </c>
      <c r="I1160" s="39" t="s">
        <v>1368</v>
      </c>
    </row>
    <row r="1161" spans="2:9" ht="15" customHeight="1" x14ac:dyDescent="0.25">
      <c r="B1161" s="37" t="s">
        <v>1324</v>
      </c>
      <c r="C1161" s="26">
        <v>45</v>
      </c>
      <c r="D1161" s="38" t="s">
        <v>2694</v>
      </c>
      <c r="E1161" s="59"/>
      <c r="F1161" s="59" t="str">
        <f>IF(INDEX(I.Gas.P2bAssociatedGasEnergy,45)="","",INDEX(I.Gas.P2bAssociatedGasEnergy,45))</f>
        <v/>
      </c>
      <c r="G1161" s="59"/>
      <c r="H1161" s="26" t="str">
        <f>IF(I.Developer.P2b=FALSE,"Complete",IF(I.Product.P2bGasToPower="No","Complete",IF(AND(I.Gas.P2bCount&gt;=45,F1161=""),"Incomplete","Complete")))</f>
        <v>Complete</v>
      </c>
      <c r="I1161" s="39" t="s">
        <v>1369</v>
      </c>
    </row>
    <row r="1162" spans="2:9" ht="15" customHeight="1" x14ac:dyDescent="0.25">
      <c r="B1162" s="37" t="s">
        <v>1324</v>
      </c>
      <c r="C1162" s="26">
        <v>46</v>
      </c>
      <c r="D1162" s="38" t="s">
        <v>2694</v>
      </c>
      <c r="E1162" s="59"/>
      <c r="F1162" s="59" t="str">
        <f>IF(INDEX(I.Gas.P2bAssociatedGasEnergy,46)="","",INDEX(I.Gas.P2bAssociatedGasEnergy,46))</f>
        <v/>
      </c>
      <c r="G1162" s="59"/>
      <c r="H1162" s="26" t="str">
        <f>IF(I.Developer.P2b=FALSE,"Complete",IF(I.Product.P2bGasToPower="No","Complete",IF(AND(I.Gas.P2bCount&gt;=46,F1162=""),"Incomplete","Complete")))</f>
        <v>Complete</v>
      </c>
      <c r="I1162" s="39" t="s">
        <v>1370</v>
      </c>
    </row>
    <row r="1163" spans="2:9" ht="15" customHeight="1" x14ac:dyDescent="0.25">
      <c r="B1163" s="37" t="s">
        <v>1324</v>
      </c>
      <c r="C1163" s="26">
        <v>47</v>
      </c>
      <c r="D1163" s="38" t="s">
        <v>2694</v>
      </c>
      <c r="E1163" s="59"/>
      <c r="F1163" s="59" t="str">
        <f>IF(INDEX(I.Gas.P2bAssociatedGasEnergy,47)="","",INDEX(I.Gas.P2bAssociatedGasEnergy,47))</f>
        <v/>
      </c>
      <c r="G1163" s="59"/>
      <c r="H1163" s="26" t="str">
        <f>IF(I.Developer.P2b=FALSE,"Complete",IF(I.Product.P2bGasToPower="No","Complete",IF(AND(I.Gas.P2bCount&gt;=47,F1163=""),"Incomplete","Complete")))</f>
        <v>Complete</v>
      </c>
      <c r="I1163" s="39" t="s">
        <v>1371</v>
      </c>
    </row>
    <row r="1164" spans="2:9" ht="15" customHeight="1" x14ac:dyDescent="0.25">
      <c r="B1164" s="37" t="s">
        <v>1324</v>
      </c>
      <c r="C1164" s="26">
        <v>48</v>
      </c>
      <c r="D1164" s="38" t="s">
        <v>2694</v>
      </c>
      <c r="E1164" s="59"/>
      <c r="F1164" s="59" t="str">
        <f>IF(INDEX(I.Gas.P2bAssociatedGasEnergy,48)="","",INDEX(I.Gas.P2bAssociatedGasEnergy,48))</f>
        <v/>
      </c>
      <c r="G1164" s="59"/>
      <c r="H1164" s="26" t="str">
        <f>IF(I.Developer.P2b=FALSE,"Complete",IF(I.Product.P2bGasToPower="No","Complete",IF(AND(I.Gas.P2bCount&gt;=48,F1164=""),"Incomplete","Complete")))</f>
        <v>Complete</v>
      </c>
      <c r="I1164" s="39" t="s">
        <v>1372</v>
      </c>
    </row>
    <row r="1165" spans="2:9" ht="15" customHeight="1" x14ac:dyDescent="0.25">
      <c r="B1165" s="37" t="s">
        <v>1324</v>
      </c>
      <c r="C1165" s="26">
        <v>49</v>
      </c>
      <c r="D1165" s="38" t="s">
        <v>2694</v>
      </c>
      <c r="E1165" s="59"/>
      <c r="F1165" s="59" t="str">
        <f>IF(INDEX(I.Gas.P2bAssociatedGasEnergy,49)="","",INDEX(I.Gas.P2bAssociatedGasEnergy,49))</f>
        <v/>
      </c>
      <c r="G1165" s="59"/>
      <c r="H1165" s="26" t="str">
        <f>IF(I.Developer.P2b=FALSE,"Complete",IF(I.Product.P2bGasToPower="No","Complete",IF(AND(I.Gas.P2bCount&gt;=49,F1165=""),"Incomplete","Complete")))</f>
        <v>Complete</v>
      </c>
      <c r="I1165" s="39" t="s">
        <v>1373</v>
      </c>
    </row>
    <row r="1166" spans="2:9" ht="15" customHeight="1" x14ac:dyDescent="0.25">
      <c r="B1166" s="40" t="s">
        <v>1324</v>
      </c>
      <c r="C1166" s="46">
        <v>50</v>
      </c>
      <c r="D1166" s="44" t="s">
        <v>2694</v>
      </c>
      <c r="E1166" s="63"/>
      <c r="F1166" s="63" t="str">
        <f>IF(INDEX(I.Gas.P2bAssociatedGasEnergy,50)="","",INDEX(I.Gas.P2bAssociatedGasEnergy,50))</f>
        <v/>
      </c>
      <c r="G1166" s="63"/>
      <c r="H1166" s="46" t="str">
        <f>IF(I.Developer.P2b=FALSE,"Complete",IF(I.Product.P2bGasToPower="No","Complete",IF(AND(I.Gas.P2bCount&gt;=50,F1166=""),"Incomplete","Complete")))</f>
        <v>Complete</v>
      </c>
      <c r="I1166" s="47" t="s">
        <v>1374</v>
      </c>
    </row>
    <row r="1167" spans="2:9" ht="15" customHeight="1" x14ac:dyDescent="0.25">
      <c r="B1167" s="37" t="s">
        <v>1375</v>
      </c>
      <c r="C1167" s="26">
        <v>1</v>
      </c>
      <c r="D1167" s="38" t="s">
        <v>2695</v>
      </c>
      <c r="E1167" s="59"/>
      <c r="F1167" s="59" t="str">
        <f>IF(INDEX(I.Gas.P2bTotalGasEnergy,1)="","",INDEX(I.Gas.P2bTotalGasEnergy,1))</f>
        <v/>
      </c>
      <c r="G1167" s="59"/>
      <c r="H1167" s="26" t="str">
        <f>IF(I.Developer.P2b=FALSE,"Complete",IF(I.Product.P2bGasToPower="No","Complete",IF(AND(I.Gas.P2bCount&gt;=1,F1167=""),"Incomplete","Complete")))</f>
        <v>Complete</v>
      </c>
      <c r="I1167" s="39" t="s">
        <v>1376</v>
      </c>
    </row>
    <row r="1168" spans="2:9" ht="15" customHeight="1" x14ac:dyDescent="0.25">
      <c r="B1168" s="37" t="s">
        <v>1375</v>
      </c>
      <c r="C1168" s="26">
        <v>2</v>
      </c>
      <c r="D1168" s="38" t="s">
        <v>2695</v>
      </c>
      <c r="E1168" s="59"/>
      <c r="F1168" s="59" t="str">
        <f>IF(INDEX(I.Gas.P2bTotalGasEnergy,2)="","",INDEX(I.Gas.P2bTotalGasEnergy,2))</f>
        <v/>
      </c>
      <c r="G1168" s="59"/>
      <c r="H1168" s="26" t="str">
        <f>IF(I.Developer.P2b=FALSE,"Complete",IF(I.Product.P2bGasToPower="No","Complete",IF(AND(I.Gas.P2bCount&gt;=2,F1168=""),"Incomplete","Complete")))</f>
        <v>Complete</v>
      </c>
      <c r="I1168" s="39" t="s">
        <v>1377</v>
      </c>
    </row>
    <row r="1169" spans="2:9" ht="15" customHeight="1" x14ac:dyDescent="0.25">
      <c r="B1169" s="37" t="s">
        <v>1375</v>
      </c>
      <c r="C1169" s="26">
        <v>3</v>
      </c>
      <c r="D1169" s="38" t="s">
        <v>2695</v>
      </c>
      <c r="E1169" s="59"/>
      <c r="F1169" s="59" t="str">
        <f>IF(INDEX(I.Gas.P2bTotalGasEnergy,3)="","",INDEX(I.Gas.P2bTotalGasEnergy,3))</f>
        <v/>
      </c>
      <c r="G1169" s="59"/>
      <c r="H1169" s="26" t="str">
        <f>IF(I.Developer.P2b=FALSE,"Complete",IF(I.Product.P2bGasToPower="No","Complete",IF(AND(I.Gas.P2bCount&gt;=3,F1169=""),"Incomplete","Complete")))</f>
        <v>Complete</v>
      </c>
      <c r="I1169" s="39" t="s">
        <v>1378</v>
      </c>
    </row>
    <row r="1170" spans="2:9" ht="15" customHeight="1" x14ac:dyDescent="0.25">
      <c r="B1170" s="37" t="s">
        <v>1375</v>
      </c>
      <c r="C1170" s="26">
        <v>4</v>
      </c>
      <c r="D1170" s="38" t="s">
        <v>2695</v>
      </c>
      <c r="E1170" s="59"/>
      <c r="F1170" s="59" t="str">
        <f>IF(INDEX(I.Gas.P2bTotalGasEnergy,4)="","",INDEX(I.Gas.P2bTotalGasEnergy,4))</f>
        <v/>
      </c>
      <c r="G1170" s="59"/>
      <c r="H1170" s="26" t="str">
        <f>IF(I.Developer.P2b=FALSE,"Complete",IF(I.Product.P2bGasToPower="No","Complete",IF(AND(I.Gas.P2bCount&gt;=4,F1170=""),"Incomplete","Complete")))</f>
        <v>Complete</v>
      </c>
      <c r="I1170" s="39" t="s">
        <v>1379</v>
      </c>
    </row>
    <row r="1171" spans="2:9" ht="15" customHeight="1" x14ac:dyDescent="0.25">
      <c r="B1171" s="37" t="s">
        <v>1375</v>
      </c>
      <c r="C1171" s="26">
        <v>5</v>
      </c>
      <c r="D1171" s="38" t="s">
        <v>2695</v>
      </c>
      <c r="E1171" s="59"/>
      <c r="F1171" s="59" t="str">
        <f>IF(INDEX(I.Gas.P2bTotalGasEnergy,5)="","",INDEX(I.Gas.P2bTotalGasEnergy,5))</f>
        <v/>
      </c>
      <c r="G1171" s="59"/>
      <c r="H1171" s="26" t="str">
        <f>IF(I.Developer.P2b=FALSE,"Complete",IF(I.Product.P2bGasToPower="No","Complete",IF(AND(I.Gas.P2bCount&gt;=5,F1171=""),"Incomplete","Complete")))</f>
        <v>Complete</v>
      </c>
      <c r="I1171" s="39" t="s">
        <v>1380</v>
      </c>
    </row>
    <row r="1172" spans="2:9" ht="15" customHeight="1" x14ac:dyDescent="0.25">
      <c r="B1172" s="37" t="s">
        <v>1375</v>
      </c>
      <c r="C1172" s="26">
        <v>6</v>
      </c>
      <c r="D1172" s="38" t="s">
        <v>2695</v>
      </c>
      <c r="E1172" s="59"/>
      <c r="F1172" s="59" t="str">
        <f>IF(INDEX(I.Gas.P2bTotalGasEnergy,6)="","",INDEX(I.Gas.P2bTotalGasEnergy,6))</f>
        <v/>
      </c>
      <c r="G1172" s="59"/>
      <c r="H1172" s="26" t="str">
        <f>IF(I.Developer.P2b=FALSE,"Complete",IF(I.Product.P2bGasToPower="No","Complete",IF(AND(I.Gas.P2bCount&gt;=6,F1172=""),"Incomplete","Complete")))</f>
        <v>Complete</v>
      </c>
      <c r="I1172" s="39" t="s">
        <v>1381</v>
      </c>
    </row>
    <row r="1173" spans="2:9" ht="15" customHeight="1" x14ac:dyDescent="0.25">
      <c r="B1173" s="37" t="s">
        <v>1375</v>
      </c>
      <c r="C1173" s="26">
        <v>7</v>
      </c>
      <c r="D1173" s="38" t="s">
        <v>2695</v>
      </c>
      <c r="E1173" s="59"/>
      <c r="F1173" s="59" t="str">
        <f>IF(INDEX(I.Gas.P2bTotalGasEnergy,7)="","",INDEX(I.Gas.P2bTotalGasEnergy,7))</f>
        <v/>
      </c>
      <c r="G1173" s="59"/>
      <c r="H1173" s="26" t="str">
        <f>IF(I.Developer.P2b=FALSE,"Complete",IF(I.Product.P2bGasToPower="No","Complete",IF(AND(I.Gas.P2bCount&gt;=7,F1173=""),"Incomplete","Complete")))</f>
        <v>Complete</v>
      </c>
      <c r="I1173" s="39" t="s">
        <v>1382</v>
      </c>
    </row>
    <row r="1174" spans="2:9" ht="15" customHeight="1" x14ac:dyDescent="0.25">
      <c r="B1174" s="37" t="s">
        <v>1375</v>
      </c>
      <c r="C1174" s="26">
        <v>8</v>
      </c>
      <c r="D1174" s="38" t="s">
        <v>2695</v>
      </c>
      <c r="E1174" s="59"/>
      <c r="F1174" s="59" t="str">
        <f>IF(INDEX(I.Gas.P2bTotalGasEnergy,8)="","",INDEX(I.Gas.P2bTotalGasEnergy,8))</f>
        <v/>
      </c>
      <c r="G1174" s="59"/>
      <c r="H1174" s="26" t="str">
        <f>IF(I.Developer.P2b=FALSE,"Complete",IF(I.Product.P2bGasToPower="No","Complete",IF(AND(I.Gas.P2bCount&gt;=8,F1174=""),"Incomplete","Complete")))</f>
        <v>Complete</v>
      </c>
      <c r="I1174" s="39" t="s">
        <v>1383</v>
      </c>
    </row>
    <row r="1175" spans="2:9" ht="15" customHeight="1" x14ac:dyDescent="0.25">
      <c r="B1175" s="37" t="s">
        <v>1375</v>
      </c>
      <c r="C1175" s="26">
        <v>9</v>
      </c>
      <c r="D1175" s="38" t="s">
        <v>2695</v>
      </c>
      <c r="E1175" s="59"/>
      <c r="F1175" s="59" t="str">
        <f>IF(INDEX(I.Gas.P2bTotalGasEnergy,9)="","",INDEX(I.Gas.P2bTotalGasEnergy,9))</f>
        <v/>
      </c>
      <c r="G1175" s="59"/>
      <c r="H1175" s="26" t="str">
        <f>IF(I.Developer.P2b=FALSE,"Complete",IF(I.Product.P2bGasToPower="No","Complete",IF(AND(I.Gas.P2bCount&gt;=9,F1175=""),"Incomplete","Complete")))</f>
        <v>Complete</v>
      </c>
      <c r="I1175" s="39" t="s">
        <v>1384</v>
      </c>
    </row>
    <row r="1176" spans="2:9" ht="15" customHeight="1" x14ac:dyDescent="0.25">
      <c r="B1176" s="37" t="s">
        <v>1375</v>
      </c>
      <c r="C1176" s="26">
        <v>10</v>
      </c>
      <c r="D1176" s="38" t="s">
        <v>2695</v>
      </c>
      <c r="E1176" s="59"/>
      <c r="F1176" s="59" t="str">
        <f>IF(INDEX(I.Gas.P2bTotalGasEnergy,10)="","",INDEX(I.Gas.P2bTotalGasEnergy,10))</f>
        <v/>
      </c>
      <c r="G1176" s="59"/>
      <c r="H1176" s="26" t="str">
        <f>IF(I.Developer.P2b=FALSE,"Complete",IF(I.Product.P2bGasToPower="No","Complete",IF(AND(I.Gas.P2bCount&gt;=10,F1176=""),"Incomplete","Complete")))</f>
        <v>Complete</v>
      </c>
      <c r="I1176" s="39" t="s">
        <v>1385</v>
      </c>
    </row>
    <row r="1177" spans="2:9" ht="15" customHeight="1" x14ac:dyDescent="0.25">
      <c r="B1177" s="37" t="s">
        <v>1375</v>
      </c>
      <c r="C1177" s="26">
        <v>11</v>
      </c>
      <c r="D1177" s="38" t="s">
        <v>2695</v>
      </c>
      <c r="E1177" s="59"/>
      <c r="F1177" s="59" t="str">
        <f>IF(INDEX(I.Gas.P2bTotalGasEnergy,11)="","",INDEX(I.Gas.P2bTotalGasEnergy,11))</f>
        <v/>
      </c>
      <c r="G1177" s="59"/>
      <c r="H1177" s="26" t="str">
        <f>IF(I.Developer.P2b=FALSE,"Complete",IF(I.Product.P2bGasToPower="No","Complete",IF(AND(I.Gas.P2bCount&gt;=11,F1177=""),"Incomplete","Complete")))</f>
        <v>Complete</v>
      </c>
      <c r="I1177" s="39" t="s">
        <v>1386</v>
      </c>
    </row>
    <row r="1178" spans="2:9" ht="15" customHeight="1" x14ac:dyDescent="0.25">
      <c r="B1178" s="37" t="s">
        <v>1375</v>
      </c>
      <c r="C1178" s="26">
        <v>12</v>
      </c>
      <c r="D1178" s="38" t="s">
        <v>2695</v>
      </c>
      <c r="E1178" s="59"/>
      <c r="F1178" s="59" t="str">
        <f>IF(INDEX(I.Gas.P2bTotalGasEnergy,12)="","",INDEX(I.Gas.P2bTotalGasEnergy,12))</f>
        <v/>
      </c>
      <c r="G1178" s="59"/>
      <c r="H1178" s="26" t="str">
        <f>IF(I.Developer.P2b=FALSE,"Complete",IF(I.Product.P2bGasToPower="No","Complete",IF(AND(I.Gas.P2bCount&gt;=12,F1178=""),"Incomplete","Complete")))</f>
        <v>Complete</v>
      </c>
      <c r="I1178" s="39" t="s">
        <v>1387</v>
      </c>
    </row>
    <row r="1179" spans="2:9" ht="15" customHeight="1" x14ac:dyDescent="0.25">
      <c r="B1179" s="37" t="s">
        <v>1375</v>
      </c>
      <c r="C1179" s="26">
        <v>13</v>
      </c>
      <c r="D1179" s="38" t="s">
        <v>2695</v>
      </c>
      <c r="E1179" s="59"/>
      <c r="F1179" s="59" t="str">
        <f>IF(INDEX(I.Gas.P2bTotalGasEnergy,13)="","",INDEX(I.Gas.P2bTotalGasEnergy,13))</f>
        <v/>
      </c>
      <c r="G1179" s="59"/>
      <c r="H1179" s="26" t="str">
        <f>IF(I.Developer.P2b=FALSE,"Complete",IF(I.Product.P2bGasToPower="No","Complete",IF(AND(I.Gas.P2bCount&gt;=13,F1179=""),"Incomplete","Complete")))</f>
        <v>Complete</v>
      </c>
      <c r="I1179" s="39" t="s">
        <v>1388</v>
      </c>
    </row>
    <row r="1180" spans="2:9" ht="15" customHeight="1" x14ac:dyDescent="0.25">
      <c r="B1180" s="37" t="s">
        <v>1375</v>
      </c>
      <c r="C1180" s="26">
        <v>14</v>
      </c>
      <c r="D1180" s="38" t="s">
        <v>2695</v>
      </c>
      <c r="E1180" s="59"/>
      <c r="F1180" s="59" t="str">
        <f>IF(INDEX(I.Gas.P2bTotalGasEnergy,14)="","",INDEX(I.Gas.P2bTotalGasEnergy,14))</f>
        <v/>
      </c>
      <c r="G1180" s="59"/>
      <c r="H1180" s="26" t="str">
        <f>IF(I.Developer.P2b=FALSE,"Complete",IF(I.Product.P2bGasToPower="No","Complete",IF(AND(I.Gas.P2bCount&gt;=14,F1180=""),"Incomplete","Complete")))</f>
        <v>Complete</v>
      </c>
      <c r="I1180" s="39" t="s">
        <v>1389</v>
      </c>
    </row>
    <row r="1181" spans="2:9" ht="15" customHeight="1" x14ac:dyDescent="0.25">
      <c r="B1181" s="37" t="s">
        <v>1375</v>
      </c>
      <c r="C1181" s="26">
        <v>15</v>
      </c>
      <c r="D1181" s="38" t="s">
        <v>2695</v>
      </c>
      <c r="E1181" s="59"/>
      <c r="F1181" s="59" t="str">
        <f>IF(INDEX(I.Gas.P2bTotalGasEnergy,15)="","",INDEX(I.Gas.P2bTotalGasEnergy,15))</f>
        <v/>
      </c>
      <c r="G1181" s="59"/>
      <c r="H1181" s="26" t="str">
        <f>IF(I.Developer.P2b=FALSE,"Complete",IF(I.Product.P2bGasToPower="No","Complete",IF(AND(I.Gas.P2bCount&gt;=15,F1181=""),"Incomplete","Complete")))</f>
        <v>Complete</v>
      </c>
      <c r="I1181" s="39" t="s">
        <v>1390</v>
      </c>
    </row>
    <row r="1182" spans="2:9" ht="15" customHeight="1" x14ac:dyDescent="0.25">
      <c r="B1182" s="37" t="s">
        <v>1375</v>
      </c>
      <c r="C1182" s="26">
        <v>16</v>
      </c>
      <c r="D1182" s="38" t="s">
        <v>2695</v>
      </c>
      <c r="E1182" s="59"/>
      <c r="F1182" s="59" t="str">
        <f>IF(INDEX(I.Gas.P2bTotalGasEnergy,16)="","",INDEX(I.Gas.P2bTotalGasEnergy,16))</f>
        <v/>
      </c>
      <c r="G1182" s="59"/>
      <c r="H1182" s="26" t="str">
        <f>IF(I.Developer.P2b=FALSE,"Complete",IF(I.Product.P2bGasToPower="No","Complete",IF(AND(I.Gas.P2bCount&gt;=16,F1182=""),"Incomplete","Complete")))</f>
        <v>Complete</v>
      </c>
      <c r="I1182" s="39" t="s">
        <v>1391</v>
      </c>
    </row>
    <row r="1183" spans="2:9" ht="15" customHeight="1" x14ac:dyDescent="0.25">
      <c r="B1183" s="37" t="s">
        <v>1375</v>
      </c>
      <c r="C1183" s="26">
        <v>17</v>
      </c>
      <c r="D1183" s="38" t="s">
        <v>2695</v>
      </c>
      <c r="E1183" s="59"/>
      <c r="F1183" s="59" t="str">
        <f>IF(INDEX(I.Gas.P2bTotalGasEnergy,17)="","",INDEX(I.Gas.P2bTotalGasEnergy,17))</f>
        <v/>
      </c>
      <c r="G1183" s="59"/>
      <c r="H1183" s="26" t="str">
        <f>IF(I.Developer.P2b=FALSE,"Complete",IF(I.Product.P2bGasToPower="No","Complete",IF(AND(I.Gas.P2bCount&gt;=17,F1183=""),"Incomplete","Complete")))</f>
        <v>Complete</v>
      </c>
      <c r="I1183" s="39" t="s">
        <v>1392</v>
      </c>
    </row>
    <row r="1184" spans="2:9" ht="15" customHeight="1" x14ac:dyDescent="0.25">
      <c r="B1184" s="37" t="s">
        <v>1375</v>
      </c>
      <c r="C1184" s="26">
        <v>18</v>
      </c>
      <c r="D1184" s="38" t="s">
        <v>2695</v>
      </c>
      <c r="E1184" s="59"/>
      <c r="F1184" s="59" t="str">
        <f>IF(INDEX(I.Gas.P2bTotalGasEnergy,18)="","",INDEX(I.Gas.P2bTotalGasEnergy,18))</f>
        <v/>
      </c>
      <c r="G1184" s="59"/>
      <c r="H1184" s="26" t="str">
        <f>IF(I.Developer.P2b=FALSE,"Complete",IF(I.Product.P2bGasToPower="No","Complete",IF(AND(I.Gas.P2bCount&gt;=18,F1184=""),"Incomplete","Complete")))</f>
        <v>Complete</v>
      </c>
      <c r="I1184" s="39" t="s">
        <v>1393</v>
      </c>
    </row>
    <row r="1185" spans="2:9" ht="15" customHeight="1" x14ac:dyDescent="0.25">
      <c r="B1185" s="37" t="s">
        <v>1375</v>
      </c>
      <c r="C1185" s="26">
        <v>19</v>
      </c>
      <c r="D1185" s="38" t="s">
        <v>2695</v>
      </c>
      <c r="E1185" s="59"/>
      <c r="F1185" s="59" t="str">
        <f>IF(INDEX(I.Gas.P2bTotalGasEnergy,19)="","",INDEX(I.Gas.P2bTotalGasEnergy,19))</f>
        <v/>
      </c>
      <c r="G1185" s="59"/>
      <c r="H1185" s="26" t="str">
        <f>IF(I.Developer.P2b=FALSE,"Complete",IF(I.Product.P2bGasToPower="No","Complete",IF(AND(I.Gas.P2bCount&gt;=19,F1185=""),"Incomplete","Complete")))</f>
        <v>Complete</v>
      </c>
      <c r="I1185" s="39" t="s">
        <v>1394</v>
      </c>
    </row>
    <row r="1186" spans="2:9" ht="15" customHeight="1" x14ac:dyDescent="0.25">
      <c r="B1186" s="37" t="s">
        <v>1375</v>
      </c>
      <c r="C1186" s="26">
        <v>20</v>
      </c>
      <c r="D1186" s="38" t="s">
        <v>2695</v>
      </c>
      <c r="E1186" s="59"/>
      <c r="F1186" s="59" t="str">
        <f>IF(INDEX(I.Gas.P2bTotalGasEnergy,20)="","",INDEX(I.Gas.P2bTotalGasEnergy,20))</f>
        <v/>
      </c>
      <c r="G1186" s="59"/>
      <c r="H1186" s="26" t="str">
        <f>IF(I.Developer.P2b=FALSE,"Complete",IF(I.Product.P2bGasToPower="No","Complete",IF(AND(I.Gas.P2bCount&gt;=20,F1186=""),"Incomplete","Complete")))</f>
        <v>Complete</v>
      </c>
      <c r="I1186" s="39" t="s">
        <v>1395</v>
      </c>
    </row>
    <row r="1187" spans="2:9" ht="15" customHeight="1" x14ac:dyDescent="0.25">
      <c r="B1187" s="37" t="s">
        <v>1375</v>
      </c>
      <c r="C1187" s="26">
        <v>21</v>
      </c>
      <c r="D1187" s="38" t="s">
        <v>2695</v>
      </c>
      <c r="E1187" s="59"/>
      <c r="F1187" s="59" t="str">
        <f>IF(INDEX(I.Gas.P2bTotalGasEnergy,21)="","",INDEX(I.Gas.P2bTotalGasEnergy,21))</f>
        <v/>
      </c>
      <c r="G1187" s="59"/>
      <c r="H1187" s="26" t="str">
        <f>IF(I.Developer.P2b=FALSE,"Complete",IF(I.Product.P2bGasToPower="No","Complete",IF(AND(I.Gas.P2bCount&gt;=21,F1187=""),"Incomplete","Complete")))</f>
        <v>Complete</v>
      </c>
      <c r="I1187" s="39" t="s">
        <v>1396</v>
      </c>
    </row>
    <row r="1188" spans="2:9" ht="15" customHeight="1" x14ac:dyDescent="0.25">
      <c r="B1188" s="37" t="s">
        <v>1375</v>
      </c>
      <c r="C1188" s="26">
        <v>22</v>
      </c>
      <c r="D1188" s="38" t="s">
        <v>2695</v>
      </c>
      <c r="E1188" s="59"/>
      <c r="F1188" s="59" t="str">
        <f>IF(INDEX(I.Gas.P2bTotalGasEnergy,22)="","",INDEX(I.Gas.P2bTotalGasEnergy,22))</f>
        <v/>
      </c>
      <c r="G1188" s="59"/>
      <c r="H1188" s="26" t="str">
        <f>IF(I.Developer.P2b=FALSE,"Complete",IF(I.Product.P2bGasToPower="No","Complete",IF(AND(I.Gas.P2bCount&gt;=22,F1188=""),"Incomplete","Complete")))</f>
        <v>Complete</v>
      </c>
      <c r="I1188" s="39" t="s">
        <v>1397</v>
      </c>
    </row>
    <row r="1189" spans="2:9" ht="15" customHeight="1" x14ac:dyDescent="0.25">
      <c r="B1189" s="37" t="s">
        <v>1375</v>
      </c>
      <c r="C1189" s="26">
        <v>23</v>
      </c>
      <c r="D1189" s="38" t="s">
        <v>2695</v>
      </c>
      <c r="E1189" s="59"/>
      <c r="F1189" s="59" t="str">
        <f>IF(INDEX(I.Gas.P2bTotalGasEnergy,23)="","",INDEX(I.Gas.P2bTotalGasEnergy,23))</f>
        <v/>
      </c>
      <c r="G1189" s="59"/>
      <c r="H1189" s="26" t="str">
        <f>IF(I.Developer.P2b=FALSE,"Complete",IF(I.Product.P2bGasToPower="No","Complete",IF(AND(I.Gas.P2bCount&gt;=23,F1189=""),"Incomplete","Complete")))</f>
        <v>Complete</v>
      </c>
      <c r="I1189" s="39" t="s">
        <v>1398</v>
      </c>
    </row>
    <row r="1190" spans="2:9" ht="15" customHeight="1" x14ac:dyDescent="0.25">
      <c r="B1190" s="37" t="s">
        <v>1375</v>
      </c>
      <c r="C1190" s="26">
        <v>24</v>
      </c>
      <c r="D1190" s="38" t="s">
        <v>2695</v>
      </c>
      <c r="E1190" s="59"/>
      <c r="F1190" s="59" t="str">
        <f>IF(INDEX(I.Gas.P2bTotalGasEnergy,24)="","",INDEX(I.Gas.P2bTotalGasEnergy,24))</f>
        <v/>
      </c>
      <c r="G1190" s="59"/>
      <c r="H1190" s="26" t="str">
        <f>IF(I.Developer.P2b=FALSE,"Complete",IF(I.Product.P2bGasToPower="No","Complete",IF(AND(I.Gas.P2bCount&gt;=24,F1190=""),"Incomplete","Complete")))</f>
        <v>Complete</v>
      </c>
      <c r="I1190" s="39" t="s">
        <v>1399</v>
      </c>
    </row>
    <row r="1191" spans="2:9" ht="15" customHeight="1" x14ac:dyDescent="0.25">
      <c r="B1191" s="37" t="s">
        <v>1375</v>
      </c>
      <c r="C1191" s="26">
        <v>25</v>
      </c>
      <c r="D1191" s="38" t="s">
        <v>2695</v>
      </c>
      <c r="E1191" s="59"/>
      <c r="F1191" s="59" t="str">
        <f>IF(INDEX(I.Gas.P2bTotalGasEnergy,25)="","",INDEX(I.Gas.P2bTotalGasEnergy,25))</f>
        <v/>
      </c>
      <c r="G1191" s="59"/>
      <c r="H1191" s="26" t="str">
        <f>IF(I.Developer.P2b=FALSE,"Complete",IF(I.Product.P2bGasToPower="No","Complete",IF(AND(I.Gas.P2bCount&gt;=25,F1191=""),"Incomplete","Complete")))</f>
        <v>Complete</v>
      </c>
      <c r="I1191" s="39" t="s">
        <v>1400</v>
      </c>
    </row>
    <row r="1192" spans="2:9" ht="15" customHeight="1" x14ac:dyDescent="0.25">
      <c r="B1192" s="37" t="s">
        <v>1375</v>
      </c>
      <c r="C1192" s="26">
        <v>26</v>
      </c>
      <c r="D1192" s="38" t="s">
        <v>2695</v>
      </c>
      <c r="E1192" s="59"/>
      <c r="F1192" s="59" t="str">
        <f>IF(INDEX(I.Gas.P2bTotalGasEnergy,26)="","",INDEX(I.Gas.P2bTotalGasEnergy,26))</f>
        <v/>
      </c>
      <c r="G1192" s="59"/>
      <c r="H1192" s="26" t="str">
        <f>IF(I.Developer.P2b=FALSE,"Complete",IF(I.Product.P2bGasToPower="No","Complete",IF(AND(I.Gas.P2bCount&gt;=26,F1192=""),"Incomplete","Complete")))</f>
        <v>Complete</v>
      </c>
      <c r="I1192" s="39" t="s">
        <v>1401</v>
      </c>
    </row>
    <row r="1193" spans="2:9" ht="15" customHeight="1" x14ac:dyDescent="0.25">
      <c r="B1193" s="37" t="s">
        <v>1375</v>
      </c>
      <c r="C1193" s="26">
        <v>27</v>
      </c>
      <c r="D1193" s="38" t="s">
        <v>2695</v>
      </c>
      <c r="E1193" s="59"/>
      <c r="F1193" s="59" t="str">
        <f>IF(INDEX(I.Gas.P2bTotalGasEnergy,27)="","",INDEX(I.Gas.P2bTotalGasEnergy,27))</f>
        <v/>
      </c>
      <c r="G1193" s="59"/>
      <c r="H1193" s="26" t="str">
        <f>IF(I.Developer.P2b=FALSE,"Complete",IF(I.Product.P2bGasToPower="No","Complete",IF(AND(I.Gas.P2bCount&gt;=27,F1193=""),"Incomplete","Complete")))</f>
        <v>Complete</v>
      </c>
      <c r="I1193" s="39" t="s">
        <v>1402</v>
      </c>
    </row>
    <row r="1194" spans="2:9" ht="15" customHeight="1" x14ac:dyDescent="0.25">
      <c r="B1194" s="37" t="s">
        <v>1375</v>
      </c>
      <c r="C1194" s="26">
        <v>28</v>
      </c>
      <c r="D1194" s="38" t="s">
        <v>2695</v>
      </c>
      <c r="E1194" s="59"/>
      <c r="F1194" s="59" t="str">
        <f>IF(INDEX(I.Gas.P2bTotalGasEnergy,28)="","",INDEX(I.Gas.P2bTotalGasEnergy,28))</f>
        <v/>
      </c>
      <c r="G1194" s="59"/>
      <c r="H1194" s="26" t="str">
        <f>IF(I.Developer.P2b=FALSE,"Complete",IF(I.Product.P2bGasToPower="No","Complete",IF(AND(I.Gas.P2bCount&gt;=28,F1194=""),"Incomplete","Complete")))</f>
        <v>Complete</v>
      </c>
      <c r="I1194" s="39" t="s">
        <v>1403</v>
      </c>
    </row>
    <row r="1195" spans="2:9" ht="15" customHeight="1" x14ac:dyDescent="0.25">
      <c r="B1195" s="37" t="s">
        <v>1375</v>
      </c>
      <c r="C1195" s="26">
        <v>29</v>
      </c>
      <c r="D1195" s="38" t="s">
        <v>2695</v>
      </c>
      <c r="E1195" s="59"/>
      <c r="F1195" s="59" t="str">
        <f>IF(INDEX(I.Gas.P2bTotalGasEnergy,29)="","",INDEX(I.Gas.P2bTotalGasEnergy,29))</f>
        <v/>
      </c>
      <c r="G1195" s="59"/>
      <c r="H1195" s="26" t="str">
        <f>IF(I.Developer.P2b=FALSE,"Complete",IF(I.Product.P2bGasToPower="No","Complete",IF(AND(I.Gas.P2bCount&gt;=29,F1195=""),"Incomplete","Complete")))</f>
        <v>Complete</v>
      </c>
      <c r="I1195" s="39" t="s">
        <v>1404</v>
      </c>
    </row>
    <row r="1196" spans="2:9" ht="15" customHeight="1" x14ac:dyDescent="0.25">
      <c r="B1196" s="37" t="s">
        <v>1375</v>
      </c>
      <c r="C1196" s="26">
        <v>30</v>
      </c>
      <c r="D1196" s="38" t="s">
        <v>2695</v>
      </c>
      <c r="E1196" s="59"/>
      <c r="F1196" s="59" t="str">
        <f>IF(INDEX(I.Gas.P2bTotalGasEnergy,30)="","",INDEX(I.Gas.P2bTotalGasEnergy,30))</f>
        <v/>
      </c>
      <c r="G1196" s="59"/>
      <c r="H1196" s="26" t="str">
        <f>IF(I.Developer.P2b=FALSE,"Complete",IF(I.Product.P2bGasToPower="No","Complete",IF(AND(I.Gas.P2bCount&gt;=30,F1196=""),"Incomplete","Complete")))</f>
        <v>Complete</v>
      </c>
      <c r="I1196" s="39" t="s">
        <v>1405</v>
      </c>
    </row>
    <row r="1197" spans="2:9" ht="15" customHeight="1" x14ac:dyDescent="0.25">
      <c r="B1197" s="37" t="s">
        <v>1375</v>
      </c>
      <c r="C1197" s="26">
        <v>31</v>
      </c>
      <c r="D1197" s="38" t="s">
        <v>2695</v>
      </c>
      <c r="E1197" s="59"/>
      <c r="F1197" s="59" t="str">
        <f>IF(INDEX(I.Gas.P2bTotalGasEnergy,31)="","",INDEX(I.Gas.P2bTotalGasEnergy,31))</f>
        <v/>
      </c>
      <c r="G1197" s="59"/>
      <c r="H1197" s="26" t="str">
        <f>IF(I.Developer.P2b=FALSE,"Complete",IF(I.Product.P2bGasToPower="No","Complete",IF(AND(I.Gas.P2bCount&gt;=31,F1197=""),"Incomplete","Complete")))</f>
        <v>Complete</v>
      </c>
      <c r="I1197" s="39" t="s">
        <v>1406</v>
      </c>
    </row>
    <row r="1198" spans="2:9" ht="15" customHeight="1" x14ac:dyDescent="0.25">
      <c r="B1198" s="37" t="s">
        <v>1375</v>
      </c>
      <c r="C1198" s="26">
        <v>32</v>
      </c>
      <c r="D1198" s="38" t="s">
        <v>2695</v>
      </c>
      <c r="E1198" s="59"/>
      <c r="F1198" s="59" t="str">
        <f>IF(INDEX(I.Gas.P2bTotalGasEnergy,32)="","",INDEX(I.Gas.P2bTotalGasEnergy,32))</f>
        <v/>
      </c>
      <c r="G1198" s="59"/>
      <c r="H1198" s="26" t="str">
        <f>IF(I.Developer.P2b=FALSE,"Complete",IF(I.Product.P2bGasToPower="No","Complete",IF(AND(I.Gas.P2bCount&gt;=32,F1198=""),"Incomplete","Complete")))</f>
        <v>Complete</v>
      </c>
      <c r="I1198" s="39" t="s">
        <v>1407</v>
      </c>
    </row>
    <row r="1199" spans="2:9" ht="15" customHeight="1" x14ac:dyDescent="0.25">
      <c r="B1199" s="37" t="s">
        <v>1375</v>
      </c>
      <c r="C1199" s="26">
        <v>33</v>
      </c>
      <c r="D1199" s="38" t="s">
        <v>2695</v>
      </c>
      <c r="E1199" s="59"/>
      <c r="F1199" s="59" t="str">
        <f>IF(INDEX(I.Gas.P2bTotalGasEnergy,33)="","",INDEX(I.Gas.P2bTotalGasEnergy,33))</f>
        <v/>
      </c>
      <c r="G1199" s="59"/>
      <c r="H1199" s="26" t="str">
        <f>IF(I.Developer.P2b=FALSE,"Complete",IF(I.Product.P2bGasToPower="No","Complete",IF(AND(I.Gas.P2bCount&gt;=33,F1199=""),"Incomplete","Complete")))</f>
        <v>Complete</v>
      </c>
      <c r="I1199" s="39" t="s">
        <v>1408</v>
      </c>
    </row>
    <row r="1200" spans="2:9" ht="15" customHeight="1" x14ac:dyDescent="0.25">
      <c r="B1200" s="37" t="s">
        <v>1375</v>
      </c>
      <c r="C1200" s="26">
        <v>34</v>
      </c>
      <c r="D1200" s="38" t="s">
        <v>2695</v>
      </c>
      <c r="E1200" s="59"/>
      <c r="F1200" s="59" t="str">
        <f>IF(INDEX(I.Gas.P2bTotalGasEnergy,34)="","",INDEX(I.Gas.P2bTotalGasEnergy,34))</f>
        <v/>
      </c>
      <c r="G1200" s="59"/>
      <c r="H1200" s="26" t="str">
        <f>IF(I.Developer.P2b=FALSE,"Complete",IF(I.Product.P2bGasToPower="No","Complete",IF(AND(I.Gas.P2bCount&gt;=34,F1200=""),"Incomplete","Complete")))</f>
        <v>Complete</v>
      </c>
      <c r="I1200" s="39" t="s">
        <v>1409</v>
      </c>
    </row>
    <row r="1201" spans="2:9" ht="15" customHeight="1" x14ac:dyDescent="0.25">
      <c r="B1201" s="37" t="s">
        <v>1375</v>
      </c>
      <c r="C1201" s="26">
        <v>35</v>
      </c>
      <c r="D1201" s="38" t="s">
        <v>2695</v>
      </c>
      <c r="E1201" s="59"/>
      <c r="F1201" s="59" t="str">
        <f>IF(INDEX(I.Gas.P2bTotalGasEnergy,35)="","",INDEX(I.Gas.P2bTotalGasEnergy,35))</f>
        <v/>
      </c>
      <c r="G1201" s="59"/>
      <c r="H1201" s="26" t="str">
        <f>IF(I.Developer.P2b=FALSE,"Complete",IF(I.Product.P2bGasToPower="No","Complete",IF(AND(I.Gas.P2bCount&gt;=35,F1201=""),"Incomplete","Complete")))</f>
        <v>Complete</v>
      </c>
      <c r="I1201" s="39" t="s">
        <v>1410</v>
      </c>
    </row>
    <row r="1202" spans="2:9" ht="15" customHeight="1" x14ac:dyDescent="0.25">
      <c r="B1202" s="37" t="s">
        <v>1375</v>
      </c>
      <c r="C1202" s="26">
        <v>36</v>
      </c>
      <c r="D1202" s="38" t="s">
        <v>2695</v>
      </c>
      <c r="E1202" s="59"/>
      <c r="F1202" s="59" t="str">
        <f>IF(INDEX(I.Gas.P2bTotalGasEnergy,36)="","",INDEX(I.Gas.P2bTotalGasEnergy,36))</f>
        <v/>
      </c>
      <c r="G1202" s="59"/>
      <c r="H1202" s="26" t="str">
        <f>IF(I.Developer.P2b=FALSE,"Complete",IF(I.Product.P2bGasToPower="No","Complete",IF(AND(I.Gas.P2bCount&gt;=36,F1202=""),"Incomplete","Complete")))</f>
        <v>Complete</v>
      </c>
      <c r="I1202" s="39" t="s">
        <v>1411</v>
      </c>
    </row>
    <row r="1203" spans="2:9" ht="15" customHeight="1" x14ac:dyDescent="0.25">
      <c r="B1203" s="37" t="s">
        <v>1375</v>
      </c>
      <c r="C1203" s="26">
        <v>37</v>
      </c>
      <c r="D1203" s="38" t="s">
        <v>2695</v>
      </c>
      <c r="E1203" s="59"/>
      <c r="F1203" s="59" t="str">
        <f>IF(INDEX(I.Gas.P2bTotalGasEnergy,37)="","",INDEX(I.Gas.P2bTotalGasEnergy,37))</f>
        <v/>
      </c>
      <c r="G1203" s="59"/>
      <c r="H1203" s="26" t="str">
        <f>IF(I.Developer.P2b=FALSE,"Complete",IF(I.Product.P2bGasToPower="No","Complete",IF(AND(I.Gas.P2bCount&gt;=37,F1203=""),"Incomplete","Complete")))</f>
        <v>Complete</v>
      </c>
      <c r="I1203" s="39" t="s">
        <v>1412</v>
      </c>
    </row>
    <row r="1204" spans="2:9" ht="15" customHeight="1" x14ac:dyDescent="0.25">
      <c r="B1204" s="37" t="s">
        <v>1375</v>
      </c>
      <c r="C1204" s="26">
        <v>38</v>
      </c>
      <c r="D1204" s="38" t="s">
        <v>2695</v>
      </c>
      <c r="E1204" s="59"/>
      <c r="F1204" s="59" t="str">
        <f>IF(INDEX(I.Gas.P2bTotalGasEnergy,38)="","",INDEX(I.Gas.P2bTotalGasEnergy,38))</f>
        <v/>
      </c>
      <c r="G1204" s="59"/>
      <c r="H1204" s="26" t="str">
        <f>IF(I.Developer.P2b=FALSE,"Complete",IF(I.Product.P2bGasToPower="No","Complete",IF(AND(I.Gas.P2bCount&gt;=38,F1204=""),"Incomplete","Complete")))</f>
        <v>Complete</v>
      </c>
      <c r="I1204" s="39" t="s">
        <v>1413</v>
      </c>
    </row>
    <row r="1205" spans="2:9" ht="15" customHeight="1" x14ac:dyDescent="0.25">
      <c r="B1205" s="37" t="s">
        <v>1375</v>
      </c>
      <c r="C1205" s="26">
        <v>39</v>
      </c>
      <c r="D1205" s="38" t="s">
        <v>2695</v>
      </c>
      <c r="E1205" s="59"/>
      <c r="F1205" s="59" t="str">
        <f>IF(INDEX(I.Gas.P2bTotalGasEnergy,39)="","",INDEX(I.Gas.P2bTotalGasEnergy,39))</f>
        <v/>
      </c>
      <c r="G1205" s="59"/>
      <c r="H1205" s="26" t="str">
        <f>IF(I.Developer.P2b=FALSE,"Complete",IF(I.Product.P2bGasToPower="No","Complete",IF(AND(I.Gas.P2bCount&gt;=39,F1205=""),"Incomplete","Complete")))</f>
        <v>Complete</v>
      </c>
      <c r="I1205" s="39" t="s">
        <v>1414</v>
      </c>
    </row>
    <row r="1206" spans="2:9" ht="15" customHeight="1" x14ac:dyDescent="0.25">
      <c r="B1206" s="37" t="s">
        <v>1375</v>
      </c>
      <c r="C1206" s="26">
        <v>40</v>
      </c>
      <c r="D1206" s="38" t="s">
        <v>2695</v>
      </c>
      <c r="E1206" s="59"/>
      <c r="F1206" s="59" t="str">
        <f>IF(INDEX(I.Gas.P2bTotalGasEnergy,40)="","",INDEX(I.Gas.P2bTotalGasEnergy,40))</f>
        <v/>
      </c>
      <c r="G1206" s="59"/>
      <c r="H1206" s="26" t="str">
        <f>IF(I.Developer.P2b=FALSE,"Complete",IF(I.Product.P2bGasToPower="No","Complete",IF(AND(I.Gas.P2bCount&gt;=40,F1206=""),"Incomplete","Complete")))</f>
        <v>Complete</v>
      </c>
      <c r="I1206" s="39" t="s">
        <v>1415</v>
      </c>
    </row>
    <row r="1207" spans="2:9" ht="15" customHeight="1" x14ac:dyDescent="0.25">
      <c r="B1207" s="37" t="s">
        <v>1375</v>
      </c>
      <c r="C1207" s="26">
        <v>41</v>
      </c>
      <c r="D1207" s="38" t="s">
        <v>2695</v>
      </c>
      <c r="E1207" s="59"/>
      <c r="F1207" s="59" t="str">
        <f>IF(INDEX(I.Gas.P2bTotalGasEnergy,41)="","",INDEX(I.Gas.P2bTotalGasEnergy,41))</f>
        <v/>
      </c>
      <c r="G1207" s="59"/>
      <c r="H1207" s="26" t="str">
        <f>IF(I.Developer.P2b=FALSE,"Complete",IF(I.Product.P2bGasToPower="No","Complete",IF(AND(I.Gas.P2bCount&gt;=41,F1207=""),"Incomplete","Complete")))</f>
        <v>Complete</v>
      </c>
      <c r="I1207" s="39" t="s">
        <v>1416</v>
      </c>
    </row>
    <row r="1208" spans="2:9" ht="15" customHeight="1" x14ac:dyDescent="0.25">
      <c r="B1208" s="37" t="s">
        <v>1375</v>
      </c>
      <c r="C1208" s="26">
        <v>42</v>
      </c>
      <c r="D1208" s="38" t="s">
        <v>2695</v>
      </c>
      <c r="E1208" s="59"/>
      <c r="F1208" s="59" t="str">
        <f>IF(INDEX(I.Gas.P2bTotalGasEnergy,42)="","",INDEX(I.Gas.P2bTotalGasEnergy,42))</f>
        <v/>
      </c>
      <c r="G1208" s="59"/>
      <c r="H1208" s="26" t="str">
        <f>IF(I.Developer.P2b=FALSE,"Complete",IF(I.Product.P2bGasToPower="No","Complete",IF(AND(I.Gas.P2bCount&gt;=42,F1208=""),"Incomplete","Complete")))</f>
        <v>Complete</v>
      </c>
      <c r="I1208" s="39" t="s">
        <v>1417</v>
      </c>
    </row>
    <row r="1209" spans="2:9" ht="15" customHeight="1" x14ac:dyDescent="0.25">
      <c r="B1209" s="37" t="s">
        <v>1375</v>
      </c>
      <c r="C1209" s="26">
        <v>43</v>
      </c>
      <c r="D1209" s="38" t="s">
        <v>2695</v>
      </c>
      <c r="E1209" s="59"/>
      <c r="F1209" s="59" t="str">
        <f>IF(INDEX(I.Gas.P2bTotalGasEnergy,43)="","",INDEX(I.Gas.P2bTotalGasEnergy,43))</f>
        <v/>
      </c>
      <c r="G1209" s="59"/>
      <c r="H1209" s="26" t="str">
        <f>IF(I.Developer.P2b=FALSE,"Complete",IF(I.Product.P2bGasToPower="No","Complete",IF(AND(I.Gas.P2bCount&gt;=43,F1209=""),"Incomplete","Complete")))</f>
        <v>Complete</v>
      </c>
      <c r="I1209" s="39" t="s">
        <v>1418</v>
      </c>
    </row>
    <row r="1210" spans="2:9" ht="15" customHeight="1" x14ac:dyDescent="0.25">
      <c r="B1210" s="37" t="s">
        <v>1375</v>
      </c>
      <c r="C1210" s="26">
        <v>44</v>
      </c>
      <c r="D1210" s="38" t="s">
        <v>2695</v>
      </c>
      <c r="E1210" s="59"/>
      <c r="F1210" s="59" t="str">
        <f>IF(INDEX(I.Gas.P2bTotalGasEnergy,44)="","",INDEX(I.Gas.P2bTotalGasEnergy,44))</f>
        <v/>
      </c>
      <c r="G1210" s="59"/>
      <c r="H1210" s="26" t="str">
        <f>IF(I.Developer.P2b=FALSE,"Complete",IF(I.Product.P2bGasToPower="No","Complete",IF(AND(I.Gas.P2bCount&gt;=44,F1210=""),"Incomplete","Complete")))</f>
        <v>Complete</v>
      </c>
      <c r="I1210" s="39" t="s">
        <v>1419</v>
      </c>
    </row>
    <row r="1211" spans="2:9" ht="15" customHeight="1" x14ac:dyDescent="0.25">
      <c r="B1211" s="37" t="s">
        <v>1375</v>
      </c>
      <c r="C1211" s="26">
        <v>45</v>
      </c>
      <c r="D1211" s="38" t="s">
        <v>2695</v>
      </c>
      <c r="E1211" s="59"/>
      <c r="F1211" s="59" t="str">
        <f>IF(INDEX(I.Gas.P2bTotalGasEnergy,45)="","",INDEX(I.Gas.P2bTotalGasEnergy,45))</f>
        <v/>
      </c>
      <c r="G1211" s="59"/>
      <c r="H1211" s="26" t="str">
        <f>IF(I.Developer.P2b=FALSE,"Complete",IF(I.Product.P2bGasToPower="No","Complete",IF(AND(I.Gas.P2bCount&gt;=45,F1211=""),"Incomplete","Complete")))</f>
        <v>Complete</v>
      </c>
      <c r="I1211" s="39" t="s">
        <v>1420</v>
      </c>
    </row>
    <row r="1212" spans="2:9" ht="15" customHeight="1" x14ac:dyDescent="0.25">
      <c r="B1212" s="37" t="s">
        <v>1375</v>
      </c>
      <c r="C1212" s="26">
        <v>46</v>
      </c>
      <c r="D1212" s="38" t="s">
        <v>2695</v>
      </c>
      <c r="E1212" s="59"/>
      <c r="F1212" s="59" t="str">
        <f>IF(INDEX(I.Gas.P2bTotalGasEnergy,46)="","",INDEX(I.Gas.P2bTotalGasEnergy,46))</f>
        <v/>
      </c>
      <c r="G1212" s="59"/>
      <c r="H1212" s="26" t="str">
        <f>IF(I.Developer.P2b=FALSE,"Complete",IF(I.Product.P2bGasToPower="No","Complete",IF(AND(I.Gas.P2bCount&gt;=46,F1212=""),"Incomplete","Complete")))</f>
        <v>Complete</v>
      </c>
      <c r="I1212" s="39" t="s">
        <v>1421</v>
      </c>
    </row>
    <row r="1213" spans="2:9" ht="15" customHeight="1" x14ac:dyDescent="0.25">
      <c r="B1213" s="37" t="s">
        <v>1375</v>
      </c>
      <c r="C1213" s="26">
        <v>47</v>
      </c>
      <c r="D1213" s="38" t="s">
        <v>2695</v>
      </c>
      <c r="E1213" s="59"/>
      <c r="F1213" s="59" t="str">
        <f>IF(INDEX(I.Gas.P2bTotalGasEnergy,47)="","",INDEX(I.Gas.P2bTotalGasEnergy,47))</f>
        <v/>
      </c>
      <c r="G1213" s="59"/>
      <c r="H1213" s="26" t="str">
        <f>IF(I.Developer.P2b=FALSE,"Complete",IF(I.Product.P2bGasToPower="No","Complete",IF(AND(I.Gas.P2bCount&gt;=47,F1213=""),"Incomplete","Complete")))</f>
        <v>Complete</v>
      </c>
      <c r="I1213" s="39" t="s">
        <v>1422</v>
      </c>
    </row>
    <row r="1214" spans="2:9" ht="15" customHeight="1" x14ac:dyDescent="0.25">
      <c r="B1214" s="37" t="s">
        <v>1375</v>
      </c>
      <c r="C1214" s="26">
        <v>48</v>
      </c>
      <c r="D1214" s="38" t="s">
        <v>2695</v>
      </c>
      <c r="E1214" s="59"/>
      <c r="F1214" s="59" t="str">
        <f>IF(INDEX(I.Gas.P2bTotalGasEnergy,48)="","",INDEX(I.Gas.P2bTotalGasEnergy,48))</f>
        <v/>
      </c>
      <c r="G1214" s="59"/>
      <c r="H1214" s="26" t="str">
        <f>IF(I.Developer.P2b=FALSE,"Complete",IF(I.Product.P2bGasToPower="No","Complete",IF(AND(I.Gas.P2bCount&gt;=48,F1214=""),"Incomplete","Complete")))</f>
        <v>Complete</v>
      </c>
      <c r="I1214" s="39" t="s">
        <v>1423</v>
      </c>
    </row>
    <row r="1215" spans="2:9" ht="15" customHeight="1" x14ac:dyDescent="0.25">
      <c r="B1215" s="37" t="s">
        <v>1375</v>
      </c>
      <c r="C1215" s="26">
        <v>49</v>
      </c>
      <c r="D1215" s="38" t="s">
        <v>2695</v>
      </c>
      <c r="E1215" s="59"/>
      <c r="F1215" s="59" t="str">
        <f>IF(INDEX(I.Gas.P2bTotalGasEnergy,49)="","",INDEX(I.Gas.P2bTotalGasEnergy,49))</f>
        <v/>
      </c>
      <c r="G1215" s="59"/>
      <c r="H1215" s="26" t="str">
        <f>IF(I.Developer.P2b=FALSE,"Complete",IF(I.Product.P2bGasToPower="No","Complete",IF(AND(I.Gas.P2bCount&gt;=49,F1215=""),"Incomplete","Complete")))</f>
        <v>Complete</v>
      </c>
      <c r="I1215" s="39" t="s">
        <v>1424</v>
      </c>
    </row>
    <row r="1216" spans="2:9" ht="15" customHeight="1" x14ac:dyDescent="0.25">
      <c r="B1216" s="40" t="s">
        <v>1375</v>
      </c>
      <c r="C1216" s="46">
        <v>50</v>
      </c>
      <c r="D1216" s="44" t="s">
        <v>2695</v>
      </c>
      <c r="E1216" s="63"/>
      <c r="F1216" s="63" t="str">
        <f>IF(INDEX(I.Gas.P2bTotalGasEnergy,50)="","",INDEX(I.Gas.P2bTotalGasEnergy,50))</f>
        <v/>
      </c>
      <c r="G1216" s="63"/>
      <c r="H1216" s="46" t="str">
        <f>IF(I.Developer.P2b=FALSE,"Complete",IF(I.Product.P2bGasToPower="No","Complete",IF(AND(I.Gas.P2bCount&gt;=50,F1216=""),"Incomplete","Complete")))</f>
        <v>Complete</v>
      </c>
      <c r="I1216" s="47" t="s">
        <v>1425</v>
      </c>
    </row>
    <row r="1217" spans="2:9" ht="15" customHeight="1" x14ac:dyDescent="0.25">
      <c r="B1217" s="37" t="s">
        <v>1426</v>
      </c>
      <c r="C1217" s="26">
        <v>1</v>
      </c>
      <c r="D1217" s="38" t="s">
        <v>2696</v>
      </c>
      <c r="E1217" s="59"/>
      <c r="F1217" s="59" t="str">
        <f>IF(INDEX(I.Gas.P2bElectricityGeneration,1)="","",INDEX(I.Gas.P2bElectricityGeneration,1))</f>
        <v/>
      </c>
      <c r="G1217" s="59"/>
      <c r="H1217" s="26" t="str">
        <f>IF(I.Developer.P2b=FALSE,"Complete",IF(I.Product.P2bGasToPower="No","Complete",IF(AND(I.Gas.P2bCount&gt;=1,F1217=""),"Incomplete","Complete")))</f>
        <v>Complete</v>
      </c>
      <c r="I1217" s="39" t="s">
        <v>1427</v>
      </c>
    </row>
    <row r="1218" spans="2:9" ht="15" customHeight="1" x14ac:dyDescent="0.25">
      <c r="B1218" s="37" t="s">
        <v>1426</v>
      </c>
      <c r="C1218" s="26">
        <v>2</v>
      </c>
      <c r="D1218" s="38" t="s">
        <v>2696</v>
      </c>
      <c r="E1218" s="59"/>
      <c r="F1218" s="59" t="str">
        <f>IF(INDEX(I.Gas.P2bElectricityGeneration,2)="","",INDEX(I.Gas.P2bElectricityGeneration,2))</f>
        <v/>
      </c>
      <c r="G1218" s="59"/>
      <c r="H1218" s="26" t="str">
        <f>IF(I.Developer.P2b=FALSE,"Complete",IF(I.Product.P2bGasToPower="No","Complete",IF(AND(I.Gas.P2bCount&gt;=2,F1218=""),"Incomplete","Complete")))</f>
        <v>Complete</v>
      </c>
      <c r="I1218" s="39" t="s">
        <v>1428</v>
      </c>
    </row>
    <row r="1219" spans="2:9" ht="15" customHeight="1" x14ac:dyDescent="0.25">
      <c r="B1219" s="37" t="s">
        <v>1426</v>
      </c>
      <c r="C1219" s="26">
        <v>3</v>
      </c>
      <c r="D1219" s="38" t="s">
        <v>2696</v>
      </c>
      <c r="E1219" s="59"/>
      <c r="F1219" s="59" t="str">
        <f>IF(INDEX(I.Gas.P2bElectricityGeneration,3)="","",INDEX(I.Gas.P2bElectricityGeneration,3))</f>
        <v/>
      </c>
      <c r="G1219" s="59"/>
      <c r="H1219" s="26" t="str">
        <f>IF(I.Developer.P2b=FALSE,"Complete",IF(I.Product.P2bGasToPower="No","Complete",IF(AND(I.Gas.P2bCount&gt;=3,F1219=""),"Incomplete","Complete")))</f>
        <v>Complete</v>
      </c>
      <c r="I1219" s="39" t="s">
        <v>1429</v>
      </c>
    </row>
    <row r="1220" spans="2:9" ht="15" customHeight="1" x14ac:dyDescent="0.25">
      <c r="B1220" s="37" t="s">
        <v>1426</v>
      </c>
      <c r="C1220" s="26">
        <v>4</v>
      </c>
      <c r="D1220" s="38" t="s">
        <v>2696</v>
      </c>
      <c r="E1220" s="59"/>
      <c r="F1220" s="59" t="str">
        <f>IF(INDEX(I.Gas.P2bElectricityGeneration,4)="","",INDEX(I.Gas.P2bElectricityGeneration,4))</f>
        <v/>
      </c>
      <c r="G1220" s="59"/>
      <c r="H1220" s="26" t="str">
        <f>IF(I.Developer.P2b=FALSE,"Complete",IF(I.Product.P2bGasToPower="No","Complete",IF(AND(I.Gas.P2bCount&gt;=4,F1220=""),"Incomplete","Complete")))</f>
        <v>Complete</v>
      </c>
      <c r="I1220" s="39" t="s">
        <v>1430</v>
      </c>
    </row>
    <row r="1221" spans="2:9" ht="15" customHeight="1" x14ac:dyDescent="0.25">
      <c r="B1221" s="37" t="s">
        <v>1426</v>
      </c>
      <c r="C1221" s="26">
        <v>5</v>
      </c>
      <c r="D1221" s="38" t="s">
        <v>2696</v>
      </c>
      <c r="E1221" s="59"/>
      <c r="F1221" s="59" t="str">
        <f>IF(INDEX(I.Gas.P2bElectricityGeneration,5)="","",INDEX(I.Gas.P2bElectricityGeneration,5))</f>
        <v/>
      </c>
      <c r="G1221" s="59"/>
      <c r="H1221" s="26" t="str">
        <f>IF(I.Developer.P2b=FALSE,"Complete",IF(I.Product.P2bGasToPower="No","Complete",IF(AND(I.Gas.P2bCount&gt;=5,F1221=""),"Incomplete","Complete")))</f>
        <v>Complete</v>
      </c>
      <c r="I1221" s="39" t="s">
        <v>1431</v>
      </c>
    </row>
    <row r="1222" spans="2:9" ht="15" customHeight="1" x14ac:dyDescent="0.25">
      <c r="B1222" s="37" t="s">
        <v>1426</v>
      </c>
      <c r="C1222" s="26">
        <v>6</v>
      </c>
      <c r="D1222" s="38" t="s">
        <v>2696</v>
      </c>
      <c r="E1222" s="59"/>
      <c r="F1222" s="59" t="str">
        <f>IF(INDEX(I.Gas.P2bElectricityGeneration,6)="","",INDEX(I.Gas.P2bElectricityGeneration,6))</f>
        <v/>
      </c>
      <c r="G1222" s="59"/>
      <c r="H1222" s="26" t="str">
        <f>IF(I.Developer.P2b=FALSE,"Complete",IF(I.Product.P2bGasToPower="No","Complete",IF(AND(I.Gas.P2bCount&gt;=6,F1222=""),"Incomplete","Complete")))</f>
        <v>Complete</v>
      </c>
      <c r="I1222" s="39" t="s">
        <v>1432</v>
      </c>
    </row>
    <row r="1223" spans="2:9" ht="15" customHeight="1" x14ac:dyDescent="0.25">
      <c r="B1223" s="37" t="s">
        <v>1426</v>
      </c>
      <c r="C1223" s="26">
        <v>7</v>
      </c>
      <c r="D1223" s="38" t="s">
        <v>2696</v>
      </c>
      <c r="E1223" s="59"/>
      <c r="F1223" s="59" t="str">
        <f>IF(INDEX(I.Gas.P2bElectricityGeneration,7)="","",INDEX(I.Gas.P2bElectricityGeneration,7))</f>
        <v/>
      </c>
      <c r="G1223" s="59"/>
      <c r="H1223" s="26" t="str">
        <f>IF(I.Developer.P2b=FALSE,"Complete",IF(I.Product.P2bGasToPower="No","Complete",IF(AND(I.Gas.P2bCount&gt;=7,F1223=""),"Incomplete","Complete")))</f>
        <v>Complete</v>
      </c>
      <c r="I1223" s="39" t="s">
        <v>1433</v>
      </c>
    </row>
    <row r="1224" spans="2:9" ht="15" customHeight="1" x14ac:dyDescent="0.25">
      <c r="B1224" s="37" t="s">
        <v>1426</v>
      </c>
      <c r="C1224" s="26">
        <v>8</v>
      </c>
      <c r="D1224" s="38" t="s">
        <v>2696</v>
      </c>
      <c r="E1224" s="59"/>
      <c r="F1224" s="59" t="str">
        <f>IF(INDEX(I.Gas.P2bElectricityGeneration,8)="","",INDEX(I.Gas.P2bElectricityGeneration,8))</f>
        <v/>
      </c>
      <c r="G1224" s="59"/>
      <c r="H1224" s="26" t="str">
        <f>IF(I.Developer.P2b=FALSE,"Complete",IF(I.Product.P2bGasToPower="No","Complete",IF(AND(I.Gas.P2bCount&gt;=8,F1224=""),"Incomplete","Complete")))</f>
        <v>Complete</v>
      </c>
      <c r="I1224" s="39" t="s">
        <v>1434</v>
      </c>
    </row>
    <row r="1225" spans="2:9" ht="15" customHeight="1" x14ac:dyDescent="0.25">
      <c r="B1225" s="37" t="s">
        <v>1426</v>
      </c>
      <c r="C1225" s="26">
        <v>9</v>
      </c>
      <c r="D1225" s="38" t="s">
        <v>2696</v>
      </c>
      <c r="E1225" s="59"/>
      <c r="F1225" s="59" t="str">
        <f>IF(INDEX(I.Gas.P2bElectricityGeneration,9)="","",INDEX(I.Gas.P2bElectricityGeneration,9))</f>
        <v/>
      </c>
      <c r="G1225" s="59"/>
      <c r="H1225" s="26" t="str">
        <f>IF(I.Developer.P2b=FALSE,"Complete",IF(I.Product.P2bGasToPower="No","Complete",IF(AND(I.Gas.P2bCount&gt;=9,F1225=""),"Incomplete","Complete")))</f>
        <v>Complete</v>
      </c>
      <c r="I1225" s="39" t="s">
        <v>1435</v>
      </c>
    </row>
    <row r="1226" spans="2:9" ht="15" customHeight="1" x14ac:dyDescent="0.25">
      <c r="B1226" s="37" t="s">
        <v>1426</v>
      </c>
      <c r="C1226" s="26">
        <v>10</v>
      </c>
      <c r="D1226" s="38" t="s">
        <v>2696</v>
      </c>
      <c r="E1226" s="59"/>
      <c r="F1226" s="59" t="str">
        <f>IF(INDEX(I.Gas.P2bElectricityGeneration,10)="","",INDEX(I.Gas.P2bElectricityGeneration,10))</f>
        <v/>
      </c>
      <c r="G1226" s="59"/>
      <c r="H1226" s="26" t="str">
        <f>IF(I.Developer.P2b=FALSE,"Complete",IF(I.Product.P2bGasToPower="No","Complete",IF(AND(I.Gas.P2bCount&gt;=10,F1226=""),"Incomplete","Complete")))</f>
        <v>Complete</v>
      </c>
      <c r="I1226" s="39" t="s">
        <v>1436</v>
      </c>
    </row>
    <row r="1227" spans="2:9" ht="15" customHeight="1" x14ac:dyDescent="0.25">
      <c r="B1227" s="37" t="s">
        <v>1426</v>
      </c>
      <c r="C1227" s="26">
        <v>11</v>
      </c>
      <c r="D1227" s="38" t="s">
        <v>2696</v>
      </c>
      <c r="E1227" s="59"/>
      <c r="F1227" s="59" t="str">
        <f>IF(INDEX(I.Gas.P2bElectricityGeneration,11)="","",INDEX(I.Gas.P2bElectricityGeneration,11))</f>
        <v/>
      </c>
      <c r="G1227" s="59"/>
      <c r="H1227" s="26" t="str">
        <f>IF(I.Developer.P2b=FALSE,"Complete",IF(I.Product.P2bGasToPower="No","Complete",IF(AND(I.Gas.P2bCount&gt;=11,F1227=""),"Incomplete","Complete")))</f>
        <v>Complete</v>
      </c>
      <c r="I1227" s="39" t="s">
        <v>1437</v>
      </c>
    </row>
    <row r="1228" spans="2:9" ht="15" customHeight="1" x14ac:dyDescent="0.25">
      <c r="B1228" s="37" t="s">
        <v>1426</v>
      </c>
      <c r="C1228" s="26">
        <v>12</v>
      </c>
      <c r="D1228" s="38" t="s">
        <v>2696</v>
      </c>
      <c r="E1228" s="59"/>
      <c r="F1228" s="59" t="str">
        <f>IF(INDEX(I.Gas.P2bElectricityGeneration,12)="","",INDEX(I.Gas.P2bElectricityGeneration,12))</f>
        <v/>
      </c>
      <c r="G1228" s="59"/>
      <c r="H1228" s="26" t="str">
        <f>IF(I.Developer.P2b=FALSE,"Complete",IF(I.Product.P2bGasToPower="No","Complete",IF(AND(I.Gas.P2bCount&gt;=12,F1228=""),"Incomplete","Complete")))</f>
        <v>Complete</v>
      </c>
      <c r="I1228" s="39" t="s">
        <v>1438</v>
      </c>
    </row>
    <row r="1229" spans="2:9" ht="15" customHeight="1" x14ac:dyDescent="0.25">
      <c r="B1229" s="37" t="s">
        <v>1426</v>
      </c>
      <c r="C1229" s="26">
        <v>13</v>
      </c>
      <c r="D1229" s="38" t="s">
        <v>2696</v>
      </c>
      <c r="E1229" s="59"/>
      <c r="F1229" s="59" t="str">
        <f>IF(INDEX(I.Gas.P2bElectricityGeneration,13)="","",INDEX(I.Gas.P2bElectricityGeneration,13))</f>
        <v/>
      </c>
      <c r="G1229" s="59"/>
      <c r="H1229" s="26" t="str">
        <f>IF(I.Developer.P2b=FALSE,"Complete",IF(I.Product.P2bGasToPower="No","Complete",IF(AND(I.Gas.P2bCount&gt;=13,F1229=""),"Incomplete","Complete")))</f>
        <v>Complete</v>
      </c>
      <c r="I1229" s="39" t="s">
        <v>1439</v>
      </c>
    </row>
    <row r="1230" spans="2:9" ht="15" customHeight="1" x14ac:dyDescent="0.25">
      <c r="B1230" s="37" t="s">
        <v>1426</v>
      </c>
      <c r="C1230" s="26">
        <v>14</v>
      </c>
      <c r="D1230" s="38" t="s">
        <v>2696</v>
      </c>
      <c r="E1230" s="59"/>
      <c r="F1230" s="59" t="str">
        <f>IF(INDEX(I.Gas.P2bElectricityGeneration,14)="","",INDEX(I.Gas.P2bElectricityGeneration,14))</f>
        <v/>
      </c>
      <c r="G1230" s="59"/>
      <c r="H1230" s="26" t="str">
        <f>IF(I.Developer.P2b=FALSE,"Complete",IF(I.Product.P2bGasToPower="No","Complete",IF(AND(I.Gas.P2bCount&gt;=14,F1230=""),"Incomplete","Complete")))</f>
        <v>Complete</v>
      </c>
      <c r="I1230" s="39" t="s">
        <v>1440</v>
      </c>
    </row>
    <row r="1231" spans="2:9" ht="15" customHeight="1" x14ac:dyDescent="0.25">
      <c r="B1231" s="37" t="s">
        <v>1426</v>
      </c>
      <c r="C1231" s="26">
        <v>15</v>
      </c>
      <c r="D1231" s="38" t="s">
        <v>2696</v>
      </c>
      <c r="E1231" s="59"/>
      <c r="F1231" s="59" t="str">
        <f>IF(INDEX(I.Gas.P2bElectricityGeneration,15)="","",INDEX(I.Gas.P2bElectricityGeneration,15))</f>
        <v/>
      </c>
      <c r="G1231" s="59"/>
      <c r="H1231" s="26" t="str">
        <f>IF(I.Developer.P2b=FALSE,"Complete",IF(I.Product.P2bGasToPower="No","Complete",IF(AND(I.Gas.P2bCount&gt;=15,F1231=""),"Incomplete","Complete")))</f>
        <v>Complete</v>
      </c>
      <c r="I1231" s="39" t="s">
        <v>1441</v>
      </c>
    </row>
    <row r="1232" spans="2:9" ht="15" customHeight="1" x14ac:dyDescent="0.25">
      <c r="B1232" s="37" t="s">
        <v>1426</v>
      </c>
      <c r="C1232" s="26">
        <v>16</v>
      </c>
      <c r="D1232" s="38" t="s">
        <v>2696</v>
      </c>
      <c r="E1232" s="59"/>
      <c r="F1232" s="59" t="str">
        <f>IF(INDEX(I.Gas.P2bElectricityGeneration,16)="","",INDEX(I.Gas.P2bElectricityGeneration,16))</f>
        <v/>
      </c>
      <c r="G1232" s="59"/>
      <c r="H1232" s="26" t="str">
        <f>IF(I.Developer.P2b=FALSE,"Complete",IF(I.Product.P2bGasToPower="No","Complete",IF(AND(I.Gas.P2bCount&gt;=16,F1232=""),"Incomplete","Complete")))</f>
        <v>Complete</v>
      </c>
      <c r="I1232" s="39" t="s">
        <v>1442</v>
      </c>
    </row>
    <row r="1233" spans="2:9" ht="15" customHeight="1" x14ac:dyDescent="0.25">
      <c r="B1233" s="37" t="s">
        <v>1426</v>
      </c>
      <c r="C1233" s="26">
        <v>17</v>
      </c>
      <c r="D1233" s="38" t="s">
        <v>2696</v>
      </c>
      <c r="E1233" s="59"/>
      <c r="F1233" s="59" t="str">
        <f>IF(INDEX(I.Gas.P2bElectricityGeneration,17)="","",INDEX(I.Gas.P2bElectricityGeneration,17))</f>
        <v/>
      </c>
      <c r="G1233" s="59"/>
      <c r="H1233" s="26" t="str">
        <f>IF(I.Developer.P2b=FALSE,"Complete",IF(I.Product.P2bGasToPower="No","Complete",IF(AND(I.Gas.P2bCount&gt;=17,F1233=""),"Incomplete","Complete")))</f>
        <v>Complete</v>
      </c>
      <c r="I1233" s="39" t="s">
        <v>1443</v>
      </c>
    </row>
    <row r="1234" spans="2:9" ht="15" customHeight="1" x14ac:dyDescent="0.25">
      <c r="B1234" s="37" t="s">
        <v>1426</v>
      </c>
      <c r="C1234" s="26">
        <v>18</v>
      </c>
      <c r="D1234" s="38" t="s">
        <v>2696</v>
      </c>
      <c r="E1234" s="59"/>
      <c r="F1234" s="59" t="str">
        <f>IF(INDEX(I.Gas.P2bElectricityGeneration,18)="","",INDEX(I.Gas.P2bElectricityGeneration,18))</f>
        <v/>
      </c>
      <c r="G1234" s="59"/>
      <c r="H1234" s="26" t="str">
        <f>IF(I.Developer.P2b=FALSE,"Complete",IF(I.Product.P2bGasToPower="No","Complete",IF(AND(I.Gas.P2bCount&gt;=18,F1234=""),"Incomplete","Complete")))</f>
        <v>Complete</v>
      </c>
      <c r="I1234" s="39" t="s">
        <v>1444</v>
      </c>
    </row>
    <row r="1235" spans="2:9" ht="15" customHeight="1" x14ac:dyDescent="0.25">
      <c r="B1235" s="37" t="s">
        <v>1426</v>
      </c>
      <c r="C1235" s="26">
        <v>19</v>
      </c>
      <c r="D1235" s="38" t="s">
        <v>2696</v>
      </c>
      <c r="E1235" s="59"/>
      <c r="F1235" s="59" t="str">
        <f>IF(INDEX(I.Gas.P2bElectricityGeneration,19)="","",INDEX(I.Gas.P2bElectricityGeneration,19))</f>
        <v/>
      </c>
      <c r="G1235" s="59"/>
      <c r="H1235" s="26" t="str">
        <f>IF(I.Developer.P2b=FALSE,"Complete",IF(I.Product.P2bGasToPower="No","Complete",IF(AND(I.Gas.P2bCount&gt;=19,F1235=""),"Incomplete","Complete")))</f>
        <v>Complete</v>
      </c>
      <c r="I1235" s="39" t="s">
        <v>1445</v>
      </c>
    </row>
    <row r="1236" spans="2:9" ht="15" customHeight="1" x14ac:dyDescent="0.25">
      <c r="B1236" s="37" t="s">
        <v>1426</v>
      </c>
      <c r="C1236" s="26">
        <v>20</v>
      </c>
      <c r="D1236" s="38" t="s">
        <v>2696</v>
      </c>
      <c r="E1236" s="59"/>
      <c r="F1236" s="59" t="str">
        <f>IF(INDEX(I.Gas.P2bElectricityGeneration,20)="","",INDEX(I.Gas.P2bElectricityGeneration,20))</f>
        <v/>
      </c>
      <c r="G1236" s="59"/>
      <c r="H1236" s="26" t="str">
        <f>IF(I.Developer.P2b=FALSE,"Complete",IF(I.Product.P2bGasToPower="No","Complete",IF(AND(I.Gas.P2bCount&gt;=20,F1236=""),"Incomplete","Complete")))</f>
        <v>Complete</v>
      </c>
      <c r="I1236" s="39" t="s">
        <v>1446</v>
      </c>
    </row>
    <row r="1237" spans="2:9" ht="15" customHeight="1" x14ac:dyDescent="0.25">
      <c r="B1237" s="37" t="s">
        <v>1426</v>
      </c>
      <c r="C1237" s="26">
        <v>21</v>
      </c>
      <c r="D1237" s="38" t="s">
        <v>2696</v>
      </c>
      <c r="E1237" s="59"/>
      <c r="F1237" s="59" t="str">
        <f>IF(INDEX(I.Gas.P2bElectricityGeneration,21)="","",INDEX(I.Gas.P2bElectricityGeneration,21))</f>
        <v/>
      </c>
      <c r="G1237" s="59"/>
      <c r="H1237" s="26" t="str">
        <f>IF(I.Developer.P2b=FALSE,"Complete",IF(I.Product.P2bGasToPower="No","Complete",IF(AND(I.Gas.P2bCount&gt;=21,F1237=""),"Incomplete","Complete")))</f>
        <v>Complete</v>
      </c>
      <c r="I1237" s="39" t="s">
        <v>1447</v>
      </c>
    </row>
    <row r="1238" spans="2:9" ht="15" customHeight="1" x14ac:dyDescent="0.25">
      <c r="B1238" s="37" t="s">
        <v>1426</v>
      </c>
      <c r="C1238" s="26">
        <v>22</v>
      </c>
      <c r="D1238" s="38" t="s">
        <v>2696</v>
      </c>
      <c r="E1238" s="59"/>
      <c r="F1238" s="59" t="str">
        <f>IF(INDEX(I.Gas.P2bElectricityGeneration,22)="","",INDEX(I.Gas.P2bElectricityGeneration,22))</f>
        <v/>
      </c>
      <c r="G1238" s="59"/>
      <c r="H1238" s="26" t="str">
        <f>IF(I.Developer.P2b=FALSE,"Complete",IF(I.Product.P2bGasToPower="No","Complete",IF(AND(I.Gas.P2bCount&gt;=22,F1238=""),"Incomplete","Complete")))</f>
        <v>Complete</v>
      </c>
      <c r="I1238" s="39" t="s">
        <v>1448</v>
      </c>
    </row>
    <row r="1239" spans="2:9" ht="15" customHeight="1" x14ac:dyDescent="0.25">
      <c r="B1239" s="37" t="s">
        <v>1426</v>
      </c>
      <c r="C1239" s="26">
        <v>23</v>
      </c>
      <c r="D1239" s="38" t="s">
        <v>2696</v>
      </c>
      <c r="E1239" s="59"/>
      <c r="F1239" s="59" t="str">
        <f>IF(INDEX(I.Gas.P2bElectricityGeneration,23)="","",INDEX(I.Gas.P2bElectricityGeneration,23))</f>
        <v/>
      </c>
      <c r="G1239" s="59"/>
      <c r="H1239" s="26" t="str">
        <f>IF(I.Developer.P2b=FALSE,"Complete",IF(I.Product.P2bGasToPower="No","Complete",IF(AND(I.Gas.P2bCount&gt;=23,F1239=""),"Incomplete","Complete")))</f>
        <v>Complete</v>
      </c>
      <c r="I1239" s="39" t="s">
        <v>1449</v>
      </c>
    </row>
    <row r="1240" spans="2:9" ht="15" customHeight="1" x14ac:dyDescent="0.25">
      <c r="B1240" s="37" t="s">
        <v>1426</v>
      </c>
      <c r="C1240" s="26">
        <v>24</v>
      </c>
      <c r="D1240" s="38" t="s">
        <v>2696</v>
      </c>
      <c r="E1240" s="59"/>
      <c r="F1240" s="59" t="str">
        <f>IF(INDEX(I.Gas.P2bElectricityGeneration,24)="","",INDEX(I.Gas.P2bElectricityGeneration,24))</f>
        <v/>
      </c>
      <c r="G1240" s="59"/>
      <c r="H1240" s="26" t="str">
        <f>IF(I.Developer.P2b=FALSE,"Complete",IF(I.Product.P2bGasToPower="No","Complete",IF(AND(I.Gas.P2bCount&gt;=24,F1240=""),"Incomplete","Complete")))</f>
        <v>Complete</v>
      </c>
      <c r="I1240" s="39" t="s">
        <v>1450</v>
      </c>
    </row>
    <row r="1241" spans="2:9" ht="15" customHeight="1" x14ac:dyDescent="0.25">
      <c r="B1241" s="37" t="s">
        <v>1426</v>
      </c>
      <c r="C1241" s="26">
        <v>25</v>
      </c>
      <c r="D1241" s="38" t="s">
        <v>2696</v>
      </c>
      <c r="E1241" s="59"/>
      <c r="F1241" s="59" t="str">
        <f>IF(INDEX(I.Gas.P2bElectricityGeneration,25)="","",INDEX(I.Gas.P2bElectricityGeneration,25))</f>
        <v/>
      </c>
      <c r="G1241" s="59"/>
      <c r="H1241" s="26" t="str">
        <f>IF(I.Developer.P2b=FALSE,"Complete",IF(I.Product.P2bGasToPower="No","Complete",IF(AND(I.Gas.P2bCount&gt;=25,F1241=""),"Incomplete","Complete")))</f>
        <v>Complete</v>
      </c>
      <c r="I1241" s="39" t="s">
        <v>1451</v>
      </c>
    </row>
    <row r="1242" spans="2:9" ht="15" customHeight="1" x14ac:dyDescent="0.25">
      <c r="B1242" s="37" t="s">
        <v>1426</v>
      </c>
      <c r="C1242" s="26">
        <v>26</v>
      </c>
      <c r="D1242" s="38" t="s">
        <v>2696</v>
      </c>
      <c r="E1242" s="59"/>
      <c r="F1242" s="59" t="str">
        <f>IF(INDEX(I.Gas.P2bElectricityGeneration,26)="","",INDEX(I.Gas.P2bElectricityGeneration,26))</f>
        <v/>
      </c>
      <c r="G1242" s="59"/>
      <c r="H1242" s="26" t="str">
        <f>IF(I.Developer.P2b=FALSE,"Complete",IF(I.Product.P2bGasToPower="No","Complete",IF(AND(I.Gas.P2bCount&gt;=26,F1242=""),"Incomplete","Complete")))</f>
        <v>Complete</v>
      </c>
      <c r="I1242" s="39" t="s">
        <v>1452</v>
      </c>
    </row>
    <row r="1243" spans="2:9" ht="15" customHeight="1" x14ac:dyDescent="0.25">
      <c r="B1243" s="37" t="s">
        <v>1426</v>
      </c>
      <c r="C1243" s="26">
        <v>27</v>
      </c>
      <c r="D1243" s="38" t="s">
        <v>2696</v>
      </c>
      <c r="E1243" s="59"/>
      <c r="F1243" s="59" t="str">
        <f>IF(INDEX(I.Gas.P2bElectricityGeneration,27)="","",INDEX(I.Gas.P2bElectricityGeneration,27))</f>
        <v/>
      </c>
      <c r="G1243" s="59"/>
      <c r="H1243" s="26" t="str">
        <f>IF(I.Developer.P2b=FALSE,"Complete",IF(I.Product.P2bGasToPower="No","Complete",IF(AND(I.Gas.P2bCount&gt;=27,F1243=""),"Incomplete","Complete")))</f>
        <v>Complete</v>
      </c>
      <c r="I1243" s="39" t="s">
        <v>1453</v>
      </c>
    </row>
    <row r="1244" spans="2:9" ht="15" customHeight="1" x14ac:dyDescent="0.25">
      <c r="B1244" s="37" t="s">
        <v>1426</v>
      </c>
      <c r="C1244" s="26">
        <v>28</v>
      </c>
      <c r="D1244" s="38" t="s">
        <v>2696</v>
      </c>
      <c r="E1244" s="59"/>
      <c r="F1244" s="59" t="str">
        <f>IF(INDEX(I.Gas.P2bElectricityGeneration,28)="","",INDEX(I.Gas.P2bElectricityGeneration,28))</f>
        <v/>
      </c>
      <c r="G1244" s="59"/>
      <c r="H1244" s="26" t="str">
        <f>IF(I.Developer.P2b=FALSE,"Complete",IF(I.Product.P2bGasToPower="No","Complete",IF(AND(I.Gas.P2bCount&gt;=28,F1244=""),"Incomplete","Complete")))</f>
        <v>Complete</v>
      </c>
      <c r="I1244" s="39" t="s">
        <v>1454</v>
      </c>
    </row>
    <row r="1245" spans="2:9" ht="15" customHeight="1" x14ac:dyDescent="0.25">
      <c r="B1245" s="37" t="s">
        <v>1426</v>
      </c>
      <c r="C1245" s="26">
        <v>29</v>
      </c>
      <c r="D1245" s="38" t="s">
        <v>2696</v>
      </c>
      <c r="E1245" s="59"/>
      <c r="F1245" s="59" t="str">
        <f>IF(INDEX(I.Gas.P2bElectricityGeneration,29)="","",INDEX(I.Gas.P2bElectricityGeneration,29))</f>
        <v/>
      </c>
      <c r="G1245" s="59"/>
      <c r="H1245" s="26" t="str">
        <f>IF(I.Developer.P2b=FALSE,"Complete",IF(I.Product.P2bGasToPower="No","Complete",IF(AND(I.Gas.P2bCount&gt;=29,F1245=""),"Incomplete","Complete")))</f>
        <v>Complete</v>
      </c>
      <c r="I1245" s="39" t="s">
        <v>1455</v>
      </c>
    </row>
    <row r="1246" spans="2:9" ht="15" customHeight="1" x14ac:dyDescent="0.25">
      <c r="B1246" s="37" t="s">
        <v>1426</v>
      </c>
      <c r="C1246" s="26">
        <v>30</v>
      </c>
      <c r="D1246" s="38" t="s">
        <v>2696</v>
      </c>
      <c r="E1246" s="59"/>
      <c r="F1246" s="59" t="str">
        <f>IF(INDEX(I.Gas.P2bElectricityGeneration,30)="","",INDEX(I.Gas.P2bElectricityGeneration,30))</f>
        <v/>
      </c>
      <c r="G1246" s="59"/>
      <c r="H1246" s="26" t="str">
        <f>IF(I.Developer.P2b=FALSE,"Complete",IF(I.Product.P2bGasToPower="No","Complete",IF(AND(I.Gas.P2bCount&gt;=30,F1246=""),"Incomplete","Complete")))</f>
        <v>Complete</v>
      </c>
      <c r="I1246" s="39" t="s">
        <v>1456</v>
      </c>
    </row>
    <row r="1247" spans="2:9" ht="15" customHeight="1" x14ac:dyDescent="0.25">
      <c r="B1247" s="37" t="s">
        <v>1426</v>
      </c>
      <c r="C1247" s="26">
        <v>31</v>
      </c>
      <c r="D1247" s="38" t="s">
        <v>2696</v>
      </c>
      <c r="E1247" s="59"/>
      <c r="F1247" s="59" t="str">
        <f>IF(INDEX(I.Gas.P2bElectricityGeneration,31)="","",INDEX(I.Gas.P2bElectricityGeneration,31))</f>
        <v/>
      </c>
      <c r="G1247" s="59"/>
      <c r="H1247" s="26" t="str">
        <f>IF(I.Developer.P2b=FALSE,"Complete",IF(I.Product.P2bGasToPower="No","Complete",IF(AND(I.Gas.P2bCount&gt;=31,F1247=""),"Incomplete","Complete")))</f>
        <v>Complete</v>
      </c>
      <c r="I1247" s="39" t="s">
        <v>1457</v>
      </c>
    </row>
    <row r="1248" spans="2:9" ht="15" customHeight="1" x14ac:dyDescent="0.25">
      <c r="B1248" s="37" t="s">
        <v>1426</v>
      </c>
      <c r="C1248" s="26">
        <v>32</v>
      </c>
      <c r="D1248" s="38" t="s">
        <v>2696</v>
      </c>
      <c r="E1248" s="59"/>
      <c r="F1248" s="59" t="str">
        <f>IF(INDEX(I.Gas.P2bElectricityGeneration,32)="","",INDEX(I.Gas.P2bElectricityGeneration,32))</f>
        <v/>
      </c>
      <c r="G1248" s="59"/>
      <c r="H1248" s="26" t="str">
        <f>IF(I.Developer.P2b=FALSE,"Complete",IF(I.Product.P2bGasToPower="No","Complete",IF(AND(I.Gas.P2bCount&gt;=32,F1248=""),"Incomplete","Complete")))</f>
        <v>Complete</v>
      </c>
      <c r="I1248" s="39" t="s">
        <v>1458</v>
      </c>
    </row>
    <row r="1249" spans="2:9" ht="15" customHeight="1" x14ac:dyDescent="0.25">
      <c r="B1249" s="37" t="s">
        <v>1426</v>
      </c>
      <c r="C1249" s="26">
        <v>33</v>
      </c>
      <c r="D1249" s="38" t="s">
        <v>2696</v>
      </c>
      <c r="E1249" s="59"/>
      <c r="F1249" s="59" t="str">
        <f>IF(INDEX(I.Gas.P2bElectricityGeneration,33)="","",INDEX(I.Gas.P2bElectricityGeneration,33))</f>
        <v/>
      </c>
      <c r="G1249" s="59"/>
      <c r="H1249" s="26" t="str">
        <f>IF(I.Developer.P2b=FALSE,"Complete",IF(I.Product.P2bGasToPower="No","Complete",IF(AND(I.Gas.P2bCount&gt;=33,F1249=""),"Incomplete","Complete")))</f>
        <v>Complete</v>
      </c>
      <c r="I1249" s="39" t="s">
        <v>1459</v>
      </c>
    </row>
    <row r="1250" spans="2:9" ht="15" customHeight="1" x14ac:dyDescent="0.25">
      <c r="B1250" s="37" t="s">
        <v>1426</v>
      </c>
      <c r="C1250" s="26">
        <v>34</v>
      </c>
      <c r="D1250" s="38" t="s">
        <v>2696</v>
      </c>
      <c r="E1250" s="59"/>
      <c r="F1250" s="59" t="str">
        <f>IF(INDEX(I.Gas.P2bElectricityGeneration,34)="","",INDEX(I.Gas.P2bElectricityGeneration,34))</f>
        <v/>
      </c>
      <c r="G1250" s="59"/>
      <c r="H1250" s="26" t="str">
        <f>IF(I.Developer.P2b=FALSE,"Complete",IF(I.Product.P2bGasToPower="No","Complete",IF(AND(I.Gas.P2bCount&gt;=34,F1250=""),"Incomplete","Complete")))</f>
        <v>Complete</v>
      </c>
      <c r="I1250" s="39" t="s">
        <v>1460</v>
      </c>
    </row>
    <row r="1251" spans="2:9" ht="15" customHeight="1" x14ac:dyDescent="0.25">
      <c r="B1251" s="37" t="s">
        <v>1426</v>
      </c>
      <c r="C1251" s="26">
        <v>35</v>
      </c>
      <c r="D1251" s="38" t="s">
        <v>2696</v>
      </c>
      <c r="E1251" s="59"/>
      <c r="F1251" s="59" t="str">
        <f>IF(INDEX(I.Gas.P2bElectricityGeneration,35)="","",INDEX(I.Gas.P2bElectricityGeneration,35))</f>
        <v/>
      </c>
      <c r="G1251" s="59"/>
      <c r="H1251" s="26" t="str">
        <f>IF(I.Developer.P2b=FALSE,"Complete",IF(I.Product.P2bGasToPower="No","Complete",IF(AND(I.Gas.P2bCount&gt;=35,F1251=""),"Incomplete","Complete")))</f>
        <v>Complete</v>
      </c>
      <c r="I1251" s="39" t="s">
        <v>1461</v>
      </c>
    </row>
    <row r="1252" spans="2:9" ht="15" customHeight="1" x14ac:dyDescent="0.25">
      <c r="B1252" s="37" t="s">
        <v>1426</v>
      </c>
      <c r="C1252" s="26">
        <v>36</v>
      </c>
      <c r="D1252" s="38" t="s">
        <v>2696</v>
      </c>
      <c r="E1252" s="59"/>
      <c r="F1252" s="59" t="str">
        <f>IF(INDEX(I.Gas.P2bElectricityGeneration,36)="","",INDEX(I.Gas.P2bElectricityGeneration,36))</f>
        <v/>
      </c>
      <c r="G1252" s="59"/>
      <c r="H1252" s="26" t="str">
        <f>IF(I.Developer.P2b=FALSE,"Complete",IF(I.Product.P2bGasToPower="No","Complete",IF(AND(I.Gas.P2bCount&gt;=36,F1252=""),"Incomplete","Complete")))</f>
        <v>Complete</v>
      </c>
      <c r="I1252" s="39" t="s">
        <v>1462</v>
      </c>
    </row>
    <row r="1253" spans="2:9" ht="15" customHeight="1" x14ac:dyDescent="0.25">
      <c r="B1253" s="37" t="s">
        <v>1426</v>
      </c>
      <c r="C1253" s="26">
        <v>37</v>
      </c>
      <c r="D1253" s="38" t="s">
        <v>2696</v>
      </c>
      <c r="E1253" s="59"/>
      <c r="F1253" s="59" t="str">
        <f>IF(INDEX(I.Gas.P2bElectricityGeneration,37)="","",INDEX(I.Gas.P2bElectricityGeneration,37))</f>
        <v/>
      </c>
      <c r="G1253" s="59"/>
      <c r="H1253" s="26" t="str">
        <f>IF(I.Developer.P2b=FALSE,"Complete",IF(I.Product.P2bGasToPower="No","Complete",IF(AND(I.Gas.P2bCount&gt;=37,F1253=""),"Incomplete","Complete")))</f>
        <v>Complete</v>
      </c>
      <c r="I1253" s="39" t="s">
        <v>1463</v>
      </c>
    </row>
    <row r="1254" spans="2:9" ht="15" customHeight="1" x14ac:dyDescent="0.25">
      <c r="B1254" s="37" t="s">
        <v>1426</v>
      </c>
      <c r="C1254" s="26">
        <v>38</v>
      </c>
      <c r="D1254" s="38" t="s">
        <v>2696</v>
      </c>
      <c r="E1254" s="59"/>
      <c r="F1254" s="59" t="str">
        <f>IF(INDEX(I.Gas.P2bElectricityGeneration,38)="","",INDEX(I.Gas.P2bElectricityGeneration,38))</f>
        <v/>
      </c>
      <c r="G1254" s="59"/>
      <c r="H1254" s="26" t="str">
        <f>IF(I.Developer.P2b=FALSE,"Complete",IF(I.Product.P2bGasToPower="No","Complete",IF(AND(I.Gas.P2bCount&gt;=38,F1254=""),"Incomplete","Complete")))</f>
        <v>Complete</v>
      </c>
      <c r="I1254" s="39" t="s">
        <v>1464</v>
      </c>
    </row>
    <row r="1255" spans="2:9" ht="15" customHeight="1" x14ac:dyDescent="0.25">
      <c r="B1255" s="37" t="s">
        <v>1426</v>
      </c>
      <c r="C1255" s="26">
        <v>39</v>
      </c>
      <c r="D1255" s="38" t="s">
        <v>2696</v>
      </c>
      <c r="E1255" s="59"/>
      <c r="F1255" s="59" t="str">
        <f>IF(INDEX(I.Gas.P2bElectricityGeneration,39)="","",INDEX(I.Gas.P2bElectricityGeneration,39))</f>
        <v/>
      </c>
      <c r="G1255" s="59"/>
      <c r="H1255" s="26" t="str">
        <f>IF(I.Developer.P2b=FALSE,"Complete",IF(I.Product.P2bGasToPower="No","Complete",IF(AND(I.Gas.P2bCount&gt;=39,F1255=""),"Incomplete","Complete")))</f>
        <v>Complete</v>
      </c>
      <c r="I1255" s="39" t="s">
        <v>1465</v>
      </c>
    </row>
    <row r="1256" spans="2:9" ht="15" customHeight="1" x14ac:dyDescent="0.25">
      <c r="B1256" s="37" t="s">
        <v>1426</v>
      </c>
      <c r="C1256" s="26">
        <v>40</v>
      </c>
      <c r="D1256" s="38" t="s">
        <v>2696</v>
      </c>
      <c r="E1256" s="59"/>
      <c r="F1256" s="59" t="str">
        <f>IF(INDEX(I.Gas.P2bElectricityGeneration,40)="","",INDEX(I.Gas.P2bElectricityGeneration,40))</f>
        <v/>
      </c>
      <c r="G1256" s="59"/>
      <c r="H1256" s="26" t="str">
        <f>IF(I.Developer.P2b=FALSE,"Complete",IF(I.Product.P2bGasToPower="No","Complete",IF(AND(I.Gas.P2bCount&gt;=40,F1256=""),"Incomplete","Complete")))</f>
        <v>Complete</v>
      </c>
      <c r="I1256" s="39" t="s">
        <v>1466</v>
      </c>
    </row>
    <row r="1257" spans="2:9" ht="15" customHeight="1" x14ac:dyDescent="0.25">
      <c r="B1257" s="37" t="s">
        <v>1426</v>
      </c>
      <c r="C1257" s="26">
        <v>41</v>
      </c>
      <c r="D1257" s="38" t="s">
        <v>2696</v>
      </c>
      <c r="E1257" s="59"/>
      <c r="F1257" s="59" t="str">
        <f>IF(INDEX(I.Gas.P2bElectricityGeneration,41)="","",INDEX(I.Gas.P2bElectricityGeneration,41))</f>
        <v/>
      </c>
      <c r="G1257" s="59"/>
      <c r="H1257" s="26" t="str">
        <f>IF(I.Developer.P2b=FALSE,"Complete",IF(I.Product.P2bGasToPower="No","Complete",IF(AND(I.Gas.P2bCount&gt;=41,F1257=""),"Incomplete","Complete")))</f>
        <v>Complete</v>
      </c>
      <c r="I1257" s="39" t="s">
        <v>1467</v>
      </c>
    </row>
    <row r="1258" spans="2:9" ht="15" customHeight="1" x14ac:dyDescent="0.25">
      <c r="B1258" s="37" t="s">
        <v>1426</v>
      </c>
      <c r="C1258" s="26">
        <v>42</v>
      </c>
      <c r="D1258" s="38" t="s">
        <v>2696</v>
      </c>
      <c r="E1258" s="59"/>
      <c r="F1258" s="59" t="str">
        <f>IF(INDEX(I.Gas.P2bElectricityGeneration,42)="","",INDEX(I.Gas.P2bElectricityGeneration,42))</f>
        <v/>
      </c>
      <c r="G1258" s="59"/>
      <c r="H1258" s="26" t="str">
        <f>IF(I.Developer.P2b=FALSE,"Complete",IF(I.Product.P2bGasToPower="No","Complete",IF(AND(I.Gas.P2bCount&gt;=42,F1258=""),"Incomplete","Complete")))</f>
        <v>Complete</v>
      </c>
      <c r="I1258" s="39" t="s">
        <v>1468</v>
      </c>
    </row>
    <row r="1259" spans="2:9" ht="15" customHeight="1" x14ac:dyDescent="0.25">
      <c r="B1259" s="37" t="s">
        <v>1426</v>
      </c>
      <c r="C1259" s="26">
        <v>43</v>
      </c>
      <c r="D1259" s="38" t="s">
        <v>2696</v>
      </c>
      <c r="E1259" s="59"/>
      <c r="F1259" s="59" t="str">
        <f>IF(INDEX(I.Gas.P2bElectricityGeneration,43)="","",INDEX(I.Gas.P2bElectricityGeneration,43))</f>
        <v/>
      </c>
      <c r="G1259" s="59"/>
      <c r="H1259" s="26" t="str">
        <f>IF(I.Developer.P2b=FALSE,"Complete",IF(I.Product.P2bGasToPower="No","Complete",IF(AND(I.Gas.P2bCount&gt;=43,F1259=""),"Incomplete","Complete")))</f>
        <v>Complete</v>
      </c>
      <c r="I1259" s="39" t="s">
        <v>1469</v>
      </c>
    </row>
    <row r="1260" spans="2:9" ht="15" customHeight="1" x14ac:dyDescent="0.25">
      <c r="B1260" s="37" t="s">
        <v>1426</v>
      </c>
      <c r="C1260" s="26">
        <v>44</v>
      </c>
      <c r="D1260" s="38" t="s">
        <v>2696</v>
      </c>
      <c r="E1260" s="59"/>
      <c r="F1260" s="59" t="str">
        <f>IF(INDEX(I.Gas.P2bElectricityGeneration,44)="","",INDEX(I.Gas.P2bElectricityGeneration,44))</f>
        <v/>
      </c>
      <c r="G1260" s="59"/>
      <c r="H1260" s="26" t="str">
        <f>IF(I.Developer.P2b=FALSE,"Complete",IF(I.Product.P2bGasToPower="No","Complete",IF(AND(I.Gas.P2bCount&gt;=44,F1260=""),"Incomplete","Complete")))</f>
        <v>Complete</v>
      </c>
      <c r="I1260" s="39" t="s">
        <v>1470</v>
      </c>
    </row>
    <row r="1261" spans="2:9" ht="15" customHeight="1" x14ac:dyDescent="0.25">
      <c r="B1261" s="37" t="s">
        <v>1426</v>
      </c>
      <c r="C1261" s="26">
        <v>45</v>
      </c>
      <c r="D1261" s="38" t="s">
        <v>2696</v>
      </c>
      <c r="E1261" s="59"/>
      <c r="F1261" s="59" t="str">
        <f>IF(INDEX(I.Gas.P2bElectricityGeneration,45)="","",INDEX(I.Gas.P2bElectricityGeneration,45))</f>
        <v/>
      </c>
      <c r="G1261" s="59"/>
      <c r="H1261" s="26" t="str">
        <f>IF(I.Developer.P2b=FALSE,"Complete",IF(I.Product.P2bGasToPower="No","Complete",IF(AND(I.Gas.P2bCount&gt;=45,F1261=""),"Incomplete","Complete")))</f>
        <v>Complete</v>
      </c>
      <c r="I1261" s="39" t="s">
        <v>1471</v>
      </c>
    </row>
    <row r="1262" spans="2:9" ht="15" customHeight="1" x14ac:dyDescent="0.25">
      <c r="B1262" s="37" t="s">
        <v>1426</v>
      </c>
      <c r="C1262" s="26">
        <v>46</v>
      </c>
      <c r="D1262" s="38" t="s">
        <v>2696</v>
      </c>
      <c r="E1262" s="59"/>
      <c r="F1262" s="59" t="str">
        <f>IF(INDEX(I.Gas.P2bElectricityGeneration,46)="","",INDEX(I.Gas.P2bElectricityGeneration,46))</f>
        <v/>
      </c>
      <c r="G1262" s="59"/>
      <c r="H1262" s="26" t="str">
        <f>IF(I.Developer.P2b=FALSE,"Complete",IF(I.Product.P2bGasToPower="No","Complete",IF(AND(I.Gas.P2bCount&gt;=46,F1262=""),"Incomplete","Complete")))</f>
        <v>Complete</v>
      </c>
      <c r="I1262" s="39" t="s">
        <v>1472</v>
      </c>
    </row>
    <row r="1263" spans="2:9" ht="15" customHeight="1" x14ac:dyDescent="0.25">
      <c r="B1263" s="37" t="s">
        <v>1426</v>
      </c>
      <c r="C1263" s="26">
        <v>47</v>
      </c>
      <c r="D1263" s="38" t="s">
        <v>2696</v>
      </c>
      <c r="E1263" s="59"/>
      <c r="F1263" s="59" t="str">
        <f>IF(INDEX(I.Gas.P2bElectricityGeneration,47)="","",INDEX(I.Gas.P2bElectricityGeneration,47))</f>
        <v/>
      </c>
      <c r="G1263" s="59"/>
      <c r="H1263" s="26" t="str">
        <f>IF(I.Developer.P2b=FALSE,"Complete",IF(I.Product.P2bGasToPower="No","Complete",IF(AND(I.Gas.P2bCount&gt;=47,F1263=""),"Incomplete","Complete")))</f>
        <v>Complete</v>
      </c>
      <c r="I1263" s="39" t="s">
        <v>1473</v>
      </c>
    </row>
    <row r="1264" spans="2:9" ht="15" customHeight="1" x14ac:dyDescent="0.25">
      <c r="B1264" s="37" t="s">
        <v>1426</v>
      </c>
      <c r="C1264" s="26">
        <v>48</v>
      </c>
      <c r="D1264" s="38" t="s">
        <v>2696</v>
      </c>
      <c r="E1264" s="59"/>
      <c r="F1264" s="59" t="str">
        <f>IF(INDEX(I.Gas.P2bElectricityGeneration,48)="","",INDEX(I.Gas.P2bElectricityGeneration,48))</f>
        <v/>
      </c>
      <c r="G1264" s="59"/>
      <c r="H1264" s="26" t="str">
        <f>IF(I.Developer.P2b=FALSE,"Complete",IF(I.Product.P2bGasToPower="No","Complete",IF(AND(I.Gas.P2bCount&gt;=48,F1264=""),"Incomplete","Complete")))</f>
        <v>Complete</v>
      </c>
      <c r="I1264" s="39" t="s">
        <v>1474</v>
      </c>
    </row>
    <row r="1265" spans="2:9" ht="15" customHeight="1" x14ac:dyDescent="0.25">
      <c r="B1265" s="37" t="s">
        <v>1426</v>
      </c>
      <c r="C1265" s="26">
        <v>49</v>
      </c>
      <c r="D1265" s="38" t="s">
        <v>2696</v>
      </c>
      <c r="E1265" s="59"/>
      <c r="F1265" s="59" t="str">
        <f>IF(INDEX(I.Gas.P2bElectricityGeneration,49)="","",INDEX(I.Gas.P2bElectricityGeneration,49))</f>
        <v/>
      </c>
      <c r="G1265" s="59"/>
      <c r="H1265" s="26" t="str">
        <f>IF(I.Developer.P2b=FALSE,"Complete",IF(I.Product.P2bGasToPower="No","Complete",IF(AND(I.Gas.P2bCount&gt;=49,F1265=""),"Incomplete","Complete")))</f>
        <v>Complete</v>
      </c>
      <c r="I1265" s="39" t="s">
        <v>1475</v>
      </c>
    </row>
    <row r="1266" spans="2:9" ht="15" customHeight="1" x14ac:dyDescent="0.25">
      <c r="B1266" s="40" t="s">
        <v>1426</v>
      </c>
      <c r="C1266" s="46">
        <v>50</v>
      </c>
      <c r="D1266" s="44" t="s">
        <v>2696</v>
      </c>
      <c r="E1266" s="63"/>
      <c r="F1266" s="63" t="str">
        <f>IF(INDEX(I.Gas.P2bElectricityGeneration,50)="","",INDEX(I.Gas.P2bElectricityGeneration,50))</f>
        <v/>
      </c>
      <c r="G1266" s="63"/>
      <c r="H1266" s="46" t="str">
        <f>IF(I.Developer.P2b=FALSE,"Complete",IF(I.Product.P2bGasToPower="No","Complete",IF(AND(I.Gas.P2bCount&gt;=50,F1266=""),"Incomplete","Complete")))</f>
        <v>Complete</v>
      </c>
      <c r="I1266" s="47" t="s">
        <v>1476</v>
      </c>
    </row>
    <row r="1267" spans="2:9" ht="15" customHeight="1" x14ac:dyDescent="0.25">
      <c r="B1267" s="37" t="s">
        <v>1477</v>
      </c>
      <c r="C1267" s="26">
        <v>1</v>
      </c>
      <c r="D1267" s="38" t="s">
        <v>2697</v>
      </c>
      <c r="E1267" s="59"/>
      <c r="F1267" s="59" t="str">
        <f>IF(INDEX(I.Gas.P2bC1V1,1)="","",INDEX(I.Gas.P2bC1V1,1))</f>
        <v/>
      </c>
      <c r="G1267" s="59"/>
      <c r="H1267" s="26" t="str">
        <f>IF(OR(I.Developer.P2b=FALSE,I.Facility.StandardPart&lt;&gt;"Part 2"),"Complete",IF(I.Product.P2bGasToPower="No","Complete",IF(AND(I.Gas.P2bCount&gt;=1,F1267=""),"Incomplete","Complete")))</f>
        <v>Complete</v>
      </c>
      <c r="I1267" s="39" t="s">
        <v>1478</v>
      </c>
    </row>
    <row r="1268" spans="2:9" ht="15" customHeight="1" x14ac:dyDescent="0.25">
      <c r="B1268" s="37" t="s">
        <v>1477</v>
      </c>
      <c r="C1268" s="26">
        <v>2</v>
      </c>
      <c r="D1268" s="38" t="s">
        <v>2697</v>
      </c>
      <c r="E1268" s="59"/>
      <c r="F1268" s="59" t="str">
        <f>IF(INDEX(I.Gas.P2bC1V1,2)="","",INDEX(I.Gas.P2bC1V1,2))</f>
        <v/>
      </c>
      <c r="G1268" s="59"/>
      <c r="H1268" s="26" t="str">
        <f>IF(OR(I.Developer.P2b=FALSE,I.Facility.StandardPart&lt;&gt;"Part 2"),"Complete",IF(I.Product.P2bGasToPower="No","Complete",IF(AND(I.Gas.P2bCount&gt;=2,F1268=""),"Incomplete","Complete")))</f>
        <v>Complete</v>
      </c>
      <c r="I1268" s="39" t="s">
        <v>1479</v>
      </c>
    </row>
    <row r="1269" spans="2:9" ht="15" customHeight="1" x14ac:dyDescent="0.25">
      <c r="B1269" s="37" t="s">
        <v>1477</v>
      </c>
      <c r="C1269" s="26">
        <v>3</v>
      </c>
      <c r="D1269" s="38" t="s">
        <v>2697</v>
      </c>
      <c r="E1269" s="59"/>
      <c r="F1269" s="59" t="str">
        <f>IF(INDEX(I.Gas.P2bC1V1,3)="","",INDEX(I.Gas.P2bC1V1,3))</f>
        <v/>
      </c>
      <c r="G1269" s="59"/>
      <c r="H1269" s="26" t="str">
        <f>IF(OR(I.Developer.P2b=FALSE,I.Facility.StandardPart&lt;&gt;"Part 2"),"Complete",IF(I.Product.P2bGasToPower="No","Complete",IF(AND(I.Gas.P2bCount&gt;=3,F1269=""),"Incomplete","Complete")))</f>
        <v>Complete</v>
      </c>
      <c r="I1269" s="39" t="s">
        <v>1480</v>
      </c>
    </row>
    <row r="1270" spans="2:9" ht="15" customHeight="1" x14ac:dyDescent="0.25">
      <c r="B1270" s="37" t="s">
        <v>1477</v>
      </c>
      <c r="C1270" s="26">
        <v>4</v>
      </c>
      <c r="D1270" s="38" t="s">
        <v>2697</v>
      </c>
      <c r="E1270" s="59"/>
      <c r="F1270" s="59" t="str">
        <f>IF(INDEX(I.Gas.P2bC1V1,4)="","",INDEX(I.Gas.P2bC1V1,4))</f>
        <v/>
      </c>
      <c r="G1270" s="59"/>
      <c r="H1270" s="26" t="str">
        <f>IF(OR(I.Developer.P2b=FALSE,I.Facility.StandardPart&lt;&gt;"Part 2"),"Complete",IF(I.Product.P2bGasToPower="No","Complete",IF(AND(I.Gas.P2bCount&gt;=4,F1270=""),"Incomplete","Complete")))</f>
        <v>Complete</v>
      </c>
      <c r="I1270" s="39" t="s">
        <v>1481</v>
      </c>
    </row>
    <row r="1271" spans="2:9" ht="15" customHeight="1" x14ac:dyDescent="0.25">
      <c r="B1271" s="37" t="s">
        <v>1477</v>
      </c>
      <c r="C1271" s="26">
        <v>5</v>
      </c>
      <c r="D1271" s="38" t="s">
        <v>2697</v>
      </c>
      <c r="E1271" s="59"/>
      <c r="F1271" s="59" t="str">
        <f>IF(INDEX(I.Gas.P2bC1V1,5)="","",INDEX(I.Gas.P2bC1V1,5))</f>
        <v/>
      </c>
      <c r="G1271" s="59"/>
      <c r="H1271" s="26" t="str">
        <f>IF(OR(I.Developer.P2b=FALSE,I.Facility.StandardPart&lt;&gt;"Part 2"),"Complete",IF(I.Product.P2bGasToPower="No","Complete",IF(AND(I.Gas.P2bCount&gt;=5,F1271=""),"Incomplete","Complete")))</f>
        <v>Complete</v>
      </c>
      <c r="I1271" s="39" t="s">
        <v>1482</v>
      </c>
    </row>
    <row r="1272" spans="2:9" ht="15" customHeight="1" x14ac:dyDescent="0.25">
      <c r="B1272" s="37" t="s">
        <v>1477</v>
      </c>
      <c r="C1272" s="26">
        <v>6</v>
      </c>
      <c r="D1272" s="38" t="s">
        <v>2697</v>
      </c>
      <c r="E1272" s="59"/>
      <c r="F1272" s="59" t="str">
        <f>IF(INDEX(I.Gas.P2bC1V1,6)="","",INDEX(I.Gas.P2bC1V1,6))</f>
        <v/>
      </c>
      <c r="G1272" s="59"/>
      <c r="H1272" s="26" t="str">
        <f>IF(OR(I.Developer.P2b=FALSE,I.Facility.StandardPart&lt;&gt;"Part 2"),"Complete",IF(I.Product.P2bGasToPower="No","Complete",IF(AND(I.Gas.P2bCount&gt;=6,F1272=""),"Incomplete","Complete")))</f>
        <v>Complete</v>
      </c>
      <c r="I1272" s="39" t="s">
        <v>1483</v>
      </c>
    </row>
    <row r="1273" spans="2:9" ht="15" customHeight="1" x14ac:dyDescent="0.25">
      <c r="B1273" s="37" t="s">
        <v>1477</v>
      </c>
      <c r="C1273" s="26">
        <v>7</v>
      </c>
      <c r="D1273" s="38" t="s">
        <v>2697</v>
      </c>
      <c r="E1273" s="59"/>
      <c r="F1273" s="59" t="str">
        <f>IF(INDEX(I.Gas.P2bC1V1,7)="","",INDEX(I.Gas.P2bC1V1,7))</f>
        <v/>
      </c>
      <c r="G1273" s="59"/>
      <c r="H1273" s="26" t="str">
        <f>IF(OR(I.Developer.P2b=FALSE,I.Facility.StandardPart&lt;&gt;"Part 2"),"Complete",IF(I.Product.P2bGasToPower="No","Complete",IF(AND(I.Gas.P2bCount&gt;=7,F1273=""),"Incomplete","Complete")))</f>
        <v>Complete</v>
      </c>
      <c r="I1273" s="39" t="s">
        <v>1484</v>
      </c>
    </row>
    <row r="1274" spans="2:9" ht="15" customHeight="1" x14ac:dyDescent="0.25">
      <c r="B1274" s="37" t="s">
        <v>1477</v>
      </c>
      <c r="C1274" s="26">
        <v>8</v>
      </c>
      <c r="D1274" s="38" t="s">
        <v>2697</v>
      </c>
      <c r="E1274" s="59"/>
      <c r="F1274" s="59" t="str">
        <f>IF(INDEX(I.Gas.P2bC1V1,8)="","",INDEX(I.Gas.P2bC1V1,8))</f>
        <v/>
      </c>
      <c r="G1274" s="59"/>
      <c r="H1274" s="26" t="str">
        <f>IF(OR(I.Developer.P2b=FALSE,I.Facility.StandardPart&lt;&gt;"Part 2"),"Complete",IF(I.Product.P2bGasToPower="No","Complete",IF(AND(I.Gas.P2bCount&gt;=8,F1274=""),"Incomplete","Complete")))</f>
        <v>Complete</v>
      </c>
      <c r="I1274" s="39" t="s">
        <v>1485</v>
      </c>
    </row>
    <row r="1275" spans="2:9" ht="15" customHeight="1" x14ac:dyDescent="0.25">
      <c r="B1275" s="37" t="s">
        <v>1477</v>
      </c>
      <c r="C1275" s="26">
        <v>9</v>
      </c>
      <c r="D1275" s="38" t="s">
        <v>2697</v>
      </c>
      <c r="E1275" s="59"/>
      <c r="F1275" s="59" t="str">
        <f>IF(INDEX(I.Gas.P2bC1V1,9)="","",INDEX(I.Gas.P2bC1V1,9))</f>
        <v/>
      </c>
      <c r="G1275" s="59"/>
      <c r="H1275" s="26" t="str">
        <f>IF(OR(I.Developer.P2b=FALSE,I.Facility.StandardPart&lt;&gt;"Part 2"),"Complete",IF(I.Product.P2bGasToPower="No","Complete",IF(AND(I.Gas.P2bCount&gt;=9,F1275=""),"Incomplete","Complete")))</f>
        <v>Complete</v>
      </c>
      <c r="I1275" s="39" t="s">
        <v>1486</v>
      </c>
    </row>
    <row r="1276" spans="2:9" ht="15" customHeight="1" x14ac:dyDescent="0.25">
      <c r="B1276" s="37" t="s">
        <v>1477</v>
      </c>
      <c r="C1276" s="26">
        <v>10</v>
      </c>
      <c r="D1276" s="38" t="s">
        <v>2697</v>
      </c>
      <c r="E1276" s="59"/>
      <c r="F1276" s="59" t="str">
        <f>IF(INDEX(I.Gas.P2bC1V1,10)="","",INDEX(I.Gas.P2bC1V1,10))</f>
        <v/>
      </c>
      <c r="G1276" s="59"/>
      <c r="H1276" s="26" t="str">
        <f>IF(OR(I.Developer.P2b=FALSE,I.Facility.StandardPart&lt;&gt;"Part 2"),"Complete",IF(I.Product.P2bGasToPower="No","Complete",IF(AND(I.Gas.P2bCount&gt;=10,F1276=""),"Incomplete","Complete")))</f>
        <v>Complete</v>
      </c>
      <c r="I1276" s="39" t="s">
        <v>1487</v>
      </c>
    </row>
    <row r="1277" spans="2:9" ht="15" customHeight="1" x14ac:dyDescent="0.25">
      <c r="B1277" s="37" t="s">
        <v>1477</v>
      </c>
      <c r="C1277" s="26">
        <v>11</v>
      </c>
      <c r="D1277" s="38" t="s">
        <v>2697</v>
      </c>
      <c r="E1277" s="59"/>
      <c r="F1277" s="59" t="str">
        <f>IF(INDEX(I.Gas.P2bC1V1,11)="","",INDEX(I.Gas.P2bC1V1,11))</f>
        <v/>
      </c>
      <c r="G1277" s="59"/>
      <c r="H1277" s="26" t="str">
        <f>IF(OR(I.Developer.P2b=FALSE,I.Facility.StandardPart&lt;&gt;"Part 2"),"Complete",IF(I.Product.P2bGasToPower="No","Complete",IF(AND(I.Gas.P2bCount&gt;=11,F1277=""),"Incomplete","Complete")))</f>
        <v>Complete</v>
      </c>
      <c r="I1277" s="39" t="s">
        <v>1488</v>
      </c>
    </row>
    <row r="1278" spans="2:9" ht="15" customHeight="1" x14ac:dyDescent="0.25">
      <c r="B1278" s="37" t="s">
        <v>1477</v>
      </c>
      <c r="C1278" s="26">
        <v>12</v>
      </c>
      <c r="D1278" s="38" t="s">
        <v>2697</v>
      </c>
      <c r="E1278" s="59"/>
      <c r="F1278" s="59" t="str">
        <f>IF(INDEX(I.Gas.P2bC1V1,12)="","",INDEX(I.Gas.P2bC1V1,12))</f>
        <v/>
      </c>
      <c r="G1278" s="59"/>
      <c r="H1278" s="26" t="str">
        <f>IF(OR(I.Developer.P2b=FALSE,I.Facility.StandardPart&lt;&gt;"Part 2"),"Complete",IF(I.Product.P2bGasToPower="No","Complete",IF(AND(I.Gas.P2bCount&gt;=12,F1278=""),"Incomplete","Complete")))</f>
        <v>Complete</v>
      </c>
      <c r="I1278" s="39" t="s">
        <v>1489</v>
      </c>
    </row>
    <row r="1279" spans="2:9" ht="15" customHeight="1" x14ac:dyDescent="0.25">
      <c r="B1279" s="37" t="s">
        <v>1477</v>
      </c>
      <c r="C1279" s="26">
        <v>13</v>
      </c>
      <c r="D1279" s="38" t="s">
        <v>2697</v>
      </c>
      <c r="E1279" s="59"/>
      <c r="F1279" s="59" t="str">
        <f>IF(INDEX(I.Gas.P2bC1V1,13)="","",INDEX(I.Gas.P2bC1V1,13))</f>
        <v/>
      </c>
      <c r="G1279" s="59"/>
      <c r="H1279" s="26" t="str">
        <f>IF(OR(I.Developer.P2b=FALSE,I.Facility.StandardPart&lt;&gt;"Part 2"),"Complete",IF(I.Product.P2bGasToPower="No","Complete",IF(AND(I.Gas.P2bCount&gt;=13,F1279=""),"Incomplete","Complete")))</f>
        <v>Complete</v>
      </c>
      <c r="I1279" s="39" t="s">
        <v>1490</v>
      </c>
    </row>
    <row r="1280" spans="2:9" ht="15" customHeight="1" x14ac:dyDescent="0.25">
      <c r="B1280" s="37" t="s">
        <v>1477</v>
      </c>
      <c r="C1280" s="26">
        <v>14</v>
      </c>
      <c r="D1280" s="38" t="s">
        <v>2697</v>
      </c>
      <c r="E1280" s="59"/>
      <c r="F1280" s="59" t="str">
        <f>IF(INDEX(I.Gas.P2bC1V1,14)="","",INDEX(I.Gas.P2bC1V1,14))</f>
        <v/>
      </c>
      <c r="G1280" s="59"/>
      <c r="H1280" s="26" t="str">
        <f>IF(OR(I.Developer.P2b=FALSE,I.Facility.StandardPart&lt;&gt;"Part 2"),"Complete",IF(I.Product.P2bGasToPower="No","Complete",IF(AND(I.Gas.P2bCount&gt;=14,F1280=""),"Incomplete","Complete")))</f>
        <v>Complete</v>
      </c>
      <c r="I1280" s="39" t="s">
        <v>1491</v>
      </c>
    </row>
    <row r="1281" spans="2:9" ht="15" customHeight="1" x14ac:dyDescent="0.25">
      <c r="B1281" s="37" t="s">
        <v>1477</v>
      </c>
      <c r="C1281" s="26">
        <v>15</v>
      </c>
      <c r="D1281" s="38" t="s">
        <v>2697</v>
      </c>
      <c r="E1281" s="59"/>
      <c r="F1281" s="59" t="str">
        <f>IF(INDEX(I.Gas.P2bC1V1,15)="","",INDEX(I.Gas.P2bC1V1,15))</f>
        <v/>
      </c>
      <c r="G1281" s="59"/>
      <c r="H1281" s="26" t="str">
        <f>IF(OR(I.Developer.P2b=FALSE,I.Facility.StandardPart&lt;&gt;"Part 2"),"Complete",IF(I.Product.P2bGasToPower="No","Complete",IF(AND(I.Gas.P2bCount&gt;=15,F1281=""),"Incomplete","Complete")))</f>
        <v>Complete</v>
      </c>
      <c r="I1281" s="39" t="s">
        <v>1492</v>
      </c>
    </row>
    <row r="1282" spans="2:9" ht="15" customHeight="1" x14ac:dyDescent="0.25">
      <c r="B1282" s="37" t="s">
        <v>1477</v>
      </c>
      <c r="C1282" s="26">
        <v>16</v>
      </c>
      <c r="D1282" s="38" t="s">
        <v>2697</v>
      </c>
      <c r="E1282" s="59"/>
      <c r="F1282" s="59" t="str">
        <f>IF(INDEX(I.Gas.P2bC1V1,16)="","",INDEX(I.Gas.P2bC1V1,16))</f>
        <v/>
      </c>
      <c r="G1282" s="59"/>
      <c r="H1282" s="26" t="str">
        <f>IF(OR(I.Developer.P2b=FALSE,I.Facility.StandardPart&lt;&gt;"Part 2"),"Complete",IF(I.Product.P2bGasToPower="No","Complete",IF(AND(I.Gas.P2bCount&gt;=16,F1282=""),"Incomplete","Complete")))</f>
        <v>Complete</v>
      </c>
      <c r="I1282" s="39" t="s">
        <v>1493</v>
      </c>
    </row>
    <row r="1283" spans="2:9" ht="15" customHeight="1" x14ac:dyDescent="0.25">
      <c r="B1283" s="37" t="s">
        <v>1477</v>
      </c>
      <c r="C1283" s="26">
        <v>17</v>
      </c>
      <c r="D1283" s="38" t="s">
        <v>2697</v>
      </c>
      <c r="E1283" s="59"/>
      <c r="F1283" s="59" t="str">
        <f>IF(INDEX(I.Gas.P2bC1V1,17)="","",INDEX(I.Gas.P2bC1V1,17))</f>
        <v/>
      </c>
      <c r="G1283" s="59"/>
      <c r="H1283" s="26" t="str">
        <f>IF(OR(I.Developer.P2b=FALSE,I.Facility.StandardPart&lt;&gt;"Part 2"),"Complete",IF(I.Product.P2bGasToPower="No","Complete",IF(AND(I.Gas.P2bCount&gt;=17,F1283=""),"Incomplete","Complete")))</f>
        <v>Complete</v>
      </c>
      <c r="I1283" s="39" t="s">
        <v>1494</v>
      </c>
    </row>
    <row r="1284" spans="2:9" ht="15" customHeight="1" x14ac:dyDescent="0.25">
      <c r="B1284" s="37" t="s">
        <v>1477</v>
      </c>
      <c r="C1284" s="26">
        <v>18</v>
      </c>
      <c r="D1284" s="38" t="s">
        <v>2697</v>
      </c>
      <c r="E1284" s="59"/>
      <c r="F1284" s="59" t="str">
        <f>IF(INDEX(I.Gas.P2bC1V1,18)="","",INDEX(I.Gas.P2bC1V1,18))</f>
        <v/>
      </c>
      <c r="G1284" s="59"/>
      <c r="H1284" s="26" t="str">
        <f>IF(OR(I.Developer.P2b=FALSE,I.Facility.StandardPart&lt;&gt;"Part 2"),"Complete",IF(I.Product.P2bGasToPower="No","Complete",IF(AND(I.Gas.P2bCount&gt;=18,F1284=""),"Incomplete","Complete")))</f>
        <v>Complete</v>
      </c>
      <c r="I1284" s="39" t="s">
        <v>1495</v>
      </c>
    </row>
    <row r="1285" spans="2:9" ht="15" customHeight="1" x14ac:dyDescent="0.25">
      <c r="B1285" s="37" t="s">
        <v>1477</v>
      </c>
      <c r="C1285" s="26">
        <v>19</v>
      </c>
      <c r="D1285" s="38" t="s">
        <v>2697</v>
      </c>
      <c r="E1285" s="59"/>
      <c r="F1285" s="59" t="str">
        <f>IF(INDEX(I.Gas.P2bC1V1,19)="","",INDEX(I.Gas.P2bC1V1,19))</f>
        <v/>
      </c>
      <c r="G1285" s="59"/>
      <c r="H1285" s="26" t="str">
        <f>IF(OR(I.Developer.P2b=FALSE,I.Facility.StandardPart&lt;&gt;"Part 2"),"Complete",IF(I.Product.P2bGasToPower="No","Complete",IF(AND(I.Gas.P2bCount&gt;=19,F1285=""),"Incomplete","Complete")))</f>
        <v>Complete</v>
      </c>
      <c r="I1285" s="39" t="s">
        <v>1496</v>
      </c>
    </row>
    <row r="1286" spans="2:9" ht="15" customHeight="1" x14ac:dyDescent="0.25">
      <c r="B1286" s="37" t="s">
        <v>1477</v>
      </c>
      <c r="C1286" s="26">
        <v>20</v>
      </c>
      <c r="D1286" s="38" t="s">
        <v>2697</v>
      </c>
      <c r="E1286" s="59"/>
      <c r="F1286" s="59" t="str">
        <f>IF(INDEX(I.Gas.P2bC1V1,20)="","",INDEX(I.Gas.P2bC1V1,20))</f>
        <v/>
      </c>
      <c r="G1286" s="59"/>
      <c r="H1286" s="26" t="str">
        <f>IF(OR(I.Developer.P2b=FALSE,I.Facility.StandardPart&lt;&gt;"Part 2"),"Complete",IF(I.Product.P2bGasToPower="No","Complete",IF(AND(I.Gas.P2bCount&gt;=20,F1286=""),"Incomplete","Complete")))</f>
        <v>Complete</v>
      </c>
      <c r="I1286" s="39" t="s">
        <v>1497</v>
      </c>
    </row>
    <row r="1287" spans="2:9" ht="15" customHeight="1" x14ac:dyDescent="0.25">
      <c r="B1287" s="37" t="s">
        <v>1477</v>
      </c>
      <c r="C1287" s="26">
        <v>21</v>
      </c>
      <c r="D1287" s="38" t="s">
        <v>2697</v>
      </c>
      <c r="E1287" s="59"/>
      <c r="F1287" s="59" t="str">
        <f>IF(INDEX(I.Gas.P2bC1V1,21)="","",INDEX(I.Gas.P2bC1V1,21))</f>
        <v/>
      </c>
      <c r="G1287" s="59"/>
      <c r="H1287" s="26" t="str">
        <f>IF(OR(I.Developer.P2b=FALSE,I.Facility.StandardPart&lt;&gt;"Part 2"),"Complete",IF(I.Product.P2bGasToPower="No","Complete",IF(AND(I.Gas.P2bCount&gt;=21,F1287=""),"Incomplete","Complete")))</f>
        <v>Complete</v>
      </c>
      <c r="I1287" s="39" t="s">
        <v>1498</v>
      </c>
    </row>
    <row r="1288" spans="2:9" ht="15" customHeight="1" x14ac:dyDescent="0.25">
      <c r="B1288" s="37" t="s">
        <v>1477</v>
      </c>
      <c r="C1288" s="26">
        <v>22</v>
      </c>
      <c r="D1288" s="38" t="s">
        <v>2697</v>
      </c>
      <c r="E1288" s="59"/>
      <c r="F1288" s="59" t="str">
        <f>IF(INDEX(I.Gas.P2bC1V1,22)="","",INDEX(I.Gas.P2bC1V1,22))</f>
        <v/>
      </c>
      <c r="G1288" s="59"/>
      <c r="H1288" s="26" t="str">
        <f>IF(OR(I.Developer.P2b=FALSE,I.Facility.StandardPart&lt;&gt;"Part 2"),"Complete",IF(I.Product.P2bGasToPower="No","Complete",IF(AND(I.Gas.P2bCount&gt;=22,F1288=""),"Incomplete","Complete")))</f>
        <v>Complete</v>
      </c>
      <c r="I1288" s="39" t="s">
        <v>1499</v>
      </c>
    </row>
    <row r="1289" spans="2:9" ht="15" customHeight="1" x14ac:dyDescent="0.25">
      <c r="B1289" s="37" t="s">
        <v>1477</v>
      </c>
      <c r="C1289" s="26">
        <v>23</v>
      </c>
      <c r="D1289" s="38" t="s">
        <v>2697</v>
      </c>
      <c r="E1289" s="59"/>
      <c r="F1289" s="59" t="str">
        <f>IF(INDEX(I.Gas.P2bC1V1,23)="","",INDEX(I.Gas.P2bC1V1,23))</f>
        <v/>
      </c>
      <c r="G1289" s="59"/>
      <c r="H1289" s="26" t="str">
        <f>IF(OR(I.Developer.P2b=FALSE,I.Facility.StandardPart&lt;&gt;"Part 2"),"Complete",IF(I.Product.P2bGasToPower="No","Complete",IF(AND(I.Gas.P2bCount&gt;=23,F1289=""),"Incomplete","Complete")))</f>
        <v>Complete</v>
      </c>
      <c r="I1289" s="39" t="s">
        <v>1500</v>
      </c>
    </row>
    <row r="1290" spans="2:9" ht="15" customHeight="1" x14ac:dyDescent="0.25">
      <c r="B1290" s="37" t="s">
        <v>1477</v>
      </c>
      <c r="C1290" s="26">
        <v>24</v>
      </c>
      <c r="D1290" s="38" t="s">
        <v>2697</v>
      </c>
      <c r="E1290" s="59"/>
      <c r="F1290" s="59" t="str">
        <f>IF(INDEX(I.Gas.P2bC1V1,24)="","",INDEX(I.Gas.P2bC1V1,24))</f>
        <v/>
      </c>
      <c r="G1290" s="59"/>
      <c r="H1290" s="26" t="str">
        <f>IF(OR(I.Developer.P2b=FALSE,I.Facility.StandardPart&lt;&gt;"Part 2"),"Complete",IF(I.Product.P2bGasToPower="No","Complete",IF(AND(I.Gas.P2bCount&gt;=24,F1290=""),"Incomplete","Complete")))</f>
        <v>Complete</v>
      </c>
      <c r="I1290" s="39" t="s">
        <v>1501</v>
      </c>
    </row>
    <row r="1291" spans="2:9" ht="15" customHeight="1" x14ac:dyDescent="0.25">
      <c r="B1291" s="37" t="s">
        <v>1477</v>
      </c>
      <c r="C1291" s="26">
        <v>25</v>
      </c>
      <c r="D1291" s="38" t="s">
        <v>2697</v>
      </c>
      <c r="E1291" s="59"/>
      <c r="F1291" s="59" t="str">
        <f>IF(INDEX(I.Gas.P2bC1V1,25)="","",INDEX(I.Gas.P2bC1V1,25))</f>
        <v/>
      </c>
      <c r="G1291" s="59"/>
      <c r="H1291" s="26" t="str">
        <f>IF(OR(I.Developer.P2b=FALSE,I.Facility.StandardPart&lt;&gt;"Part 2"),"Complete",IF(I.Product.P2bGasToPower="No","Complete",IF(AND(I.Gas.P2bCount&gt;=25,F1291=""),"Incomplete","Complete")))</f>
        <v>Complete</v>
      </c>
      <c r="I1291" s="39" t="s">
        <v>1502</v>
      </c>
    </row>
    <row r="1292" spans="2:9" ht="15" customHeight="1" x14ac:dyDescent="0.25">
      <c r="B1292" s="37" t="s">
        <v>1477</v>
      </c>
      <c r="C1292" s="26">
        <v>26</v>
      </c>
      <c r="D1292" s="38" t="s">
        <v>2697</v>
      </c>
      <c r="E1292" s="59"/>
      <c r="F1292" s="59" t="str">
        <f>IF(INDEX(I.Gas.P2bC1V1,26)="","",INDEX(I.Gas.P2bC1V1,26))</f>
        <v/>
      </c>
      <c r="G1292" s="59"/>
      <c r="H1292" s="26" t="str">
        <f>IF(OR(I.Developer.P2b=FALSE,I.Facility.StandardPart&lt;&gt;"Part 2"),"Complete",IF(I.Product.P2bGasToPower="No","Complete",IF(AND(I.Gas.P2bCount&gt;=26,F1292=""),"Incomplete","Complete")))</f>
        <v>Complete</v>
      </c>
      <c r="I1292" s="39" t="s">
        <v>1503</v>
      </c>
    </row>
    <row r="1293" spans="2:9" ht="15" customHeight="1" x14ac:dyDescent="0.25">
      <c r="B1293" s="37" t="s">
        <v>1477</v>
      </c>
      <c r="C1293" s="26">
        <v>27</v>
      </c>
      <c r="D1293" s="38" t="s">
        <v>2697</v>
      </c>
      <c r="E1293" s="59"/>
      <c r="F1293" s="59" t="str">
        <f>IF(INDEX(I.Gas.P2bC1V1,27)="","",INDEX(I.Gas.P2bC1V1,27))</f>
        <v/>
      </c>
      <c r="G1293" s="59"/>
      <c r="H1293" s="26" t="str">
        <f>IF(OR(I.Developer.P2b=FALSE,I.Facility.StandardPart&lt;&gt;"Part 2"),"Complete",IF(I.Product.P2bGasToPower="No","Complete",IF(AND(I.Gas.P2bCount&gt;=27,F1293=""),"Incomplete","Complete")))</f>
        <v>Complete</v>
      </c>
      <c r="I1293" s="39" t="s">
        <v>1504</v>
      </c>
    </row>
    <row r="1294" spans="2:9" ht="15" customHeight="1" x14ac:dyDescent="0.25">
      <c r="B1294" s="37" t="s">
        <v>1477</v>
      </c>
      <c r="C1294" s="26">
        <v>28</v>
      </c>
      <c r="D1294" s="38" t="s">
        <v>2697</v>
      </c>
      <c r="E1294" s="59"/>
      <c r="F1294" s="59" t="str">
        <f>IF(INDEX(I.Gas.P2bC1V1,28)="","",INDEX(I.Gas.P2bC1V1,28))</f>
        <v/>
      </c>
      <c r="G1294" s="59"/>
      <c r="H1294" s="26" t="str">
        <f>IF(OR(I.Developer.P2b=FALSE,I.Facility.StandardPart&lt;&gt;"Part 2"),"Complete",IF(I.Product.P2bGasToPower="No","Complete",IF(AND(I.Gas.P2bCount&gt;=28,F1294=""),"Incomplete","Complete")))</f>
        <v>Complete</v>
      </c>
      <c r="I1294" s="39" t="s">
        <v>1505</v>
      </c>
    </row>
    <row r="1295" spans="2:9" ht="15" customHeight="1" x14ac:dyDescent="0.25">
      <c r="B1295" s="37" t="s">
        <v>1477</v>
      </c>
      <c r="C1295" s="26">
        <v>29</v>
      </c>
      <c r="D1295" s="38" t="s">
        <v>2697</v>
      </c>
      <c r="E1295" s="59"/>
      <c r="F1295" s="59" t="str">
        <f>IF(INDEX(I.Gas.P2bC1V1,29)="","",INDEX(I.Gas.P2bC1V1,29))</f>
        <v/>
      </c>
      <c r="G1295" s="59"/>
      <c r="H1295" s="26" t="str">
        <f>IF(OR(I.Developer.P2b=FALSE,I.Facility.StandardPart&lt;&gt;"Part 2"),"Complete",IF(I.Product.P2bGasToPower="No","Complete",IF(AND(I.Gas.P2bCount&gt;=29,F1295=""),"Incomplete","Complete")))</f>
        <v>Complete</v>
      </c>
      <c r="I1295" s="39" t="s">
        <v>1506</v>
      </c>
    </row>
    <row r="1296" spans="2:9" ht="15" customHeight="1" x14ac:dyDescent="0.25">
      <c r="B1296" s="37" t="s">
        <v>1477</v>
      </c>
      <c r="C1296" s="26">
        <v>30</v>
      </c>
      <c r="D1296" s="38" t="s">
        <v>2697</v>
      </c>
      <c r="E1296" s="59"/>
      <c r="F1296" s="59" t="str">
        <f>IF(INDEX(I.Gas.P2bC1V1,30)="","",INDEX(I.Gas.P2bC1V1,30))</f>
        <v/>
      </c>
      <c r="G1296" s="59"/>
      <c r="H1296" s="26" t="str">
        <f>IF(OR(I.Developer.P2b=FALSE,I.Facility.StandardPart&lt;&gt;"Part 2"),"Complete",IF(I.Product.P2bGasToPower="No","Complete",IF(AND(I.Gas.P2bCount&gt;=30,F1296=""),"Incomplete","Complete")))</f>
        <v>Complete</v>
      </c>
      <c r="I1296" s="39" t="s">
        <v>1507</v>
      </c>
    </row>
    <row r="1297" spans="2:9" ht="15" customHeight="1" x14ac:dyDescent="0.25">
      <c r="B1297" s="37" t="s">
        <v>1477</v>
      </c>
      <c r="C1297" s="26">
        <v>31</v>
      </c>
      <c r="D1297" s="38" t="s">
        <v>2697</v>
      </c>
      <c r="E1297" s="59"/>
      <c r="F1297" s="59" t="str">
        <f>IF(INDEX(I.Gas.P2bC1V1,31)="","",INDEX(I.Gas.P2bC1V1,31))</f>
        <v/>
      </c>
      <c r="G1297" s="59"/>
      <c r="H1297" s="26" t="str">
        <f>IF(OR(I.Developer.P2b=FALSE,I.Facility.StandardPart&lt;&gt;"Part 2"),"Complete",IF(I.Product.P2bGasToPower="No","Complete",IF(AND(I.Gas.P2bCount&gt;=31,F1297=""),"Incomplete","Complete")))</f>
        <v>Complete</v>
      </c>
      <c r="I1297" s="39" t="s">
        <v>1508</v>
      </c>
    </row>
    <row r="1298" spans="2:9" ht="15" customHeight="1" x14ac:dyDescent="0.25">
      <c r="B1298" s="37" t="s">
        <v>1477</v>
      </c>
      <c r="C1298" s="26">
        <v>32</v>
      </c>
      <c r="D1298" s="38" t="s">
        <v>2697</v>
      </c>
      <c r="E1298" s="59"/>
      <c r="F1298" s="59" t="str">
        <f>IF(INDEX(I.Gas.P2bC1V1,32)="","",INDEX(I.Gas.P2bC1V1,32))</f>
        <v/>
      </c>
      <c r="G1298" s="59"/>
      <c r="H1298" s="26" t="str">
        <f>IF(OR(I.Developer.P2b=FALSE,I.Facility.StandardPart&lt;&gt;"Part 2"),"Complete",IF(I.Product.P2bGasToPower="No","Complete",IF(AND(I.Gas.P2bCount&gt;=32,F1298=""),"Incomplete","Complete")))</f>
        <v>Complete</v>
      </c>
      <c r="I1298" s="39" t="s">
        <v>1509</v>
      </c>
    </row>
    <row r="1299" spans="2:9" ht="15" customHeight="1" x14ac:dyDescent="0.25">
      <c r="B1299" s="37" t="s">
        <v>1477</v>
      </c>
      <c r="C1299" s="26">
        <v>33</v>
      </c>
      <c r="D1299" s="38" t="s">
        <v>2697</v>
      </c>
      <c r="E1299" s="59"/>
      <c r="F1299" s="59" t="str">
        <f>IF(INDEX(I.Gas.P2bC1V1,33)="","",INDEX(I.Gas.P2bC1V1,33))</f>
        <v/>
      </c>
      <c r="G1299" s="59"/>
      <c r="H1299" s="26" t="str">
        <f>IF(OR(I.Developer.P2b=FALSE,I.Facility.StandardPart&lt;&gt;"Part 2"),"Complete",IF(I.Product.P2bGasToPower="No","Complete",IF(AND(I.Gas.P2bCount&gt;=33,F1299=""),"Incomplete","Complete")))</f>
        <v>Complete</v>
      </c>
      <c r="I1299" s="39" t="s">
        <v>1510</v>
      </c>
    </row>
    <row r="1300" spans="2:9" ht="15" customHeight="1" x14ac:dyDescent="0.25">
      <c r="B1300" s="37" t="s">
        <v>1477</v>
      </c>
      <c r="C1300" s="26">
        <v>34</v>
      </c>
      <c r="D1300" s="38" t="s">
        <v>2697</v>
      </c>
      <c r="E1300" s="59"/>
      <c r="F1300" s="59" t="str">
        <f>IF(INDEX(I.Gas.P2bC1V1,34)="","",INDEX(I.Gas.P2bC1V1,34))</f>
        <v/>
      </c>
      <c r="G1300" s="59"/>
      <c r="H1300" s="26" t="str">
        <f>IF(OR(I.Developer.P2b=FALSE,I.Facility.StandardPart&lt;&gt;"Part 2"),"Complete",IF(I.Product.P2bGasToPower="No","Complete",IF(AND(I.Gas.P2bCount&gt;=34,F1300=""),"Incomplete","Complete")))</f>
        <v>Complete</v>
      </c>
      <c r="I1300" s="39" t="s">
        <v>1511</v>
      </c>
    </row>
    <row r="1301" spans="2:9" ht="15" customHeight="1" x14ac:dyDescent="0.25">
      <c r="B1301" s="37" t="s">
        <v>1477</v>
      </c>
      <c r="C1301" s="26">
        <v>35</v>
      </c>
      <c r="D1301" s="38" t="s">
        <v>2697</v>
      </c>
      <c r="E1301" s="59"/>
      <c r="F1301" s="59" t="str">
        <f>IF(INDEX(I.Gas.P2bC1V1,35)="","",INDEX(I.Gas.P2bC1V1,35))</f>
        <v/>
      </c>
      <c r="G1301" s="59"/>
      <c r="H1301" s="26" t="str">
        <f>IF(OR(I.Developer.P2b=FALSE,I.Facility.StandardPart&lt;&gt;"Part 2"),"Complete",IF(I.Product.P2bGasToPower="No","Complete",IF(AND(I.Gas.P2bCount&gt;=35,F1301=""),"Incomplete","Complete")))</f>
        <v>Complete</v>
      </c>
      <c r="I1301" s="39" t="s">
        <v>1512</v>
      </c>
    </row>
    <row r="1302" spans="2:9" ht="15" customHeight="1" x14ac:dyDescent="0.25">
      <c r="B1302" s="37" t="s">
        <v>1477</v>
      </c>
      <c r="C1302" s="26">
        <v>36</v>
      </c>
      <c r="D1302" s="38" t="s">
        <v>2697</v>
      </c>
      <c r="E1302" s="59"/>
      <c r="F1302" s="59" t="str">
        <f>IF(INDEX(I.Gas.P2bC1V1,36)="","",INDEX(I.Gas.P2bC1V1,36))</f>
        <v/>
      </c>
      <c r="G1302" s="59"/>
      <c r="H1302" s="26" t="str">
        <f>IF(OR(I.Developer.P2b=FALSE,I.Facility.StandardPart&lt;&gt;"Part 2"),"Complete",IF(I.Product.P2bGasToPower="No","Complete",IF(AND(I.Gas.P2bCount&gt;=36,F1302=""),"Incomplete","Complete")))</f>
        <v>Complete</v>
      </c>
      <c r="I1302" s="39" t="s">
        <v>1513</v>
      </c>
    </row>
    <row r="1303" spans="2:9" ht="15" customHeight="1" x14ac:dyDescent="0.25">
      <c r="B1303" s="37" t="s">
        <v>1477</v>
      </c>
      <c r="C1303" s="26">
        <v>37</v>
      </c>
      <c r="D1303" s="38" t="s">
        <v>2697</v>
      </c>
      <c r="E1303" s="59"/>
      <c r="F1303" s="59" t="str">
        <f>IF(INDEX(I.Gas.P2bC1V1,37)="","",INDEX(I.Gas.P2bC1V1,37))</f>
        <v/>
      </c>
      <c r="G1303" s="59"/>
      <c r="H1303" s="26" t="str">
        <f>IF(OR(I.Developer.P2b=FALSE,I.Facility.StandardPart&lt;&gt;"Part 2"),"Complete",IF(I.Product.P2bGasToPower="No","Complete",IF(AND(I.Gas.P2bCount&gt;=37,F1303=""),"Incomplete","Complete")))</f>
        <v>Complete</v>
      </c>
      <c r="I1303" s="39" t="s">
        <v>1514</v>
      </c>
    </row>
    <row r="1304" spans="2:9" ht="15" customHeight="1" x14ac:dyDescent="0.25">
      <c r="B1304" s="37" t="s">
        <v>1477</v>
      </c>
      <c r="C1304" s="26">
        <v>38</v>
      </c>
      <c r="D1304" s="38" t="s">
        <v>2697</v>
      </c>
      <c r="E1304" s="59"/>
      <c r="F1304" s="59" t="str">
        <f>IF(INDEX(I.Gas.P2bC1V1,38)="","",INDEX(I.Gas.P2bC1V1,38))</f>
        <v/>
      </c>
      <c r="G1304" s="59"/>
      <c r="H1304" s="26" t="str">
        <f>IF(OR(I.Developer.P2b=FALSE,I.Facility.StandardPart&lt;&gt;"Part 2"),"Complete",IF(I.Product.P2bGasToPower="No","Complete",IF(AND(I.Gas.P2bCount&gt;=38,F1304=""),"Incomplete","Complete")))</f>
        <v>Complete</v>
      </c>
      <c r="I1304" s="39" t="s">
        <v>1515</v>
      </c>
    </row>
    <row r="1305" spans="2:9" ht="15" customHeight="1" x14ac:dyDescent="0.25">
      <c r="B1305" s="37" t="s">
        <v>1477</v>
      </c>
      <c r="C1305" s="26">
        <v>39</v>
      </c>
      <c r="D1305" s="38" t="s">
        <v>2697</v>
      </c>
      <c r="E1305" s="59"/>
      <c r="F1305" s="59" t="str">
        <f>IF(INDEX(I.Gas.P2bC1V1,39)="","",INDEX(I.Gas.P2bC1V1,39))</f>
        <v/>
      </c>
      <c r="G1305" s="59"/>
      <c r="H1305" s="26" t="str">
        <f>IF(OR(I.Developer.P2b=FALSE,I.Facility.StandardPart&lt;&gt;"Part 2"),"Complete",IF(I.Product.P2bGasToPower="No","Complete",IF(AND(I.Gas.P2bCount&gt;=39,F1305=""),"Incomplete","Complete")))</f>
        <v>Complete</v>
      </c>
      <c r="I1305" s="39" t="s">
        <v>1516</v>
      </c>
    </row>
    <row r="1306" spans="2:9" ht="15" customHeight="1" x14ac:dyDescent="0.25">
      <c r="B1306" s="37" t="s">
        <v>1477</v>
      </c>
      <c r="C1306" s="26">
        <v>40</v>
      </c>
      <c r="D1306" s="38" t="s">
        <v>2697</v>
      </c>
      <c r="E1306" s="59"/>
      <c r="F1306" s="59" t="str">
        <f>IF(INDEX(I.Gas.P2bC1V1,40)="","",INDEX(I.Gas.P2bC1V1,40))</f>
        <v/>
      </c>
      <c r="G1306" s="59"/>
      <c r="H1306" s="26" t="str">
        <f>IF(OR(I.Developer.P2b=FALSE,I.Facility.StandardPart&lt;&gt;"Part 2"),"Complete",IF(I.Product.P2bGasToPower="No","Complete",IF(AND(I.Gas.P2bCount&gt;=40,F1306=""),"Incomplete","Complete")))</f>
        <v>Complete</v>
      </c>
      <c r="I1306" s="39" t="s">
        <v>1517</v>
      </c>
    </row>
    <row r="1307" spans="2:9" ht="15" customHeight="1" x14ac:dyDescent="0.25">
      <c r="B1307" s="37" t="s">
        <v>1477</v>
      </c>
      <c r="C1307" s="26">
        <v>41</v>
      </c>
      <c r="D1307" s="38" t="s">
        <v>2697</v>
      </c>
      <c r="E1307" s="59"/>
      <c r="F1307" s="59" t="str">
        <f>IF(INDEX(I.Gas.P2bC1V1,41)="","",INDEX(I.Gas.P2bC1V1,41))</f>
        <v/>
      </c>
      <c r="G1307" s="59"/>
      <c r="H1307" s="26" t="str">
        <f>IF(OR(I.Developer.P2b=FALSE,I.Facility.StandardPart&lt;&gt;"Part 2"),"Complete",IF(I.Product.P2bGasToPower="No","Complete",IF(AND(I.Gas.P2bCount&gt;=41,F1307=""),"Incomplete","Complete")))</f>
        <v>Complete</v>
      </c>
      <c r="I1307" s="39" t="s">
        <v>1518</v>
      </c>
    </row>
    <row r="1308" spans="2:9" ht="15" customHeight="1" x14ac:dyDescent="0.25">
      <c r="B1308" s="37" t="s">
        <v>1477</v>
      </c>
      <c r="C1308" s="26">
        <v>42</v>
      </c>
      <c r="D1308" s="38" t="s">
        <v>2697</v>
      </c>
      <c r="E1308" s="59"/>
      <c r="F1308" s="59" t="str">
        <f>IF(INDEX(I.Gas.P2bC1V1,42)="","",INDEX(I.Gas.P2bC1V1,42))</f>
        <v/>
      </c>
      <c r="G1308" s="59"/>
      <c r="H1308" s="26" t="str">
        <f>IF(OR(I.Developer.P2b=FALSE,I.Facility.StandardPart&lt;&gt;"Part 2"),"Complete",IF(I.Product.P2bGasToPower="No","Complete",IF(AND(I.Gas.P2bCount&gt;=42,F1308=""),"Incomplete","Complete")))</f>
        <v>Complete</v>
      </c>
      <c r="I1308" s="39" t="s">
        <v>1519</v>
      </c>
    </row>
    <row r="1309" spans="2:9" ht="15" customHeight="1" x14ac:dyDescent="0.25">
      <c r="B1309" s="37" t="s">
        <v>1477</v>
      </c>
      <c r="C1309" s="26">
        <v>43</v>
      </c>
      <c r="D1309" s="38" t="s">
        <v>2697</v>
      </c>
      <c r="E1309" s="59"/>
      <c r="F1309" s="59" t="str">
        <f>IF(INDEX(I.Gas.P2bC1V1,43)="","",INDEX(I.Gas.P2bC1V1,43))</f>
        <v/>
      </c>
      <c r="G1309" s="59"/>
      <c r="H1309" s="26" t="str">
        <f>IF(OR(I.Developer.P2b=FALSE,I.Facility.StandardPart&lt;&gt;"Part 2"),"Complete",IF(I.Product.P2bGasToPower="No","Complete",IF(AND(I.Gas.P2bCount&gt;=43,F1309=""),"Incomplete","Complete")))</f>
        <v>Complete</v>
      </c>
      <c r="I1309" s="39" t="s">
        <v>1520</v>
      </c>
    </row>
    <row r="1310" spans="2:9" ht="15" customHeight="1" x14ac:dyDescent="0.25">
      <c r="B1310" s="37" t="s">
        <v>1477</v>
      </c>
      <c r="C1310" s="26">
        <v>44</v>
      </c>
      <c r="D1310" s="38" t="s">
        <v>2697</v>
      </c>
      <c r="E1310" s="59"/>
      <c r="F1310" s="59" t="str">
        <f>IF(INDEX(I.Gas.P2bC1V1,44)="","",INDEX(I.Gas.P2bC1V1,44))</f>
        <v/>
      </c>
      <c r="G1310" s="59"/>
      <c r="H1310" s="26" t="str">
        <f>IF(OR(I.Developer.P2b=FALSE,I.Facility.StandardPart&lt;&gt;"Part 2"),"Complete",IF(I.Product.P2bGasToPower="No","Complete",IF(AND(I.Gas.P2bCount&gt;=44,F1310=""),"Incomplete","Complete")))</f>
        <v>Complete</v>
      </c>
      <c r="I1310" s="39" t="s">
        <v>1521</v>
      </c>
    </row>
    <row r="1311" spans="2:9" ht="15" customHeight="1" x14ac:dyDescent="0.25">
      <c r="B1311" s="37" t="s">
        <v>1477</v>
      </c>
      <c r="C1311" s="26">
        <v>45</v>
      </c>
      <c r="D1311" s="38" t="s">
        <v>2697</v>
      </c>
      <c r="E1311" s="59"/>
      <c r="F1311" s="59" t="str">
        <f>IF(INDEX(I.Gas.P2bC1V1,45)="","",INDEX(I.Gas.P2bC1V1,45))</f>
        <v/>
      </c>
      <c r="G1311" s="59"/>
      <c r="H1311" s="26" t="str">
        <f>IF(OR(I.Developer.P2b=FALSE,I.Facility.StandardPart&lt;&gt;"Part 2"),"Complete",IF(I.Product.P2bGasToPower="No","Complete",IF(AND(I.Gas.P2bCount&gt;=45,F1311=""),"Incomplete","Complete")))</f>
        <v>Complete</v>
      </c>
      <c r="I1311" s="39" t="s">
        <v>1522</v>
      </c>
    </row>
    <row r="1312" spans="2:9" ht="15" customHeight="1" x14ac:dyDescent="0.25">
      <c r="B1312" s="37" t="s">
        <v>1477</v>
      </c>
      <c r="C1312" s="26">
        <v>46</v>
      </c>
      <c r="D1312" s="38" t="s">
        <v>2697</v>
      </c>
      <c r="E1312" s="59"/>
      <c r="F1312" s="59" t="str">
        <f>IF(INDEX(I.Gas.P2bC1V1,46)="","",INDEX(I.Gas.P2bC1V1,46))</f>
        <v/>
      </c>
      <c r="G1312" s="59"/>
      <c r="H1312" s="26" t="str">
        <f>IF(OR(I.Developer.P2b=FALSE,I.Facility.StandardPart&lt;&gt;"Part 2"),"Complete",IF(I.Product.P2bGasToPower="No","Complete",IF(AND(I.Gas.P2bCount&gt;=46,F1312=""),"Incomplete","Complete")))</f>
        <v>Complete</v>
      </c>
      <c r="I1312" s="39" t="s">
        <v>1523</v>
      </c>
    </row>
    <row r="1313" spans="2:9" ht="15" customHeight="1" x14ac:dyDescent="0.25">
      <c r="B1313" s="37" t="s">
        <v>1477</v>
      </c>
      <c r="C1313" s="26">
        <v>47</v>
      </c>
      <c r="D1313" s="38" t="s">
        <v>2697</v>
      </c>
      <c r="E1313" s="59"/>
      <c r="F1313" s="59" t="str">
        <f>IF(INDEX(I.Gas.P2bC1V1,47)="","",INDEX(I.Gas.P2bC1V1,47))</f>
        <v/>
      </c>
      <c r="G1313" s="59"/>
      <c r="H1313" s="26" t="str">
        <f>IF(OR(I.Developer.P2b=FALSE,I.Facility.StandardPart&lt;&gt;"Part 2"),"Complete",IF(I.Product.P2bGasToPower="No","Complete",IF(AND(I.Gas.P2bCount&gt;=47,F1313=""),"Incomplete","Complete")))</f>
        <v>Complete</v>
      </c>
      <c r="I1313" s="39" t="s">
        <v>1524</v>
      </c>
    </row>
    <row r="1314" spans="2:9" ht="15" customHeight="1" x14ac:dyDescent="0.25">
      <c r="B1314" s="37" t="s">
        <v>1477</v>
      </c>
      <c r="C1314" s="26">
        <v>48</v>
      </c>
      <c r="D1314" s="38" t="s">
        <v>2697</v>
      </c>
      <c r="E1314" s="59"/>
      <c r="F1314" s="59" t="str">
        <f>IF(INDEX(I.Gas.P2bC1V1,48)="","",INDEX(I.Gas.P2bC1V1,48))</f>
        <v/>
      </c>
      <c r="G1314" s="59"/>
      <c r="H1314" s="26" t="str">
        <f>IF(OR(I.Developer.P2b=FALSE,I.Facility.StandardPart&lt;&gt;"Part 2"),"Complete",IF(I.Product.P2bGasToPower="No","Complete",IF(AND(I.Gas.P2bCount&gt;=48,F1314=""),"Incomplete","Complete")))</f>
        <v>Complete</v>
      </c>
      <c r="I1314" s="39" t="s">
        <v>1525</v>
      </c>
    </row>
    <row r="1315" spans="2:9" ht="15" customHeight="1" x14ac:dyDescent="0.25">
      <c r="B1315" s="37" t="s">
        <v>1477</v>
      </c>
      <c r="C1315" s="26">
        <v>49</v>
      </c>
      <c r="D1315" s="38" t="s">
        <v>2697</v>
      </c>
      <c r="E1315" s="59"/>
      <c r="F1315" s="59" t="str">
        <f>IF(INDEX(I.Gas.P2bC1V1,49)="","",INDEX(I.Gas.P2bC1V1,49))</f>
        <v/>
      </c>
      <c r="G1315" s="59"/>
      <c r="H1315" s="26" t="str">
        <f>IF(OR(I.Developer.P2b=FALSE,I.Facility.StandardPart&lt;&gt;"Part 2"),"Complete",IF(I.Product.P2bGasToPower="No","Complete",IF(AND(I.Gas.P2bCount&gt;=49,F1315=""),"Incomplete","Complete")))</f>
        <v>Complete</v>
      </c>
      <c r="I1315" s="39" t="s">
        <v>1526</v>
      </c>
    </row>
    <row r="1316" spans="2:9" ht="15" customHeight="1" x14ac:dyDescent="0.25">
      <c r="B1316" s="40" t="s">
        <v>1477</v>
      </c>
      <c r="C1316" s="46">
        <v>50</v>
      </c>
      <c r="D1316" s="44" t="s">
        <v>2697</v>
      </c>
      <c r="E1316" s="63"/>
      <c r="F1316" s="63" t="str">
        <f>IF(INDEX(I.Gas.P2bC1V1,50)="","",INDEX(I.Gas.P2bC1V1,50))</f>
        <v/>
      </c>
      <c r="G1316" s="63"/>
      <c r="H1316" s="46" t="str">
        <f>IF(OR(I.Developer.P2b=FALSE,I.Facility.StandardPart&lt;&gt;"Part 2"),"Complete",IF(I.Product.P2bGasToPower="No","Complete",IF(AND(I.Gas.P2bCount&gt;=50,F1316=""),"Incomplete","Complete")))</f>
        <v>Complete</v>
      </c>
      <c r="I1316" s="47" t="s">
        <v>1527</v>
      </c>
    </row>
    <row r="1317" spans="2:9" ht="15" customHeight="1" x14ac:dyDescent="0.25">
      <c r="B1317" s="37" t="s">
        <v>1528</v>
      </c>
      <c r="C1317" s="26">
        <v>1</v>
      </c>
      <c r="D1317" s="38" t="s">
        <v>2698</v>
      </c>
      <c r="E1317" s="59"/>
      <c r="F1317" s="59" t="str">
        <f>IF(INDEX(I.Gas.P2bC1E1,1)="","",INDEX(I.Gas.P2bC1E1,1))</f>
        <v/>
      </c>
      <c r="G1317" s="59"/>
      <c r="H1317" s="26" t="str">
        <f>IF(OR(I.Developer.P2b=FALSE,I.Facility.StandardPart="Part 2"),"Complete",IF(I.Product.P2bGasToPower="No","Complete",IF(AND(I.Gas.P2bCount&gt;=1,F1317=""),"Incomplete","Complete")))</f>
        <v>Complete</v>
      </c>
      <c r="I1317" s="39" t="s">
        <v>1529</v>
      </c>
    </row>
    <row r="1318" spans="2:9" ht="15" customHeight="1" x14ac:dyDescent="0.25">
      <c r="B1318" s="37" t="s">
        <v>1528</v>
      </c>
      <c r="C1318" s="26">
        <v>2</v>
      </c>
      <c r="D1318" s="38" t="s">
        <v>2698</v>
      </c>
      <c r="E1318" s="59"/>
      <c r="F1318" s="59" t="str">
        <f>IF(INDEX(I.Gas.P2bC1E1,2)="","",INDEX(I.Gas.P2bC1E1,2))</f>
        <v/>
      </c>
      <c r="G1318" s="59"/>
      <c r="H1318" s="26" t="str">
        <f>IF(OR(I.Developer.P2b=FALSE,I.Facility.StandardPart="Part 2"),"Complete",IF(I.Product.P2bGasToPower="No","Complete",IF(AND(I.Gas.P2bCount&gt;=2,F1318=""),"Incomplete","Complete")))</f>
        <v>Complete</v>
      </c>
      <c r="I1318" s="39" t="s">
        <v>1530</v>
      </c>
    </row>
    <row r="1319" spans="2:9" ht="15" customHeight="1" x14ac:dyDescent="0.25">
      <c r="B1319" s="37" t="s">
        <v>1528</v>
      </c>
      <c r="C1319" s="26">
        <v>3</v>
      </c>
      <c r="D1319" s="38" t="s">
        <v>2698</v>
      </c>
      <c r="E1319" s="59"/>
      <c r="F1319" s="59" t="str">
        <f>IF(INDEX(I.Gas.P2bC1E1,3)="","",INDEX(I.Gas.P2bC1E1,3))</f>
        <v/>
      </c>
      <c r="G1319" s="59"/>
      <c r="H1319" s="26" t="str">
        <f>IF(OR(I.Developer.P2b=FALSE,I.Facility.StandardPart="Part 2"),"Complete",IF(I.Product.P2bGasToPower="No","Complete",IF(AND(I.Gas.P2bCount&gt;=3,F1319=""),"Incomplete","Complete")))</f>
        <v>Complete</v>
      </c>
      <c r="I1319" s="39" t="s">
        <v>1531</v>
      </c>
    </row>
    <row r="1320" spans="2:9" ht="15" customHeight="1" x14ac:dyDescent="0.25">
      <c r="B1320" s="37" t="s">
        <v>1528</v>
      </c>
      <c r="C1320" s="26">
        <v>4</v>
      </c>
      <c r="D1320" s="38" t="s">
        <v>2698</v>
      </c>
      <c r="E1320" s="59"/>
      <c r="F1320" s="59" t="str">
        <f>IF(INDEX(I.Gas.P2bC1E1,4)="","",INDEX(I.Gas.P2bC1E1,4))</f>
        <v/>
      </c>
      <c r="G1320" s="59"/>
      <c r="H1320" s="26" t="str">
        <f>IF(OR(I.Developer.P2b=FALSE,I.Facility.StandardPart="Part 2"),"Complete",IF(I.Product.P2bGasToPower="No","Complete",IF(AND(I.Gas.P2bCount&gt;=4,F1320=""),"Incomplete","Complete")))</f>
        <v>Complete</v>
      </c>
      <c r="I1320" s="39" t="s">
        <v>1532</v>
      </c>
    </row>
    <row r="1321" spans="2:9" ht="15" customHeight="1" x14ac:dyDescent="0.25">
      <c r="B1321" s="37" t="s">
        <v>1528</v>
      </c>
      <c r="C1321" s="26">
        <v>5</v>
      </c>
      <c r="D1321" s="38" t="s">
        <v>2698</v>
      </c>
      <c r="E1321" s="59"/>
      <c r="F1321" s="59" t="str">
        <f>IF(INDEX(I.Gas.P2bC1E1,5)="","",INDEX(I.Gas.P2bC1E1,5))</f>
        <v/>
      </c>
      <c r="G1321" s="59"/>
      <c r="H1321" s="26" t="str">
        <f>IF(OR(I.Developer.P2b=FALSE,I.Facility.StandardPart="Part 2"),"Complete",IF(I.Product.P2bGasToPower="No","Complete",IF(AND(I.Gas.P2bCount&gt;=5,F1321=""),"Incomplete","Complete")))</f>
        <v>Complete</v>
      </c>
      <c r="I1321" s="39" t="s">
        <v>1533</v>
      </c>
    </row>
    <row r="1322" spans="2:9" ht="15" customHeight="1" x14ac:dyDescent="0.25">
      <c r="B1322" s="37" t="s">
        <v>1528</v>
      </c>
      <c r="C1322" s="26">
        <v>6</v>
      </c>
      <c r="D1322" s="38" t="s">
        <v>2698</v>
      </c>
      <c r="E1322" s="59"/>
      <c r="F1322" s="59" t="str">
        <f>IF(INDEX(I.Gas.P2bC1E1,6)="","",INDEX(I.Gas.P2bC1E1,6))</f>
        <v/>
      </c>
      <c r="G1322" s="59"/>
      <c r="H1322" s="26" t="str">
        <f>IF(OR(I.Developer.P2b=FALSE,I.Facility.StandardPart="Part 2"),"Complete",IF(I.Product.P2bGasToPower="No","Complete",IF(AND(I.Gas.P2bCount&gt;=6,F1322=""),"Incomplete","Complete")))</f>
        <v>Complete</v>
      </c>
      <c r="I1322" s="39" t="s">
        <v>1534</v>
      </c>
    </row>
    <row r="1323" spans="2:9" ht="15" customHeight="1" x14ac:dyDescent="0.25">
      <c r="B1323" s="37" t="s">
        <v>1528</v>
      </c>
      <c r="C1323" s="26">
        <v>7</v>
      </c>
      <c r="D1323" s="38" t="s">
        <v>2698</v>
      </c>
      <c r="E1323" s="59"/>
      <c r="F1323" s="59" t="str">
        <f>IF(INDEX(I.Gas.P2bC1E1,7)="","",INDEX(I.Gas.P2bC1E1,7))</f>
        <v/>
      </c>
      <c r="G1323" s="59"/>
      <c r="H1323" s="26" t="str">
        <f>IF(OR(I.Developer.P2b=FALSE,I.Facility.StandardPart="Part 2"),"Complete",IF(I.Product.P2bGasToPower="No","Complete",IF(AND(I.Gas.P2bCount&gt;=7,F1323=""),"Incomplete","Complete")))</f>
        <v>Complete</v>
      </c>
      <c r="I1323" s="39" t="s">
        <v>1535</v>
      </c>
    </row>
    <row r="1324" spans="2:9" ht="15" customHeight="1" x14ac:dyDescent="0.25">
      <c r="B1324" s="37" t="s">
        <v>1528</v>
      </c>
      <c r="C1324" s="26">
        <v>8</v>
      </c>
      <c r="D1324" s="38" t="s">
        <v>2698</v>
      </c>
      <c r="E1324" s="59"/>
      <c r="F1324" s="59" t="str">
        <f>IF(INDEX(I.Gas.P2bC1E1,8)="","",INDEX(I.Gas.P2bC1E1,8))</f>
        <v/>
      </c>
      <c r="G1324" s="59"/>
      <c r="H1324" s="26" t="str">
        <f>IF(OR(I.Developer.P2b=FALSE,I.Facility.StandardPart="Part 2"),"Complete",IF(I.Product.P2bGasToPower="No","Complete",IF(AND(I.Gas.P2bCount&gt;=8,F1324=""),"Incomplete","Complete")))</f>
        <v>Complete</v>
      </c>
      <c r="I1324" s="39" t="s">
        <v>1536</v>
      </c>
    </row>
    <row r="1325" spans="2:9" ht="15" customHeight="1" x14ac:dyDescent="0.25">
      <c r="B1325" s="37" t="s">
        <v>1528</v>
      </c>
      <c r="C1325" s="26">
        <v>9</v>
      </c>
      <c r="D1325" s="38" t="s">
        <v>2698</v>
      </c>
      <c r="E1325" s="59"/>
      <c r="F1325" s="59" t="str">
        <f>IF(INDEX(I.Gas.P2bC1E1,9)="","",INDEX(I.Gas.P2bC1E1,9))</f>
        <v/>
      </c>
      <c r="G1325" s="59"/>
      <c r="H1325" s="26" t="str">
        <f>IF(OR(I.Developer.P2b=FALSE,I.Facility.StandardPart="Part 2"),"Complete",IF(I.Product.P2bGasToPower="No","Complete",IF(AND(I.Gas.P2bCount&gt;=9,F1325=""),"Incomplete","Complete")))</f>
        <v>Complete</v>
      </c>
      <c r="I1325" s="39" t="s">
        <v>1537</v>
      </c>
    </row>
    <row r="1326" spans="2:9" ht="15" customHeight="1" x14ac:dyDescent="0.25">
      <c r="B1326" s="37" t="s">
        <v>1528</v>
      </c>
      <c r="C1326" s="26">
        <v>10</v>
      </c>
      <c r="D1326" s="38" t="s">
        <v>2698</v>
      </c>
      <c r="E1326" s="59"/>
      <c r="F1326" s="59" t="str">
        <f>IF(INDEX(I.Gas.P2bC1E1,10)="","",INDEX(I.Gas.P2bC1E1,10))</f>
        <v/>
      </c>
      <c r="G1326" s="59"/>
      <c r="H1326" s="26" t="str">
        <f>IF(OR(I.Developer.P2b=FALSE,I.Facility.StandardPart="Part 2"),"Complete",IF(I.Product.P2bGasToPower="No","Complete",IF(AND(I.Gas.P2bCount&gt;=10,F1326=""),"Incomplete","Complete")))</f>
        <v>Complete</v>
      </c>
      <c r="I1326" s="39" t="s">
        <v>1538</v>
      </c>
    </row>
    <row r="1327" spans="2:9" ht="15" customHeight="1" x14ac:dyDescent="0.25">
      <c r="B1327" s="37" t="s">
        <v>1528</v>
      </c>
      <c r="C1327" s="26">
        <v>11</v>
      </c>
      <c r="D1327" s="38" t="s">
        <v>2698</v>
      </c>
      <c r="E1327" s="59"/>
      <c r="F1327" s="59" t="str">
        <f>IF(INDEX(I.Gas.P2bC1E1,11)="","",INDEX(I.Gas.P2bC1E1,11))</f>
        <v/>
      </c>
      <c r="G1327" s="59"/>
      <c r="H1327" s="26" t="str">
        <f>IF(OR(I.Developer.P2b=FALSE,I.Facility.StandardPart="Part 2"),"Complete",IF(I.Product.P2bGasToPower="No","Complete",IF(AND(I.Gas.P2bCount&gt;=11,F1327=""),"Incomplete","Complete")))</f>
        <v>Complete</v>
      </c>
      <c r="I1327" s="39" t="s">
        <v>1539</v>
      </c>
    </row>
    <row r="1328" spans="2:9" ht="15" customHeight="1" x14ac:dyDescent="0.25">
      <c r="B1328" s="37" t="s">
        <v>1528</v>
      </c>
      <c r="C1328" s="26">
        <v>12</v>
      </c>
      <c r="D1328" s="38" t="s">
        <v>2698</v>
      </c>
      <c r="E1328" s="59"/>
      <c r="F1328" s="59" t="str">
        <f>IF(INDEX(I.Gas.P2bC1E1,12)="","",INDEX(I.Gas.P2bC1E1,12))</f>
        <v/>
      </c>
      <c r="G1328" s="59"/>
      <c r="H1328" s="26" t="str">
        <f>IF(OR(I.Developer.P2b=FALSE,I.Facility.StandardPart="Part 2"),"Complete",IF(I.Product.P2bGasToPower="No","Complete",IF(AND(I.Gas.P2bCount&gt;=12,F1328=""),"Incomplete","Complete")))</f>
        <v>Complete</v>
      </c>
      <c r="I1328" s="39" t="s">
        <v>1540</v>
      </c>
    </row>
    <row r="1329" spans="2:9" ht="15" customHeight="1" x14ac:dyDescent="0.25">
      <c r="B1329" s="37" t="s">
        <v>1528</v>
      </c>
      <c r="C1329" s="26">
        <v>13</v>
      </c>
      <c r="D1329" s="38" t="s">
        <v>2698</v>
      </c>
      <c r="E1329" s="59"/>
      <c r="F1329" s="59" t="str">
        <f>IF(INDEX(I.Gas.P2bC1E1,13)="","",INDEX(I.Gas.P2bC1E1,13))</f>
        <v/>
      </c>
      <c r="G1329" s="59"/>
      <c r="H1329" s="26" t="str">
        <f>IF(OR(I.Developer.P2b=FALSE,I.Facility.StandardPart="Part 2"),"Complete",IF(I.Product.P2bGasToPower="No","Complete",IF(AND(I.Gas.P2bCount&gt;=13,F1329=""),"Incomplete","Complete")))</f>
        <v>Complete</v>
      </c>
      <c r="I1329" s="39" t="s">
        <v>1541</v>
      </c>
    </row>
    <row r="1330" spans="2:9" ht="15" customHeight="1" x14ac:dyDescent="0.25">
      <c r="B1330" s="37" t="s">
        <v>1528</v>
      </c>
      <c r="C1330" s="26">
        <v>14</v>
      </c>
      <c r="D1330" s="38" t="s">
        <v>2698</v>
      </c>
      <c r="E1330" s="59"/>
      <c r="F1330" s="59" t="str">
        <f>IF(INDEX(I.Gas.P2bC1E1,14)="","",INDEX(I.Gas.P2bC1E1,14))</f>
        <v/>
      </c>
      <c r="G1330" s="59"/>
      <c r="H1330" s="26" t="str">
        <f>IF(OR(I.Developer.P2b=FALSE,I.Facility.StandardPart="Part 2"),"Complete",IF(I.Product.P2bGasToPower="No","Complete",IF(AND(I.Gas.P2bCount&gt;=14,F1330=""),"Incomplete","Complete")))</f>
        <v>Complete</v>
      </c>
      <c r="I1330" s="39" t="s">
        <v>1542</v>
      </c>
    </row>
    <row r="1331" spans="2:9" ht="15" customHeight="1" x14ac:dyDescent="0.25">
      <c r="B1331" s="37" t="s">
        <v>1528</v>
      </c>
      <c r="C1331" s="26">
        <v>15</v>
      </c>
      <c r="D1331" s="38" t="s">
        <v>2698</v>
      </c>
      <c r="E1331" s="59"/>
      <c r="F1331" s="59" t="str">
        <f>IF(INDEX(I.Gas.P2bC1E1,15)="","",INDEX(I.Gas.P2bC1E1,15))</f>
        <v/>
      </c>
      <c r="G1331" s="59"/>
      <c r="H1331" s="26" t="str">
        <f>IF(OR(I.Developer.P2b=FALSE,I.Facility.StandardPart="Part 2"),"Complete",IF(I.Product.P2bGasToPower="No","Complete",IF(AND(I.Gas.P2bCount&gt;=15,F1331=""),"Incomplete","Complete")))</f>
        <v>Complete</v>
      </c>
      <c r="I1331" s="39" t="s">
        <v>1543</v>
      </c>
    </row>
    <row r="1332" spans="2:9" ht="15" customHeight="1" x14ac:dyDescent="0.25">
      <c r="B1332" s="37" t="s">
        <v>1528</v>
      </c>
      <c r="C1332" s="26">
        <v>16</v>
      </c>
      <c r="D1332" s="38" t="s">
        <v>2698</v>
      </c>
      <c r="E1332" s="59"/>
      <c r="F1332" s="59" t="str">
        <f>IF(INDEX(I.Gas.P2bC1E1,16)="","",INDEX(I.Gas.P2bC1E1,16))</f>
        <v/>
      </c>
      <c r="G1332" s="59"/>
      <c r="H1332" s="26" t="str">
        <f>IF(OR(I.Developer.P2b=FALSE,I.Facility.StandardPart="Part 2"),"Complete",IF(I.Product.P2bGasToPower="No","Complete",IF(AND(I.Gas.P2bCount&gt;=16,F1332=""),"Incomplete","Complete")))</f>
        <v>Complete</v>
      </c>
      <c r="I1332" s="39" t="s">
        <v>1544</v>
      </c>
    </row>
    <row r="1333" spans="2:9" ht="15" customHeight="1" x14ac:dyDescent="0.25">
      <c r="B1333" s="37" t="s">
        <v>1528</v>
      </c>
      <c r="C1333" s="26">
        <v>17</v>
      </c>
      <c r="D1333" s="38" t="s">
        <v>2698</v>
      </c>
      <c r="E1333" s="59"/>
      <c r="F1333" s="59" t="str">
        <f>IF(INDEX(I.Gas.P2bC1E1,17)="","",INDEX(I.Gas.P2bC1E1,17))</f>
        <v/>
      </c>
      <c r="G1333" s="59"/>
      <c r="H1333" s="26" t="str">
        <f>IF(OR(I.Developer.P2b=FALSE,I.Facility.StandardPart="Part 2"),"Complete",IF(I.Product.P2bGasToPower="No","Complete",IF(AND(I.Gas.P2bCount&gt;=17,F1333=""),"Incomplete","Complete")))</f>
        <v>Complete</v>
      </c>
      <c r="I1333" s="39" t="s">
        <v>1545</v>
      </c>
    </row>
    <row r="1334" spans="2:9" ht="15" customHeight="1" x14ac:dyDescent="0.25">
      <c r="B1334" s="37" t="s">
        <v>1528</v>
      </c>
      <c r="C1334" s="26">
        <v>18</v>
      </c>
      <c r="D1334" s="38" t="s">
        <v>2698</v>
      </c>
      <c r="E1334" s="59"/>
      <c r="F1334" s="59" t="str">
        <f>IF(INDEX(I.Gas.P2bC1E1,18)="","",INDEX(I.Gas.P2bC1E1,18))</f>
        <v/>
      </c>
      <c r="G1334" s="59"/>
      <c r="H1334" s="26" t="str">
        <f>IF(OR(I.Developer.P2b=FALSE,I.Facility.StandardPart="Part 2"),"Complete",IF(I.Product.P2bGasToPower="No","Complete",IF(AND(I.Gas.P2bCount&gt;=18,F1334=""),"Incomplete","Complete")))</f>
        <v>Complete</v>
      </c>
      <c r="I1334" s="39" t="s">
        <v>1546</v>
      </c>
    </row>
    <row r="1335" spans="2:9" ht="15" customHeight="1" x14ac:dyDescent="0.25">
      <c r="B1335" s="37" t="s">
        <v>1528</v>
      </c>
      <c r="C1335" s="26">
        <v>19</v>
      </c>
      <c r="D1335" s="38" t="s">
        <v>2698</v>
      </c>
      <c r="E1335" s="59"/>
      <c r="F1335" s="59" t="str">
        <f>IF(INDEX(I.Gas.P2bC1E1,19)="","",INDEX(I.Gas.P2bC1E1,19))</f>
        <v/>
      </c>
      <c r="G1335" s="59"/>
      <c r="H1335" s="26" t="str">
        <f>IF(OR(I.Developer.P2b=FALSE,I.Facility.StandardPart="Part 2"),"Complete",IF(I.Product.P2bGasToPower="No","Complete",IF(AND(I.Gas.P2bCount&gt;=19,F1335=""),"Incomplete","Complete")))</f>
        <v>Complete</v>
      </c>
      <c r="I1335" s="39" t="s">
        <v>1547</v>
      </c>
    </row>
    <row r="1336" spans="2:9" ht="15" customHeight="1" x14ac:dyDescent="0.25">
      <c r="B1336" s="37" t="s">
        <v>1528</v>
      </c>
      <c r="C1336" s="26">
        <v>20</v>
      </c>
      <c r="D1336" s="38" t="s">
        <v>2698</v>
      </c>
      <c r="E1336" s="59"/>
      <c r="F1336" s="59" t="str">
        <f>IF(INDEX(I.Gas.P2bC1E1,20)="","",INDEX(I.Gas.P2bC1E1,20))</f>
        <v/>
      </c>
      <c r="G1336" s="59"/>
      <c r="H1336" s="26" t="str">
        <f>IF(OR(I.Developer.P2b=FALSE,I.Facility.StandardPart="Part 2"),"Complete",IF(I.Product.P2bGasToPower="No","Complete",IF(AND(I.Gas.P2bCount&gt;=20,F1336=""),"Incomplete","Complete")))</f>
        <v>Complete</v>
      </c>
      <c r="I1336" s="39" t="s">
        <v>1548</v>
      </c>
    </row>
    <row r="1337" spans="2:9" ht="15" customHeight="1" x14ac:dyDescent="0.25">
      <c r="B1337" s="37" t="s">
        <v>1528</v>
      </c>
      <c r="C1337" s="26">
        <v>21</v>
      </c>
      <c r="D1337" s="38" t="s">
        <v>2698</v>
      </c>
      <c r="E1337" s="59"/>
      <c r="F1337" s="59" t="str">
        <f>IF(INDEX(I.Gas.P2bC1E1,21)="","",INDEX(I.Gas.P2bC1E1,21))</f>
        <v/>
      </c>
      <c r="G1337" s="59"/>
      <c r="H1337" s="26" t="str">
        <f>IF(OR(I.Developer.P2b=FALSE,I.Facility.StandardPart="Part 2"),"Complete",IF(I.Product.P2bGasToPower="No","Complete",IF(AND(I.Gas.P2bCount&gt;=21,F1337=""),"Incomplete","Complete")))</f>
        <v>Complete</v>
      </c>
      <c r="I1337" s="39" t="s">
        <v>1549</v>
      </c>
    </row>
    <row r="1338" spans="2:9" ht="15" customHeight="1" x14ac:dyDescent="0.25">
      <c r="B1338" s="37" t="s">
        <v>1528</v>
      </c>
      <c r="C1338" s="26">
        <v>22</v>
      </c>
      <c r="D1338" s="38" t="s">
        <v>2698</v>
      </c>
      <c r="E1338" s="59"/>
      <c r="F1338" s="59" t="str">
        <f>IF(INDEX(I.Gas.P2bC1E1,22)="","",INDEX(I.Gas.P2bC1E1,22))</f>
        <v/>
      </c>
      <c r="G1338" s="59"/>
      <c r="H1338" s="26" t="str">
        <f>IF(OR(I.Developer.P2b=FALSE,I.Facility.StandardPart="Part 2"),"Complete",IF(I.Product.P2bGasToPower="No","Complete",IF(AND(I.Gas.P2bCount&gt;=22,F1338=""),"Incomplete","Complete")))</f>
        <v>Complete</v>
      </c>
      <c r="I1338" s="39" t="s">
        <v>1550</v>
      </c>
    </row>
    <row r="1339" spans="2:9" ht="15" customHeight="1" x14ac:dyDescent="0.25">
      <c r="B1339" s="37" t="s">
        <v>1528</v>
      </c>
      <c r="C1339" s="26">
        <v>23</v>
      </c>
      <c r="D1339" s="38" t="s">
        <v>2698</v>
      </c>
      <c r="E1339" s="59"/>
      <c r="F1339" s="59" t="str">
        <f>IF(INDEX(I.Gas.P2bC1E1,23)="","",INDEX(I.Gas.P2bC1E1,23))</f>
        <v/>
      </c>
      <c r="G1339" s="59"/>
      <c r="H1339" s="26" t="str">
        <f>IF(OR(I.Developer.P2b=FALSE,I.Facility.StandardPart="Part 2"),"Complete",IF(I.Product.P2bGasToPower="No","Complete",IF(AND(I.Gas.P2bCount&gt;=23,F1339=""),"Incomplete","Complete")))</f>
        <v>Complete</v>
      </c>
      <c r="I1339" s="39" t="s">
        <v>1551</v>
      </c>
    </row>
    <row r="1340" spans="2:9" ht="15" customHeight="1" x14ac:dyDescent="0.25">
      <c r="B1340" s="37" t="s">
        <v>1528</v>
      </c>
      <c r="C1340" s="26">
        <v>24</v>
      </c>
      <c r="D1340" s="38" t="s">
        <v>2698</v>
      </c>
      <c r="E1340" s="59"/>
      <c r="F1340" s="59" t="str">
        <f>IF(INDEX(I.Gas.P2bC1E1,24)="","",INDEX(I.Gas.P2bC1E1,24))</f>
        <v/>
      </c>
      <c r="G1340" s="59"/>
      <c r="H1340" s="26" t="str">
        <f>IF(OR(I.Developer.P2b=FALSE,I.Facility.StandardPart="Part 2"),"Complete",IF(I.Product.P2bGasToPower="No","Complete",IF(AND(I.Gas.P2bCount&gt;=24,F1340=""),"Incomplete","Complete")))</f>
        <v>Complete</v>
      </c>
      <c r="I1340" s="39" t="s">
        <v>1552</v>
      </c>
    </row>
    <row r="1341" spans="2:9" ht="15" customHeight="1" x14ac:dyDescent="0.25">
      <c r="B1341" s="37" t="s">
        <v>1528</v>
      </c>
      <c r="C1341" s="26">
        <v>25</v>
      </c>
      <c r="D1341" s="38" t="s">
        <v>2698</v>
      </c>
      <c r="E1341" s="59"/>
      <c r="F1341" s="59" t="str">
        <f>IF(INDEX(I.Gas.P2bC1E1,25)="","",INDEX(I.Gas.P2bC1E1,25))</f>
        <v/>
      </c>
      <c r="G1341" s="59"/>
      <c r="H1341" s="26" t="str">
        <f>IF(OR(I.Developer.P2b=FALSE,I.Facility.StandardPart="Part 2"),"Complete",IF(I.Product.P2bGasToPower="No","Complete",IF(AND(I.Gas.P2bCount&gt;=25,F1341=""),"Incomplete","Complete")))</f>
        <v>Complete</v>
      </c>
      <c r="I1341" s="39" t="s">
        <v>1553</v>
      </c>
    </row>
    <row r="1342" spans="2:9" ht="15" customHeight="1" x14ac:dyDescent="0.25">
      <c r="B1342" s="37" t="s">
        <v>1528</v>
      </c>
      <c r="C1342" s="26">
        <v>26</v>
      </c>
      <c r="D1342" s="38" t="s">
        <v>2698</v>
      </c>
      <c r="E1342" s="59"/>
      <c r="F1342" s="59" t="str">
        <f>IF(INDEX(I.Gas.P2bC1E1,26)="","",INDEX(I.Gas.P2bC1E1,26))</f>
        <v/>
      </c>
      <c r="G1342" s="59"/>
      <c r="H1342" s="26" t="str">
        <f>IF(OR(I.Developer.P2b=FALSE,I.Facility.StandardPart="Part 2"),"Complete",IF(I.Product.P2bGasToPower="No","Complete",IF(AND(I.Gas.P2bCount&gt;=26,F1342=""),"Incomplete","Complete")))</f>
        <v>Complete</v>
      </c>
      <c r="I1342" s="39" t="s">
        <v>1554</v>
      </c>
    </row>
    <row r="1343" spans="2:9" ht="15" customHeight="1" x14ac:dyDescent="0.25">
      <c r="B1343" s="37" t="s">
        <v>1528</v>
      </c>
      <c r="C1343" s="26">
        <v>27</v>
      </c>
      <c r="D1343" s="38" t="s">
        <v>2698</v>
      </c>
      <c r="E1343" s="59"/>
      <c r="F1343" s="59" t="str">
        <f>IF(INDEX(I.Gas.P2bC1E1,27)="","",INDEX(I.Gas.P2bC1E1,27))</f>
        <v/>
      </c>
      <c r="G1343" s="59"/>
      <c r="H1343" s="26" t="str">
        <f>IF(OR(I.Developer.P2b=FALSE,I.Facility.StandardPart="Part 2"),"Complete",IF(I.Product.P2bGasToPower="No","Complete",IF(AND(I.Gas.P2bCount&gt;=27,F1343=""),"Incomplete","Complete")))</f>
        <v>Complete</v>
      </c>
      <c r="I1343" s="39" t="s">
        <v>1555</v>
      </c>
    </row>
    <row r="1344" spans="2:9" ht="15" customHeight="1" x14ac:dyDescent="0.25">
      <c r="B1344" s="37" t="s">
        <v>1528</v>
      </c>
      <c r="C1344" s="26">
        <v>28</v>
      </c>
      <c r="D1344" s="38" t="s">
        <v>2698</v>
      </c>
      <c r="E1344" s="59"/>
      <c r="F1344" s="59" t="str">
        <f>IF(INDEX(I.Gas.P2bC1E1,28)="","",INDEX(I.Gas.P2bC1E1,28))</f>
        <v/>
      </c>
      <c r="G1344" s="59"/>
      <c r="H1344" s="26" t="str">
        <f>IF(OR(I.Developer.P2b=FALSE,I.Facility.StandardPart="Part 2"),"Complete",IF(I.Product.P2bGasToPower="No","Complete",IF(AND(I.Gas.P2bCount&gt;=28,F1344=""),"Incomplete","Complete")))</f>
        <v>Complete</v>
      </c>
      <c r="I1344" s="39" t="s">
        <v>1556</v>
      </c>
    </row>
    <row r="1345" spans="2:9" ht="15" customHeight="1" x14ac:dyDescent="0.25">
      <c r="B1345" s="37" t="s">
        <v>1528</v>
      </c>
      <c r="C1345" s="26">
        <v>29</v>
      </c>
      <c r="D1345" s="38" t="s">
        <v>2698</v>
      </c>
      <c r="E1345" s="59"/>
      <c r="F1345" s="59" t="str">
        <f>IF(INDEX(I.Gas.P2bC1E1,29)="","",INDEX(I.Gas.P2bC1E1,29))</f>
        <v/>
      </c>
      <c r="G1345" s="59"/>
      <c r="H1345" s="26" t="str">
        <f>IF(OR(I.Developer.P2b=FALSE,I.Facility.StandardPart="Part 2"),"Complete",IF(I.Product.P2bGasToPower="No","Complete",IF(AND(I.Gas.P2bCount&gt;=29,F1345=""),"Incomplete","Complete")))</f>
        <v>Complete</v>
      </c>
      <c r="I1345" s="39" t="s">
        <v>1557</v>
      </c>
    </row>
    <row r="1346" spans="2:9" ht="15" customHeight="1" x14ac:dyDescent="0.25">
      <c r="B1346" s="37" t="s">
        <v>1528</v>
      </c>
      <c r="C1346" s="26">
        <v>30</v>
      </c>
      <c r="D1346" s="38" t="s">
        <v>2698</v>
      </c>
      <c r="E1346" s="59"/>
      <c r="F1346" s="59" t="str">
        <f>IF(INDEX(I.Gas.P2bC1E1,30)="","",INDEX(I.Gas.P2bC1E1,30))</f>
        <v/>
      </c>
      <c r="G1346" s="59"/>
      <c r="H1346" s="26" t="str">
        <f>IF(OR(I.Developer.P2b=FALSE,I.Facility.StandardPart="Part 2"),"Complete",IF(I.Product.P2bGasToPower="No","Complete",IF(AND(I.Gas.P2bCount&gt;=30,F1346=""),"Incomplete","Complete")))</f>
        <v>Complete</v>
      </c>
      <c r="I1346" s="39" t="s">
        <v>1558</v>
      </c>
    </row>
    <row r="1347" spans="2:9" ht="15" customHeight="1" x14ac:dyDescent="0.25">
      <c r="B1347" s="37" t="s">
        <v>1528</v>
      </c>
      <c r="C1347" s="26">
        <v>31</v>
      </c>
      <c r="D1347" s="38" t="s">
        <v>2698</v>
      </c>
      <c r="E1347" s="59"/>
      <c r="F1347" s="59" t="str">
        <f>IF(INDEX(I.Gas.P2bC1E1,31)="","",INDEX(I.Gas.P2bC1E1,31))</f>
        <v/>
      </c>
      <c r="G1347" s="59"/>
      <c r="H1347" s="26" t="str">
        <f>IF(OR(I.Developer.P2b=FALSE,I.Facility.StandardPart="Part 2"),"Complete",IF(I.Product.P2bGasToPower="No","Complete",IF(AND(I.Gas.P2bCount&gt;=31,F1347=""),"Incomplete","Complete")))</f>
        <v>Complete</v>
      </c>
      <c r="I1347" s="39" t="s">
        <v>1559</v>
      </c>
    </row>
    <row r="1348" spans="2:9" ht="15" customHeight="1" x14ac:dyDescent="0.25">
      <c r="B1348" s="37" t="s">
        <v>1528</v>
      </c>
      <c r="C1348" s="26">
        <v>32</v>
      </c>
      <c r="D1348" s="38" t="s">
        <v>2698</v>
      </c>
      <c r="E1348" s="59"/>
      <c r="F1348" s="59" t="str">
        <f>IF(INDEX(I.Gas.P2bC1E1,32)="","",INDEX(I.Gas.P2bC1E1,32))</f>
        <v/>
      </c>
      <c r="G1348" s="59"/>
      <c r="H1348" s="26" t="str">
        <f>IF(OR(I.Developer.P2b=FALSE,I.Facility.StandardPart="Part 2"),"Complete",IF(I.Product.P2bGasToPower="No","Complete",IF(AND(I.Gas.P2bCount&gt;=32,F1348=""),"Incomplete","Complete")))</f>
        <v>Complete</v>
      </c>
      <c r="I1348" s="39" t="s">
        <v>1560</v>
      </c>
    </row>
    <row r="1349" spans="2:9" ht="15" customHeight="1" x14ac:dyDescent="0.25">
      <c r="B1349" s="37" t="s">
        <v>1528</v>
      </c>
      <c r="C1349" s="26">
        <v>33</v>
      </c>
      <c r="D1349" s="38" t="s">
        <v>2698</v>
      </c>
      <c r="E1349" s="59"/>
      <c r="F1349" s="59" t="str">
        <f>IF(INDEX(I.Gas.P2bC1E1,33)="","",INDEX(I.Gas.P2bC1E1,33))</f>
        <v/>
      </c>
      <c r="G1349" s="59"/>
      <c r="H1349" s="26" t="str">
        <f>IF(OR(I.Developer.P2b=FALSE,I.Facility.StandardPart="Part 2"),"Complete",IF(I.Product.P2bGasToPower="No","Complete",IF(AND(I.Gas.P2bCount&gt;=33,F1349=""),"Incomplete","Complete")))</f>
        <v>Complete</v>
      </c>
      <c r="I1349" s="39" t="s">
        <v>1561</v>
      </c>
    </row>
    <row r="1350" spans="2:9" ht="15" customHeight="1" x14ac:dyDescent="0.25">
      <c r="B1350" s="37" t="s">
        <v>1528</v>
      </c>
      <c r="C1350" s="26">
        <v>34</v>
      </c>
      <c r="D1350" s="38" t="s">
        <v>2698</v>
      </c>
      <c r="E1350" s="59"/>
      <c r="F1350" s="59" t="str">
        <f>IF(INDEX(I.Gas.P2bC1E1,34)="","",INDEX(I.Gas.P2bC1E1,34))</f>
        <v/>
      </c>
      <c r="G1350" s="59"/>
      <c r="H1350" s="26" t="str">
        <f>IF(OR(I.Developer.P2b=FALSE,I.Facility.StandardPart="Part 2"),"Complete",IF(I.Product.P2bGasToPower="No","Complete",IF(AND(I.Gas.P2bCount&gt;=34,F1350=""),"Incomplete","Complete")))</f>
        <v>Complete</v>
      </c>
      <c r="I1350" s="39" t="s">
        <v>1562</v>
      </c>
    </row>
    <row r="1351" spans="2:9" ht="15" customHeight="1" x14ac:dyDescent="0.25">
      <c r="B1351" s="37" t="s">
        <v>1528</v>
      </c>
      <c r="C1351" s="26">
        <v>35</v>
      </c>
      <c r="D1351" s="38" t="s">
        <v>2698</v>
      </c>
      <c r="E1351" s="59"/>
      <c r="F1351" s="59" t="str">
        <f>IF(INDEX(I.Gas.P2bC1E1,35)="","",INDEX(I.Gas.P2bC1E1,35))</f>
        <v/>
      </c>
      <c r="G1351" s="59"/>
      <c r="H1351" s="26" t="str">
        <f>IF(OR(I.Developer.P2b=FALSE,I.Facility.StandardPart="Part 2"),"Complete",IF(I.Product.P2bGasToPower="No","Complete",IF(AND(I.Gas.P2bCount&gt;=35,F1351=""),"Incomplete","Complete")))</f>
        <v>Complete</v>
      </c>
      <c r="I1351" s="39" t="s">
        <v>1563</v>
      </c>
    </row>
    <row r="1352" spans="2:9" ht="15" customHeight="1" x14ac:dyDescent="0.25">
      <c r="B1352" s="37" t="s">
        <v>1528</v>
      </c>
      <c r="C1352" s="26">
        <v>36</v>
      </c>
      <c r="D1352" s="38" t="s">
        <v>2698</v>
      </c>
      <c r="E1352" s="59"/>
      <c r="F1352" s="59" t="str">
        <f>IF(INDEX(I.Gas.P2bC1E1,36)="","",INDEX(I.Gas.P2bC1E1,36))</f>
        <v/>
      </c>
      <c r="G1352" s="59"/>
      <c r="H1352" s="26" t="str">
        <f>IF(OR(I.Developer.P2b=FALSE,I.Facility.StandardPart="Part 2"),"Complete",IF(I.Product.P2bGasToPower="No","Complete",IF(AND(I.Gas.P2bCount&gt;=36,F1352=""),"Incomplete","Complete")))</f>
        <v>Complete</v>
      </c>
      <c r="I1352" s="39" t="s">
        <v>1564</v>
      </c>
    </row>
    <row r="1353" spans="2:9" ht="15" customHeight="1" x14ac:dyDescent="0.25">
      <c r="B1353" s="37" t="s">
        <v>1528</v>
      </c>
      <c r="C1353" s="26">
        <v>37</v>
      </c>
      <c r="D1353" s="38" t="s">
        <v>2698</v>
      </c>
      <c r="E1353" s="59"/>
      <c r="F1353" s="59" t="str">
        <f>IF(INDEX(I.Gas.P2bC1E1,37)="","",INDEX(I.Gas.P2bC1E1,37))</f>
        <v/>
      </c>
      <c r="G1353" s="59"/>
      <c r="H1353" s="26" t="str">
        <f>IF(OR(I.Developer.P2b=FALSE,I.Facility.StandardPart="Part 2"),"Complete",IF(I.Product.P2bGasToPower="No","Complete",IF(AND(I.Gas.P2bCount&gt;=37,F1353=""),"Incomplete","Complete")))</f>
        <v>Complete</v>
      </c>
      <c r="I1353" s="39" t="s">
        <v>1565</v>
      </c>
    </row>
    <row r="1354" spans="2:9" ht="15" customHeight="1" x14ac:dyDescent="0.25">
      <c r="B1354" s="37" t="s">
        <v>1528</v>
      </c>
      <c r="C1354" s="26">
        <v>38</v>
      </c>
      <c r="D1354" s="38" t="s">
        <v>2698</v>
      </c>
      <c r="E1354" s="59"/>
      <c r="F1354" s="59" t="str">
        <f>IF(INDEX(I.Gas.P2bC1E1,38)="","",INDEX(I.Gas.P2bC1E1,38))</f>
        <v/>
      </c>
      <c r="G1354" s="59"/>
      <c r="H1354" s="26" t="str">
        <f>IF(OR(I.Developer.P2b=FALSE,I.Facility.StandardPart="Part 2"),"Complete",IF(I.Product.P2bGasToPower="No","Complete",IF(AND(I.Gas.P2bCount&gt;=38,F1354=""),"Incomplete","Complete")))</f>
        <v>Complete</v>
      </c>
      <c r="I1354" s="39" t="s">
        <v>1566</v>
      </c>
    </row>
    <row r="1355" spans="2:9" ht="15" customHeight="1" x14ac:dyDescent="0.25">
      <c r="B1355" s="37" t="s">
        <v>1528</v>
      </c>
      <c r="C1355" s="26">
        <v>39</v>
      </c>
      <c r="D1355" s="38" t="s">
        <v>2698</v>
      </c>
      <c r="E1355" s="59"/>
      <c r="F1355" s="59" t="str">
        <f>IF(INDEX(I.Gas.P2bC1E1,39)="","",INDEX(I.Gas.P2bC1E1,39))</f>
        <v/>
      </c>
      <c r="G1355" s="59"/>
      <c r="H1355" s="26" t="str">
        <f>IF(OR(I.Developer.P2b=FALSE,I.Facility.StandardPart="Part 2"),"Complete",IF(I.Product.P2bGasToPower="No","Complete",IF(AND(I.Gas.P2bCount&gt;=39,F1355=""),"Incomplete","Complete")))</f>
        <v>Complete</v>
      </c>
      <c r="I1355" s="39" t="s">
        <v>1567</v>
      </c>
    </row>
    <row r="1356" spans="2:9" ht="15" customHeight="1" x14ac:dyDescent="0.25">
      <c r="B1356" s="37" t="s">
        <v>1528</v>
      </c>
      <c r="C1356" s="26">
        <v>40</v>
      </c>
      <c r="D1356" s="38" t="s">
        <v>2698</v>
      </c>
      <c r="E1356" s="59"/>
      <c r="F1356" s="59" t="str">
        <f>IF(INDEX(I.Gas.P2bC1E1,40)="","",INDEX(I.Gas.P2bC1E1,40))</f>
        <v/>
      </c>
      <c r="G1356" s="59"/>
      <c r="H1356" s="26" t="str">
        <f>IF(OR(I.Developer.P2b=FALSE,I.Facility.StandardPart="Part 2"),"Complete",IF(I.Product.P2bGasToPower="No","Complete",IF(AND(I.Gas.P2bCount&gt;=40,F1356=""),"Incomplete","Complete")))</f>
        <v>Complete</v>
      </c>
      <c r="I1356" s="39" t="s">
        <v>1568</v>
      </c>
    </row>
    <row r="1357" spans="2:9" ht="15" customHeight="1" x14ac:dyDescent="0.25">
      <c r="B1357" s="37" t="s">
        <v>1528</v>
      </c>
      <c r="C1357" s="26">
        <v>41</v>
      </c>
      <c r="D1357" s="38" t="s">
        <v>2698</v>
      </c>
      <c r="E1357" s="59"/>
      <c r="F1357" s="59" t="str">
        <f>IF(INDEX(I.Gas.P2bC1E1,41)="","",INDEX(I.Gas.P2bC1E1,41))</f>
        <v/>
      </c>
      <c r="G1357" s="59"/>
      <c r="H1357" s="26" t="str">
        <f>IF(OR(I.Developer.P2b=FALSE,I.Facility.StandardPart="Part 2"),"Complete",IF(I.Product.P2bGasToPower="No","Complete",IF(AND(I.Gas.P2bCount&gt;=41,F1357=""),"Incomplete","Complete")))</f>
        <v>Complete</v>
      </c>
      <c r="I1357" s="39" t="s">
        <v>1569</v>
      </c>
    </row>
    <row r="1358" spans="2:9" ht="15" customHeight="1" x14ac:dyDescent="0.25">
      <c r="B1358" s="37" t="s">
        <v>1528</v>
      </c>
      <c r="C1358" s="26">
        <v>42</v>
      </c>
      <c r="D1358" s="38" t="s">
        <v>2698</v>
      </c>
      <c r="E1358" s="59"/>
      <c r="F1358" s="59" t="str">
        <f>IF(INDEX(I.Gas.P2bC1E1,42)="","",INDEX(I.Gas.P2bC1E1,42))</f>
        <v/>
      </c>
      <c r="G1358" s="59"/>
      <c r="H1358" s="26" t="str">
        <f>IF(OR(I.Developer.P2b=FALSE,I.Facility.StandardPart="Part 2"),"Complete",IF(I.Product.P2bGasToPower="No","Complete",IF(AND(I.Gas.P2bCount&gt;=42,F1358=""),"Incomplete","Complete")))</f>
        <v>Complete</v>
      </c>
      <c r="I1358" s="39" t="s">
        <v>1570</v>
      </c>
    </row>
    <row r="1359" spans="2:9" ht="15" customHeight="1" x14ac:dyDescent="0.25">
      <c r="B1359" s="37" t="s">
        <v>1528</v>
      </c>
      <c r="C1359" s="26">
        <v>43</v>
      </c>
      <c r="D1359" s="38" t="s">
        <v>2698</v>
      </c>
      <c r="E1359" s="59"/>
      <c r="F1359" s="59" t="str">
        <f>IF(INDEX(I.Gas.P2bC1E1,43)="","",INDEX(I.Gas.P2bC1E1,43))</f>
        <v/>
      </c>
      <c r="G1359" s="59"/>
      <c r="H1359" s="26" t="str">
        <f>IF(OR(I.Developer.P2b=FALSE,I.Facility.StandardPart="Part 2"),"Complete",IF(I.Product.P2bGasToPower="No","Complete",IF(AND(I.Gas.P2bCount&gt;=43,F1359=""),"Incomplete","Complete")))</f>
        <v>Complete</v>
      </c>
      <c r="I1359" s="39" t="s">
        <v>1571</v>
      </c>
    </row>
    <row r="1360" spans="2:9" ht="15" customHeight="1" x14ac:dyDescent="0.25">
      <c r="B1360" s="37" t="s">
        <v>1528</v>
      </c>
      <c r="C1360" s="26">
        <v>44</v>
      </c>
      <c r="D1360" s="38" t="s">
        <v>2698</v>
      </c>
      <c r="E1360" s="59"/>
      <c r="F1360" s="59" t="str">
        <f>IF(INDEX(I.Gas.P2bC1E1,44)="","",INDEX(I.Gas.P2bC1E1,44))</f>
        <v/>
      </c>
      <c r="G1360" s="59"/>
      <c r="H1360" s="26" t="str">
        <f>IF(OR(I.Developer.P2b=FALSE,I.Facility.StandardPart="Part 2"),"Complete",IF(I.Product.P2bGasToPower="No","Complete",IF(AND(I.Gas.P2bCount&gt;=44,F1360=""),"Incomplete","Complete")))</f>
        <v>Complete</v>
      </c>
      <c r="I1360" s="39" t="s">
        <v>1572</v>
      </c>
    </row>
    <row r="1361" spans="2:9" ht="15" customHeight="1" x14ac:dyDescent="0.25">
      <c r="B1361" s="37" t="s">
        <v>1528</v>
      </c>
      <c r="C1361" s="26">
        <v>45</v>
      </c>
      <c r="D1361" s="38" t="s">
        <v>2698</v>
      </c>
      <c r="E1361" s="59"/>
      <c r="F1361" s="59" t="str">
        <f>IF(INDEX(I.Gas.P2bC1E1,45)="","",INDEX(I.Gas.P2bC1E1,45))</f>
        <v/>
      </c>
      <c r="G1361" s="59"/>
      <c r="H1361" s="26" t="str">
        <f>IF(OR(I.Developer.P2b=FALSE,I.Facility.StandardPart="Part 2"),"Complete",IF(I.Product.P2bGasToPower="No","Complete",IF(AND(I.Gas.P2bCount&gt;=45,F1361=""),"Incomplete","Complete")))</f>
        <v>Complete</v>
      </c>
      <c r="I1361" s="39" t="s">
        <v>1573</v>
      </c>
    </row>
    <row r="1362" spans="2:9" ht="15" customHeight="1" x14ac:dyDescent="0.25">
      <c r="B1362" s="37" t="s">
        <v>1528</v>
      </c>
      <c r="C1362" s="26">
        <v>46</v>
      </c>
      <c r="D1362" s="38" t="s">
        <v>2698</v>
      </c>
      <c r="E1362" s="59"/>
      <c r="F1362" s="59" t="str">
        <f>IF(INDEX(I.Gas.P2bC1E1,46)="","",INDEX(I.Gas.P2bC1E1,46))</f>
        <v/>
      </c>
      <c r="G1362" s="59"/>
      <c r="H1362" s="26" t="str">
        <f>IF(OR(I.Developer.P2b=FALSE,I.Facility.StandardPart="Part 2"),"Complete",IF(I.Product.P2bGasToPower="No","Complete",IF(AND(I.Gas.P2bCount&gt;=46,F1362=""),"Incomplete","Complete")))</f>
        <v>Complete</v>
      </c>
      <c r="I1362" s="39" t="s">
        <v>1574</v>
      </c>
    </row>
    <row r="1363" spans="2:9" ht="15" customHeight="1" x14ac:dyDescent="0.25">
      <c r="B1363" s="37" t="s">
        <v>1528</v>
      </c>
      <c r="C1363" s="26">
        <v>47</v>
      </c>
      <c r="D1363" s="38" t="s">
        <v>2698</v>
      </c>
      <c r="E1363" s="59"/>
      <c r="F1363" s="59" t="str">
        <f>IF(INDEX(I.Gas.P2bC1E1,47)="","",INDEX(I.Gas.P2bC1E1,47))</f>
        <v/>
      </c>
      <c r="G1363" s="59"/>
      <c r="H1363" s="26" t="str">
        <f>IF(OR(I.Developer.P2b=FALSE,I.Facility.StandardPart="Part 2"),"Complete",IF(I.Product.P2bGasToPower="No","Complete",IF(AND(I.Gas.P2bCount&gt;=47,F1363=""),"Incomplete","Complete")))</f>
        <v>Complete</v>
      </c>
      <c r="I1363" s="39" t="s">
        <v>1575</v>
      </c>
    </row>
    <row r="1364" spans="2:9" ht="15" customHeight="1" x14ac:dyDescent="0.25">
      <c r="B1364" s="37" t="s">
        <v>1528</v>
      </c>
      <c r="C1364" s="26">
        <v>48</v>
      </c>
      <c r="D1364" s="38" t="s">
        <v>2698</v>
      </c>
      <c r="E1364" s="59"/>
      <c r="F1364" s="59" t="str">
        <f>IF(INDEX(I.Gas.P2bC1E1,48)="","",INDEX(I.Gas.P2bC1E1,48))</f>
        <v/>
      </c>
      <c r="G1364" s="59"/>
      <c r="H1364" s="26" t="str">
        <f>IF(OR(I.Developer.P2b=FALSE,I.Facility.StandardPart="Part 2"),"Complete",IF(I.Product.P2bGasToPower="No","Complete",IF(AND(I.Gas.P2bCount&gt;=48,F1364=""),"Incomplete","Complete")))</f>
        <v>Complete</v>
      </c>
      <c r="I1364" s="39" t="s">
        <v>1576</v>
      </c>
    </row>
    <row r="1365" spans="2:9" ht="15" customHeight="1" x14ac:dyDescent="0.25">
      <c r="B1365" s="37" t="s">
        <v>1528</v>
      </c>
      <c r="C1365" s="26">
        <v>49</v>
      </c>
      <c r="D1365" s="38" t="s">
        <v>2698</v>
      </c>
      <c r="E1365" s="59"/>
      <c r="F1365" s="59" t="str">
        <f>IF(INDEX(I.Gas.P2bC1E1,49)="","",INDEX(I.Gas.P2bC1E1,49))</f>
        <v/>
      </c>
      <c r="G1365" s="59"/>
      <c r="H1365" s="26" t="str">
        <f>IF(OR(I.Developer.P2b=FALSE,I.Facility.StandardPart="Part 2"),"Complete",IF(I.Product.P2bGasToPower="No","Complete",IF(AND(I.Gas.P2bCount&gt;=49,F1365=""),"Incomplete","Complete")))</f>
        <v>Complete</v>
      </c>
      <c r="I1365" s="39" t="s">
        <v>1577</v>
      </c>
    </row>
    <row r="1366" spans="2:9" ht="15" customHeight="1" x14ac:dyDescent="0.25">
      <c r="B1366" s="40" t="s">
        <v>1528</v>
      </c>
      <c r="C1366" s="46">
        <v>50</v>
      </c>
      <c r="D1366" s="44" t="s">
        <v>2698</v>
      </c>
      <c r="E1366" s="63"/>
      <c r="F1366" s="63" t="str">
        <f>IF(INDEX(I.Gas.P2bC1E1,50)="","",INDEX(I.Gas.P2bC1E1,50))</f>
        <v/>
      </c>
      <c r="G1366" s="63"/>
      <c r="H1366" s="46" t="str">
        <f>IF(OR(I.Developer.P2b=FALSE,I.Facility.StandardPart="Part 2"),"Complete",IF(I.Product.P2bGasToPower="No","Complete",IF(AND(I.Gas.P2bCount&gt;=50,F1366=""),"Incomplete","Complete")))</f>
        <v>Complete</v>
      </c>
      <c r="I1366" s="47" t="s">
        <v>1578</v>
      </c>
    </row>
    <row r="1367" spans="2:9" ht="15" customHeight="1" x14ac:dyDescent="0.25">
      <c r="B1367" s="37" t="s">
        <v>1579</v>
      </c>
      <c r="C1367" s="26">
        <v>1</v>
      </c>
      <c r="D1367" s="38" t="s">
        <v>2699</v>
      </c>
      <c r="E1367" s="59"/>
      <c r="F1367" s="59" t="str">
        <f>IF(INDEX(I.Gas.P2bC1E2,1)="","",INDEX(I.Gas.P2bC1E2,1))</f>
        <v/>
      </c>
      <c r="G1367" s="59"/>
      <c r="H1367" s="26" t="str">
        <f>IF(OR(I.Developer.P2b=FALSE,I.Facility.StandardPart="Part 2"),"Complete",IF(I.Product.P2bGasToPower="No","Complete",IF(AND(I.Gas.P2bCount&gt;=1,F1367=""),"Incomplete","Complete")))</f>
        <v>Complete</v>
      </c>
      <c r="I1367" s="39" t="s">
        <v>1580</v>
      </c>
    </row>
    <row r="1368" spans="2:9" ht="15" customHeight="1" x14ac:dyDescent="0.25">
      <c r="B1368" s="37" t="s">
        <v>1579</v>
      </c>
      <c r="C1368" s="26">
        <v>2</v>
      </c>
      <c r="D1368" s="38" t="s">
        <v>2699</v>
      </c>
      <c r="E1368" s="59"/>
      <c r="F1368" s="59" t="str">
        <f>IF(INDEX(I.Gas.P2bC1E2,2)="","",INDEX(I.Gas.P2bC1E2,2))</f>
        <v/>
      </c>
      <c r="G1368" s="59"/>
      <c r="H1368" s="26" t="str">
        <f>IF(OR(I.Developer.P2b=FALSE,I.Facility.StandardPart="Part 2"),"Complete",IF(I.Product.P2bGasToPower="No","Complete",IF(AND(I.Gas.P2bCount&gt;=2,F1368=""),"Incomplete","Complete")))</f>
        <v>Complete</v>
      </c>
      <c r="I1368" s="39" t="s">
        <v>1581</v>
      </c>
    </row>
    <row r="1369" spans="2:9" ht="15" customHeight="1" x14ac:dyDescent="0.25">
      <c r="B1369" s="37" t="s">
        <v>1579</v>
      </c>
      <c r="C1369" s="26">
        <v>3</v>
      </c>
      <c r="D1369" s="38" t="s">
        <v>2699</v>
      </c>
      <c r="E1369" s="59"/>
      <c r="F1369" s="59" t="str">
        <f>IF(INDEX(I.Gas.P2bC1E2,3)="","",INDEX(I.Gas.P2bC1E2,3))</f>
        <v/>
      </c>
      <c r="G1369" s="59"/>
      <c r="H1369" s="26" t="str">
        <f>IF(OR(I.Developer.P2b=FALSE,I.Facility.StandardPart="Part 2"),"Complete",IF(I.Product.P2bGasToPower="No","Complete",IF(AND(I.Gas.P2bCount&gt;=3,F1369=""),"Incomplete","Complete")))</f>
        <v>Complete</v>
      </c>
      <c r="I1369" s="39" t="s">
        <v>1582</v>
      </c>
    </row>
    <row r="1370" spans="2:9" ht="15" customHeight="1" x14ac:dyDescent="0.25">
      <c r="B1370" s="37" t="s">
        <v>1579</v>
      </c>
      <c r="C1370" s="26">
        <v>4</v>
      </c>
      <c r="D1370" s="38" t="s">
        <v>2699</v>
      </c>
      <c r="E1370" s="59"/>
      <c r="F1370" s="59" t="str">
        <f>IF(INDEX(I.Gas.P2bC1E2,4)="","",INDEX(I.Gas.P2bC1E2,4))</f>
        <v/>
      </c>
      <c r="G1370" s="59"/>
      <c r="H1370" s="26" t="str">
        <f>IF(OR(I.Developer.P2b=FALSE,I.Facility.StandardPart="Part 2"),"Complete",IF(I.Product.P2bGasToPower="No","Complete",IF(AND(I.Gas.P2bCount&gt;=4,F1370=""),"Incomplete","Complete")))</f>
        <v>Complete</v>
      </c>
      <c r="I1370" s="39" t="s">
        <v>1583</v>
      </c>
    </row>
    <row r="1371" spans="2:9" ht="15" customHeight="1" x14ac:dyDescent="0.25">
      <c r="B1371" s="37" t="s">
        <v>1579</v>
      </c>
      <c r="C1371" s="26">
        <v>5</v>
      </c>
      <c r="D1371" s="38" t="s">
        <v>2699</v>
      </c>
      <c r="E1371" s="59"/>
      <c r="F1371" s="59" t="str">
        <f>IF(INDEX(I.Gas.P2bC1E2,5)="","",INDEX(I.Gas.P2bC1E2,5))</f>
        <v/>
      </c>
      <c r="G1371" s="59"/>
      <c r="H1371" s="26" t="str">
        <f>IF(OR(I.Developer.P2b=FALSE,I.Facility.StandardPart="Part 2"),"Complete",IF(I.Product.P2bGasToPower="No","Complete",IF(AND(I.Gas.P2bCount&gt;=5,F1371=""),"Incomplete","Complete")))</f>
        <v>Complete</v>
      </c>
      <c r="I1371" s="39" t="s">
        <v>1584</v>
      </c>
    </row>
    <row r="1372" spans="2:9" ht="15" customHeight="1" x14ac:dyDescent="0.25">
      <c r="B1372" s="37" t="s">
        <v>1579</v>
      </c>
      <c r="C1372" s="26">
        <v>6</v>
      </c>
      <c r="D1372" s="38" t="s">
        <v>2699</v>
      </c>
      <c r="E1372" s="59"/>
      <c r="F1372" s="59" t="str">
        <f>IF(INDEX(I.Gas.P2bC1E2,6)="","",INDEX(I.Gas.P2bC1E2,6))</f>
        <v/>
      </c>
      <c r="G1372" s="59"/>
      <c r="H1372" s="26" t="str">
        <f>IF(OR(I.Developer.P2b=FALSE,I.Facility.StandardPart="Part 2"),"Complete",IF(I.Product.P2bGasToPower="No","Complete",IF(AND(I.Gas.P2bCount&gt;=6,F1372=""),"Incomplete","Complete")))</f>
        <v>Complete</v>
      </c>
      <c r="I1372" s="39" t="s">
        <v>1585</v>
      </c>
    </row>
    <row r="1373" spans="2:9" ht="15" customHeight="1" x14ac:dyDescent="0.25">
      <c r="B1373" s="37" t="s">
        <v>1579</v>
      </c>
      <c r="C1373" s="26">
        <v>7</v>
      </c>
      <c r="D1373" s="38" t="s">
        <v>2699</v>
      </c>
      <c r="E1373" s="59"/>
      <c r="F1373" s="59" t="str">
        <f>IF(INDEX(I.Gas.P2bC1E2,7)="","",INDEX(I.Gas.P2bC1E2,7))</f>
        <v/>
      </c>
      <c r="G1373" s="59"/>
      <c r="H1373" s="26" t="str">
        <f>IF(OR(I.Developer.P2b=FALSE,I.Facility.StandardPart="Part 2"),"Complete",IF(I.Product.P2bGasToPower="No","Complete",IF(AND(I.Gas.P2bCount&gt;=7,F1373=""),"Incomplete","Complete")))</f>
        <v>Complete</v>
      </c>
      <c r="I1373" s="39" t="s">
        <v>1586</v>
      </c>
    </row>
    <row r="1374" spans="2:9" ht="15" customHeight="1" x14ac:dyDescent="0.25">
      <c r="B1374" s="37" t="s">
        <v>1579</v>
      </c>
      <c r="C1374" s="26">
        <v>8</v>
      </c>
      <c r="D1374" s="38" t="s">
        <v>2699</v>
      </c>
      <c r="E1374" s="59"/>
      <c r="F1374" s="59" t="str">
        <f>IF(INDEX(I.Gas.P2bC1E2,8)="","",INDEX(I.Gas.P2bC1E2,8))</f>
        <v/>
      </c>
      <c r="G1374" s="59"/>
      <c r="H1374" s="26" t="str">
        <f>IF(OR(I.Developer.P2b=FALSE,I.Facility.StandardPart="Part 2"),"Complete",IF(I.Product.P2bGasToPower="No","Complete",IF(AND(I.Gas.P2bCount&gt;=8,F1374=""),"Incomplete","Complete")))</f>
        <v>Complete</v>
      </c>
      <c r="I1374" s="39" t="s">
        <v>1587</v>
      </c>
    </row>
    <row r="1375" spans="2:9" ht="15" customHeight="1" x14ac:dyDescent="0.25">
      <c r="B1375" s="37" t="s">
        <v>1579</v>
      </c>
      <c r="C1375" s="26">
        <v>9</v>
      </c>
      <c r="D1375" s="38" t="s">
        <v>2699</v>
      </c>
      <c r="E1375" s="59"/>
      <c r="F1375" s="59" t="str">
        <f>IF(INDEX(I.Gas.P2bC1E2,9)="","",INDEX(I.Gas.P2bC1E2,9))</f>
        <v/>
      </c>
      <c r="G1375" s="59"/>
      <c r="H1375" s="26" t="str">
        <f>IF(OR(I.Developer.P2b=FALSE,I.Facility.StandardPart="Part 2"),"Complete",IF(I.Product.P2bGasToPower="No","Complete",IF(AND(I.Gas.P2bCount&gt;=9,F1375=""),"Incomplete","Complete")))</f>
        <v>Complete</v>
      </c>
      <c r="I1375" s="39" t="s">
        <v>1588</v>
      </c>
    </row>
    <row r="1376" spans="2:9" ht="15" customHeight="1" x14ac:dyDescent="0.25">
      <c r="B1376" s="37" t="s">
        <v>1579</v>
      </c>
      <c r="C1376" s="26">
        <v>10</v>
      </c>
      <c r="D1376" s="38" t="s">
        <v>2699</v>
      </c>
      <c r="E1376" s="59"/>
      <c r="F1376" s="59" t="str">
        <f>IF(INDEX(I.Gas.P2bC1E2,10)="","",INDEX(I.Gas.P2bC1E2,10))</f>
        <v/>
      </c>
      <c r="G1376" s="59"/>
      <c r="H1376" s="26" t="str">
        <f>IF(OR(I.Developer.P2b=FALSE,I.Facility.StandardPart="Part 2"),"Complete",IF(I.Product.P2bGasToPower="No","Complete",IF(AND(I.Gas.P2bCount&gt;=10,F1376=""),"Incomplete","Complete")))</f>
        <v>Complete</v>
      </c>
      <c r="I1376" s="39" t="s">
        <v>1589</v>
      </c>
    </row>
    <row r="1377" spans="2:9" ht="15" customHeight="1" x14ac:dyDescent="0.25">
      <c r="B1377" s="37" t="s">
        <v>1579</v>
      </c>
      <c r="C1377" s="26">
        <v>11</v>
      </c>
      <c r="D1377" s="38" t="s">
        <v>2699</v>
      </c>
      <c r="E1377" s="59"/>
      <c r="F1377" s="59" t="str">
        <f>IF(INDEX(I.Gas.P2bC1E2,11)="","",INDEX(I.Gas.P2bC1E2,11))</f>
        <v/>
      </c>
      <c r="G1377" s="59"/>
      <c r="H1377" s="26" t="str">
        <f>IF(OR(I.Developer.P2b=FALSE,I.Facility.StandardPart="Part 2"),"Complete",IF(I.Product.P2bGasToPower="No","Complete",IF(AND(I.Gas.P2bCount&gt;=11,F1377=""),"Incomplete","Complete")))</f>
        <v>Complete</v>
      </c>
      <c r="I1377" s="39" t="s">
        <v>1590</v>
      </c>
    </row>
    <row r="1378" spans="2:9" ht="15" customHeight="1" x14ac:dyDescent="0.25">
      <c r="B1378" s="37" t="s">
        <v>1579</v>
      </c>
      <c r="C1378" s="26">
        <v>12</v>
      </c>
      <c r="D1378" s="38" t="s">
        <v>2699</v>
      </c>
      <c r="E1378" s="59"/>
      <c r="F1378" s="59" t="str">
        <f>IF(INDEX(I.Gas.P2bC1E2,12)="","",INDEX(I.Gas.P2bC1E2,12))</f>
        <v/>
      </c>
      <c r="G1378" s="59"/>
      <c r="H1378" s="26" t="str">
        <f>IF(OR(I.Developer.P2b=FALSE,I.Facility.StandardPart="Part 2"),"Complete",IF(I.Product.P2bGasToPower="No","Complete",IF(AND(I.Gas.P2bCount&gt;=12,F1378=""),"Incomplete","Complete")))</f>
        <v>Complete</v>
      </c>
      <c r="I1378" s="39" t="s">
        <v>1591</v>
      </c>
    </row>
    <row r="1379" spans="2:9" ht="15" customHeight="1" x14ac:dyDescent="0.25">
      <c r="B1379" s="37" t="s">
        <v>1579</v>
      </c>
      <c r="C1379" s="26">
        <v>13</v>
      </c>
      <c r="D1379" s="38" t="s">
        <v>2699</v>
      </c>
      <c r="E1379" s="59"/>
      <c r="F1379" s="59" t="str">
        <f>IF(INDEX(I.Gas.P2bC1E2,13)="","",INDEX(I.Gas.P2bC1E2,13))</f>
        <v/>
      </c>
      <c r="G1379" s="59"/>
      <c r="H1379" s="26" t="str">
        <f>IF(OR(I.Developer.P2b=FALSE,I.Facility.StandardPart="Part 2"),"Complete",IF(I.Product.P2bGasToPower="No","Complete",IF(AND(I.Gas.P2bCount&gt;=13,F1379=""),"Incomplete","Complete")))</f>
        <v>Complete</v>
      </c>
      <c r="I1379" s="39" t="s">
        <v>1592</v>
      </c>
    </row>
    <row r="1380" spans="2:9" ht="15" customHeight="1" x14ac:dyDescent="0.25">
      <c r="B1380" s="37" t="s">
        <v>1579</v>
      </c>
      <c r="C1380" s="26">
        <v>14</v>
      </c>
      <c r="D1380" s="38" t="s">
        <v>2699</v>
      </c>
      <c r="E1380" s="59"/>
      <c r="F1380" s="59" t="str">
        <f>IF(INDEX(I.Gas.P2bC1E2,14)="","",INDEX(I.Gas.P2bC1E2,14))</f>
        <v/>
      </c>
      <c r="G1380" s="59"/>
      <c r="H1380" s="26" t="str">
        <f>IF(OR(I.Developer.P2b=FALSE,I.Facility.StandardPart="Part 2"),"Complete",IF(I.Product.P2bGasToPower="No","Complete",IF(AND(I.Gas.P2bCount&gt;=14,F1380=""),"Incomplete","Complete")))</f>
        <v>Complete</v>
      </c>
      <c r="I1380" s="39" t="s">
        <v>1593</v>
      </c>
    </row>
    <row r="1381" spans="2:9" ht="15" customHeight="1" x14ac:dyDescent="0.25">
      <c r="B1381" s="37" t="s">
        <v>1579</v>
      </c>
      <c r="C1381" s="26">
        <v>15</v>
      </c>
      <c r="D1381" s="38" t="s">
        <v>2699</v>
      </c>
      <c r="E1381" s="59"/>
      <c r="F1381" s="59" t="str">
        <f>IF(INDEX(I.Gas.P2bC1E2,15)="","",INDEX(I.Gas.P2bC1E2,15))</f>
        <v/>
      </c>
      <c r="G1381" s="59"/>
      <c r="H1381" s="26" t="str">
        <f>IF(OR(I.Developer.P2b=FALSE,I.Facility.StandardPart="Part 2"),"Complete",IF(I.Product.P2bGasToPower="No","Complete",IF(AND(I.Gas.P2bCount&gt;=15,F1381=""),"Incomplete","Complete")))</f>
        <v>Complete</v>
      </c>
      <c r="I1381" s="39" t="s">
        <v>1594</v>
      </c>
    </row>
    <row r="1382" spans="2:9" ht="15" customHeight="1" x14ac:dyDescent="0.25">
      <c r="B1382" s="37" t="s">
        <v>1579</v>
      </c>
      <c r="C1382" s="26">
        <v>16</v>
      </c>
      <c r="D1382" s="38" t="s">
        <v>2699</v>
      </c>
      <c r="E1382" s="59"/>
      <c r="F1382" s="59" t="str">
        <f>IF(INDEX(I.Gas.P2bC1E2,16)="","",INDEX(I.Gas.P2bC1E2,16))</f>
        <v/>
      </c>
      <c r="G1382" s="59"/>
      <c r="H1382" s="26" t="str">
        <f>IF(OR(I.Developer.P2b=FALSE,I.Facility.StandardPart="Part 2"),"Complete",IF(I.Product.P2bGasToPower="No","Complete",IF(AND(I.Gas.P2bCount&gt;=16,F1382=""),"Incomplete","Complete")))</f>
        <v>Complete</v>
      </c>
      <c r="I1382" s="39" t="s">
        <v>1595</v>
      </c>
    </row>
    <row r="1383" spans="2:9" ht="15" customHeight="1" x14ac:dyDescent="0.25">
      <c r="B1383" s="37" t="s">
        <v>1579</v>
      </c>
      <c r="C1383" s="26">
        <v>17</v>
      </c>
      <c r="D1383" s="38" t="s">
        <v>2699</v>
      </c>
      <c r="E1383" s="59"/>
      <c r="F1383" s="59" t="str">
        <f>IF(INDEX(I.Gas.P2bC1E2,17)="","",INDEX(I.Gas.P2bC1E2,17))</f>
        <v/>
      </c>
      <c r="G1383" s="59"/>
      <c r="H1383" s="26" t="str">
        <f>IF(OR(I.Developer.P2b=FALSE,I.Facility.StandardPart="Part 2"),"Complete",IF(I.Product.P2bGasToPower="No","Complete",IF(AND(I.Gas.P2bCount&gt;=17,F1383=""),"Incomplete","Complete")))</f>
        <v>Complete</v>
      </c>
      <c r="I1383" s="39" t="s">
        <v>1596</v>
      </c>
    </row>
    <row r="1384" spans="2:9" ht="15" customHeight="1" x14ac:dyDescent="0.25">
      <c r="B1384" s="37" t="s">
        <v>1579</v>
      </c>
      <c r="C1384" s="26">
        <v>18</v>
      </c>
      <c r="D1384" s="38" t="s">
        <v>2699</v>
      </c>
      <c r="E1384" s="59"/>
      <c r="F1384" s="59" t="str">
        <f>IF(INDEX(I.Gas.P2bC1E2,18)="","",INDEX(I.Gas.P2bC1E2,18))</f>
        <v/>
      </c>
      <c r="G1384" s="59"/>
      <c r="H1384" s="26" t="str">
        <f>IF(OR(I.Developer.P2b=FALSE,I.Facility.StandardPart="Part 2"),"Complete",IF(I.Product.P2bGasToPower="No","Complete",IF(AND(I.Gas.P2bCount&gt;=18,F1384=""),"Incomplete","Complete")))</f>
        <v>Complete</v>
      </c>
      <c r="I1384" s="39" t="s">
        <v>1597</v>
      </c>
    </row>
    <row r="1385" spans="2:9" ht="15" customHeight="1" x14ac:dyDescent="0.25">
      <c r="B1385" s="37" t="s">
        <v>1579</v>
      </c>
      <c r="C1385" s="26">
        <v>19</v>
      </c>
      <c r="D1385" s="38" t="s">
        <v>2699</v>
      </c>
      <c r="E1385" s="59"/>
      <c r="F1385" s="59" t="str">
        <f>IF(INDEX(I.Gas.P2bC1E2,19)="","",INDEX(I.Gas.P2bC1E2,19))</f>
        <v/>
      </c>
      <c r="G1385" s="59"/>
      <c r="H1385" s="26" t="str">
        <f>IF(OR(I.Developer.P2b=FALSE,I.Facility.StandardPart="Part 2"),"Complete",IF(I.Product.P2bGasToPower="No","Complete",IF(AND(I.Gas.P2bCount&gt;=19,F1385=""),"Incomplete","Complete")))</f>
        <v>Complete</v>
      </c>
      <c r="I1385" s="39" t="s">
        <v>1598</v>
      </c>
    </row>
    <row r="1386" spans="2:9" ht="15" customHeight="1" x14ac:dyDescent="0.25">
      <c r="B1386" s="37" t="s">
        <v>1579</v>
      </c>
      <c r="C1386" s="26">
        <v>20</v>
      </c>
      <c r="D1386" s="38" t="s">
        <v>2699</v>
      </c>
      <c r="E1386" s="59"/>
      <c r="F1386" s="59" t="str">
        <f>IF(INDEX(I.Gas.P2bC1E2,20)="","",INDEX(I.Gas.P2bC1E2,20))</f>
        <v/>
      </c>
      <c r="G1386" s="59"/>
      <c r="H1386" s="26" t="str">
        <f>IF(OR(I.Developer.P2b=FALSE,I.Facility.StandardPart="Part 2"),"Complete",IF(I.Product.P2bGasToPower="No","Complete",IF(AND(I.Gas.P2bCount&gt;=20,F1386=""),"Incomplete","Complete")))</f>
        <v>Complete</v>
      </c>
      <c r="I1386" s="39" t="s">
        <v>1599</v>
      </c>
    </row>
    <row r="1387" spans="2:9" ht="15" customHeight="1" x14ac:dyDescent="0.25">
      <c r="B1387" s="37" t="s">
        <v>1579</v>
      </c>
      <c r="C1387" s="26">
        <v>21</v>
      </c>
      <c r="D1387" s="38" t="s">
        <v>2699</v>
      </c>
      <c r="E1387" s="59"/>
      <c r="F1387" s="59" t="str">
        <f>IF(INDEX(I.Gas.P2bC1E2,21)="","",INDEX(I.Gas.P2bC1E2,21))</f>
        <v/>
      </c>
      <c r="G1387" s="59"/>
      <c r="H1387" s="26" t="str">
        <f>IF(OR(I.Developer.P2b=FALSE,I.Facility.StandardPart="Part 2"),"Complete",IF(I.Product.P2bGasToPower="No","Complete",IF(AND(I.Gas.P2bCount&gt;=21,F1387=""),"Incomplete","Complete")))</f>
        <v>Complete</v>
      </c>
      <c r="I1387" s="39" t="s">
        <v>1600</v>
      </c>
    </row>
    <row r="1388" spans="2:9" ht="15" customHeight="1" x14ac:dyDescent="0.25">
      <c r="B1388" s="37" t="s">
        <v>1579</v>
      </c>
      <c r="C1388" s="26">
        <v>22</v>
      </c>
      <c r="D1388" s="38" t="s">
        <v>2699</v>
      </c>
      <c r="E1388" s="59"/>
      <c r="F1388" s="59" t="str">
        <f>IF(INDEX(I.Gas.P2bC1E2,22)="","",INDEX(I.Gas.P2bC1E2,22))</f>
        <v/>
      </c>
      <c r="G1388" s="59"/>
      <c r="H1388" s="26" t="str">
        <f>IF(OR(I.Developer.P2b=FALSE,I.Facility.StandardPart="Part 2"),"Complete",IF(I.Product.P2bGasToPower="No","Complete",IF(AND(I.Gas.P2bCount&gt;=22,F1388=""),"Incomplete","Complete")))</f>
        <v>Complete</v>
      </c>
      <c r="I1388" s="39" t="s">
        <v>1601</v>
      </c>
    </row>
    <row r="1389" spans="2:9" ht="15" customHeight="1" x14ac:dyDescent="0.25">
      <c r="B1389" s="37" t="s">
        <v>1579</v>
      </c>
      <c r="C1389" s="26">
        <v>23</v>
      </c>
      <c r="D1389" s="38" t="s">
        <v>2699</v>
      </c>
      <c r="E1389" s="59"/>
      <c r="F1389" s="59" t="str">
        <f>IF(INDEX(I.Gas.P2bC1E2,23)="","",INDEX(I.Gas.P2bC1E2,23))</f>
        <v/>
      </c>
      <c r="G1389" s="59"/>
      <c r="H1389" s="26" t="str">
        <f>IF(OR(I.Developer.P2b=FALSE,I.Facility.StandardPart="Part 2"),"Complete",IF(I.Product.P2bGasToPower="No","Complete",IF(AND(I.Gas.P2bCount&gt;=23,F1389=""),"Incomplete","Complete")))</f>
        <v>Complete</v>
      </c>
      <c r="I1389" s="39" t="s">
        <v>1602</v>
      </c>
    </row>
    <row r="1390" spans="2:9" ht="15" customHeight="1" x14ac:dyDescent="0.25">
      <c r="B1390" s="37" t="s">
        <v>1579</v>
      </c>
      <c r="C1390" s="26">
        <v>24</v>
      </c>
      <c r="D1390" s="38" t="s">
        <v>2699</v>
      </c>
      <c r="E1390" s="59"/>
      <c r="F1390" s="59" t="str">
        <f>IF(INDEX(I.Gas.P2bC1E2,24)="","",INDEX(I.Gas.P2bC1E2,24))</f>
        <v/>
      </c>
      <c r="G1390" s="59"/>
      <c r="H1390" s="26" t="str">
        <f>IF(OR(I.Developer.P2b=FALSE,I.Facility.StandardPart="Part 2"),"Complete",IF(I.Product.P2bGasToPower="No","Complete",IF(AND(I.Gas.P2bCount&gt;=24,F1390=""),"Incomplete","Complete")))</f>
        <v>Complete</v>
      </c>
      <c r="I1390" s="39" t="s">
        <v>1603</v>
      </c>
    </row>
    <row r="1391" spans="2:9" ht="15" customHeight="1" x14ac:dyDescent="0.25">
      <c r="B1391" s="37" t="s">
        <v>1579</v>
      </c>
      <c r="C1391" s="26">
        <v>25</v>
      </c>
      <c r="D1391" s="38" t="s">
        <v>2699</v>
      </c>
      <c r="E1391" s="59"/>
      <c r="F1391" s="59" t="str">
        <f>IF(INDEX(I.Gas.P2bC1E2,25)="","",INDEX(I.Gas.P2bC1E2,25))</f>
        <v/>
      </c>
      <c r="G1391" s="59"/>
      <c r="H1391" s="26" t="str">
        <f>IF(OR(I.Developer.P2b=FALSE,I.Facility.StandardPart="Part 2"),"Complete",IF(I.Product.P2bGasToPower="No","Complete",IF(AND(I.Gas.P2bCount&gt;=25,F1391=""),"Incomplete","Complete")))</f>
        <v>Complete</v>
      </c>
      <c r="I1391" s="39" t="s">
        <v>1604</v>
      </c>
    </row>
    <row r="1392" spans="2:9" ht="15" customHeight="1" x14ac:dyDescent="0.25">
      <c r="B1392" s="37" t="s">
        <v>1579</v>
      </c>
      <c r="C1392" s="26">
        <v>26</v>
      </c>
      <c r="D1392" s="38" t="s">
        <v>2699</v>
      </c>
      <c r="E1392" s="59"/>
      <c r="F1392" s="59" t="str">
        <f>IF(INDEX(I.Gas.P2bC1E2,26)="","",INDEX(I.Gas.P2bC1E2,26))</f>
        <v/>
      </c>
      <c r="G1392" s="59"/>
      <c r="H1392" s="26" t="str">
        <f>IF(OR(I.Developer.P2b=FALSE,I.Facility.StandardPart="Part 2"),"Complete",IF(I.Product.P2bGasToPower="No","Complete",IF(AND(I.Gas.P2bCount&gt;=26,F1392=""),"Incomplete","Complete")))</f>
        <v>Complete</v>
      </c>
      <c r="I1392" s="39" t="s">
        <v>1605</v>
      </c>
    </row>
    <row r="1393" spans="2:9" ht="15" customHeight="1" x14ac:dyDescent="0.25">
      <c r="B1393" s="37" t="s">
        <v>1579</v>
      </c>
      <c r="C1393" s="26">
        <v>27</v>
      </c>
      <c r="D1393" s="38" t="s">
        <v>2699</v>
      </c>
      <c r="E1393" s="59"/>
      <c r="F1393" s="59" t="str">
        <f>IF(INDEX(I.Gas.P2bC1E2,27)="","",INDEX(I.Gas.P2bC1E2,27))</f>
        <v/>
      </c>
      <c r="G1393" s="59"/>
      <c r="H1393" s="26" t="str">
        <f>IF(OR(I.Developer.P2b=FALSE,I.Facility.StandardPart="Part 2"),"Complete",IF(I.Product.P2bGasToPower="No","Complete",IF(AND(I.Gas.P2bCount&gt;=27,F1393=""),"Incomplete","Complete")))</f>
        <v>Complete</v>
      </c>
      <c r="I1393" s="39" t="s">
        <v>1606</v>
      </c>
    </row>
    <row r="1394" spans="2:9" ht="15" customHeight="1" x14ac:dyDescent="0.25">
      <c r="B1394" s="37" t="s">
        <v>1579</v>
      </c>
      <c r="C1394" s="26">
        <v>28</v>
      </c>
      <c r="D1394" s="38" t="s">
        <v>2699</v>
      </c>
      <c r="E1394" s="59"/>
      <c r="F1394" s="59" t="str">
        <f>IF(INDEX(I.Gas.P2bC1E2,28)="","",INDEX(I.Gas.P2bC1E2,28))</f>
        <v/>
      </c>
      <c r="G1394" s="59"/>
      <c r="H1394" s="26" t="str">
        <f>IF(OR(I.Developer.P2b=FALSE,I.Facility.StandardPart="Part 2"),"Complete",IF(I.Product.P2bGasToPower="No","Complete",IF(AND(I.Gas.P2bCount&gt;=28,F1394=""),"Incomplete","Complete")))</f>
        <v>Complete</v>
      </c>
      <c r="I1394" s="39" t="s">
        <v>1607</v>
      </c>
    </row>
    <row r="1395" spans="2:9" ht="15" customHeight="1" x14ac:dyDescent="0.25">
      <c r="B1395" s="37" t="s">
        <v>1579</v>
      </c>
      <c r="C1395" s="26">
        <v>29</v>
      </c>
      <c r="D1395" s="38" t="s">
        <v>2699</v>
      </c>
      <c r="E1395" s="59"/>
      <c r="F1395" s="59" t="str">
        <f>IF(INDEX(I.Gas.P2bC1E2,29)="","",INDEX(I.Gas.P2bC1E2,29))</f>
        <v/>
      </c>
      <c r="G1395" s="59"/>
      <c r="H1395" s="26" t="str">
        <f>IF(OR(I.Developer.P2b=FALSE,I.Facility.StandardPart="Part 2"),"Complete",IF(I.Product.P2bGasToPower="No","Complete",IF(AND(I.Gas.P2bCount&gt;=29,F1395=""),"Incomplete","Complete")))</f>
        <v>Complete</v>
      </c>
      <c r="I1395" s="39" t="s">
        <v>1608</v>
      </c>
    </row>
    <row r="1396" spans="2:9" ht="15" customHeight="1" x14ac:dyDescent="0.25">
      <c r="B1396" s="37" t="s">
        <v>1579</v>
      </c>
      <c r="C1396" s="26">
        <v>30</v>
      </c>
      <c r="D1396" s="38" t="s">
        <v>2699</v>
      </c>
      <c r="E1396" s="59"/>
      <c r="F1396" s="59" t="str">
        <f>IF(INDEX(I.Gas.P2bC1E2,30)="","",INDEX(I.Gas.P2bC1E2,30))</f>
        <v/>
      </c>
      <c r="G1396" s="59"/>
      <c r="H1396" s="26" t="str">
        <f>IF(OR(I.Developer.P2b=FALSE,I.Facility.StandardPart="Part 2"),"Complete",IF(I.Product.P2bGasToPower="No","Complete",IF(AND(I.Gas.P2bCount&gt;=30,F1396=""),"Incomplete","Complete")))</f>
        <v>Complete</v>
      </c>
      <c r="I1396" s="39" t="s">
        <v>1609</v>
      </c>
    </row>
    <row r="1397" spans="2:9" ht="15" customHeight="1" x14ac:dyDescent="0.25">
      <c r="B1397" s="37" t="s">
        <v>1579</v>
      </c>
      <c r="C1397" s="26">
        <v>31</v>
      </c>
      <c r="D1397" s="38" t="s">
        <v>2699</v>
      </c>
      <c r="E1397" s="59"/>
      <c r="F1397" s="59" t="str">
        <f>IF(INDEX(I.Gas.P2bC1E2,31)="","",INDEX(I.Gas.P2bC1E2,31))</f>
        <v/>
      </c>
      <c r="G1397" s="59"/>
      <c r="H1397" s="26" t="str">
        <f>IF(OR(I.Developer.P2b=FALSE,I.Facility.StandardPart="Part 2"),"Complete",IF(I.Product.P2bGasToPower="No","Complete",IF(AND(I.Gas.P2bCount&gt;=31,F1397=""),"Incomplete","Complete")))</f>
        <v>Complete</v>
      </c>
      <c r="I1397" s="39" t="s">
        <v>1610</v>
      </c>
    </row>
    <row r="1398" spans="2:9" ht="15" customHeight="1" x14ac:dyDescent="0.25">
      <c r="B1398" s="37" t="s">
        <v>1579</v>
      </c>
      <c r="C1398" s="26">
        <v>32</v>
      </c>
      <c r="D1398" s="38" t="s">
        <v>2699</v>
      </c>
      <c r="E1398" s="59"/>
      <c r="F1398" s="59" t="str">
        <f>IF(INDEX(I.Gas.P2bC1E2,32)="","",INDEX(I.Gas.P2bC1E2,32))</f>
        <v/>
      </c>
      <c r="G1398" s="59"/>
      <c r="H1398" s="26" t="str">
        <f>IF(OR(I.Developer.P2b=FALSE,I.Facility.StandardPart="Part 2"),"Complete",IF(I.Product.P2bGasToPower="No","Complete",IF(AND(I.Gas.P2bCount&gt;=32,F1398=""),"Incomplete","Complete")))</f>
        <v>Complete</v>
      </c>
      <c r="I1398" s="39" t="s">
        <v>1611</v>
      </c>
    </row>
    <row r="1399" spans="2:9" ht="15" customHeight="1" x14ac:dyDescent="0.25">
      <c r="B1399" s="37" t="s">
        <v>1579</v>
      </c>
      <c r="C1399" s="26">
        <v>33</v>
      </c>
      <c r="D1399" s="38" t="s">
        <v>2699</v>
      </c>
      <c r="E1399" s="59"/>
      <c r="F1399" s="59" t="str">
        <f>IF(INDEX(I.Gas.P2bC1E2,33)="","",INDEX(I.Gas.P2bC1E2,33))</f>
        <v/>
      </c>
      <c r="G1399" s="59"/>
      <c r="H1399" s="26" t="str">
        <f>IF(OR(I.Developer.P2b=FALSE,I.Facility.StandardPart="Part 2"),"Complete",IF(I.Product.P2bGasToPower="No","Complete",IF(AND(I.Gas.P2bCount&gt;=33,F1399=""),"Incomplete","Complete")))</f>
        <v>Complete</v>
      </c>
      <c r="I1399" s="39" t="s">
        <v>1612</v>
      </c>
    </row>
    <row r="1400" spans="2:9" ht="15" customHeight="1" x14ac:dyDescent="0.25">
      <c r="B1400" s="37" t="s">
        <v>1579</v>
      </c>
      <c r="C1400" s="26">
        <v>34</v>
      </c>
      <c r="D1400" s="38" t="s">
        <v>2699</v>
      </c>
      <c r="E1400" s="59"/>
      <c r="F1400" s="59" t="str">
        <f>IF(INDEX(I.Gas.P2bC1E2,34)="","",INDEX(I.Gas.P2bC1E2,34))</f>
        <v/>
      </c>
      <c r="G1400" s="59"/>
      <c r="H1400" s="26" t="str">
        <f>IF(OR(I.Developer.P2b=FALSE,I.Facility.StandardPart="Part 2"),"Complete",IF(I.Product.P2bGasToPower="No","Complete",IF(AND(I.Gas.P2bCount&gt;=34,F1400=""),"Incomplete","Complete")))</f>
        <v>Complete</v>
      </c>
      <c r="I1400" s="39" t="s">
        <v>1613</v>
      </c>
    </row>
    <row r="1401" spans="2:9" ht="15" customHeight="1" x14ac:dyDescent="0.25">
      <c r="B1401" s="37" t="s">
        <v>1579</v>
      </c>
      <c r="C1401" s="26">
        <v>35</v>
      </c>
      <c r="D1401" s="38" t="s">
        <v>2699</v>
      </c>
      <c r="E1401" s="59"/>
      <c r="F1401" s="59" t="str">
        <f>IF(INDEX(I.Gas.P2bC1E2,35)="","",INDEX(I.Gas.P2bC1E2,35))</f>
        <v/>
      </c>
      <c r="G1401" s="59"/>
      <c r="H1401" s="26" t="str">
        <f>IF(OR(I.Developer.P2b=FALSE,I.Facility.StandardPart="Part 2"),"Complete",IF(I.Product.P2bGasToPower="No","Complete",IF(AND(I.Gas.P2bCount&gt;=35,F1401=""),"Incomplete","Complete")))</f>
        <v>Complete</v>
      </c>
      <c r="I1401" s="39" t="s">
        <v>1614</v>
      </c>
    </row>
    <row r="1402" spans="2:9" ht="15" customHeight="1" x14ac:dyDescent="0.25">
      <c r="B1402" s="37" t="s">
        <v>1579</v>
      </c>
      <c r="C1402" s="26">
        <v>36</v>
      </c>
      <c r="D1402" s="38" t="s">
        <v>2699</v>
      </c>
      <c r="E1402" s="59"/>
      <c r="F1402" s="59" t="str">
        <f>IF(INDEX(I.Gas.P2bC1E2,36)="","",INDEX(I.Gas.P2bC1E2,36))</f>
        <v/>
      </c>
      <c r="G1402" s="59"/>
      <c r="H1402" s="26" t="str">
        <f>IF(OR(I.Developer.P2b=FALSE,I.Facility.StandardPart="Part 2"),"Complete",IF(I.Product.P2bGasToPower="No","Complete",IF(AND(I.Gas.P2bCount&gt;=36,F1402=""),"Incomplete","Complete")))</f>
        <v>Complete</v>
      </c>
      <c r="I1402" s="39" t="s">
        <v>1615</v>
      </c>
    </row>
    <row r="1403" spans="2:9" ht="15" customHeight="1" x14ac:dyDescent="0.25">
      <c r="B1403" s="37" t="s">
        <v>1579</v>
      </c>
      <c r="C1403" s="26">
        <v>37</v>
      </c>
      <c r="D1403" s="38" t="s">
        <v>2699</v>
      </c>
      <c r="E1403" s="59"/>
      <c r="F1403" s="59" t="str">
        <f>IF(INDEX(I.Gas.P2bC1E2,37)="","",INDEX(I.Gas.P2bC1E2,37))</f>
        <v/>
      </c>
      <c r="G1403" s="59"/>
      <c r="H1403" s="26" t="str">
        <f>IF(OR(I.Developer.P2b=FALSE,I.Facility.StandardPart="Part 2"),"Complete",IF(I.Product.P2bGasToPower="No","Complete",IF(AND(I.Gas.P2bCount&gt;=37,F1403=""),"Incomplete","Complete")))</f>
        <v>Complete</v>
      </c>
      <c r="I1403" s="39" t="s">
        <v>1616</v>
      </c>
    </row>
    <row r="1404" spans="2:9" ht="15" customHeight="1" x14ac:dyDescent="0.25">
      <c r="B1404" s="37" t="s">
        <v>1579</v>
      </c>
      <c r="C1404" s="26">
        <v>38</v>
      </c>
      <c r="D1404" s="38" t="s">
        <v>2699</v>
      </c>
      <c r="E1404" s="59"/>
      <c r="F1404" s="59" t="str">
        <f>IF(INDEX(I.Gas.P2bC1E2,38)="","",INDEX(I.Gas.P2bC1E2,38))</f>
        <v/>
      </c>
      <c r="G1404" s="59"/>
      <c r="H1404" s="26" t="str">
        <f>IF(OR(I.Developer.P2b=FALSE,I.Facility.StandardPart="Part 2"),"Complete",IF(I.Product.P2bGasToPower="No","Complete",IF(AND(I.Gas.P2bCount&gt;=38,F1404=""),"Incomplete","Complete")))</f>
        <v>Complete</v>
      </c>
      <c r="I1404" s="39" t="s">
        <v>1617</v>
      </c>
    </row>
    <row r="1405" spans="2:9" ht="15" customHeight="1" x14ac:dyDescent="0.25">
      <c r="B1405" s="37" t="s">
        <v>1579</v>
      </c>
      <c r="C1405" s="26">
        <v>39</v>
      </c>
      <c r="D1405" s="38" t="s">
        <v>2699</v>
      </c>
      <c r="E1405" s="59"/>
      <c r="F1405" s="59" t="str">
        <f>IF(INDEX(I.Gas.P2bC1E2,39)="","",INDEX(I.Gas.P2bC1E2,39))</f>
        <v/>
      </c>
      <c r="G1405" s="59"/>
      <c r="H1405" s="26" t="str">
        <f>IF(OR(I.Developer.P2b=FALSE,I.Facility.StandardPart="Part 2"),"Complete",IF(I.Product.P2bGasToPower="No","Complete",IF(AND(I.Gas.P2bCount&gt;=39,F1405=""),"Incomplete","Complete")))</f>
        <v>Complete</v>
      </c>
      <c r="I1405" s="39" t="s">
        <v>1618</v>
      </c>
    </row>
    <row r="1406" spans="2:9" ht="15" customHeight="1" x14ac:dyDescent="0.25">
      <c r="B1406" s="37" t="s">
        <v>1579</v>
      </c>
      <c r="C1406" s="26">
        <v>40</v>
      </c>
      <c r="D1406" s="38" t="s">
        <v>2699</v>
      </c>
      <c r="E1406" s="59"/>
      <c r="F1406" s="59" t="str">
        <f>IF(INDEX(I.Gas.P2bC1E2,40)="","",INDEX(I.Gas.P2bC1E2,40))</f>
        <v/>
      </c>
      <c r="G1406" s="59"/>
      <c r="H1406" s="26" t="str">
        <f>IF(OR(I.Developer.P2b=FALSE,I.Facility.StandardPart="Part 2"),"Complete",IF(I.Product.P2bGasToPower="No","Complete",IF(AND(I.Gas.P2bCount&gt;=40,F1406=""),"Incomplete","Complete")))</f>
        <v>Complete</v>
      </c>
      <c r="I1406" s="39" t="s">
        <v>1619</v>
      </c>
    </row>
    <row r="1407" spans="2:9" ht="15" customHeight="1" x14ac:dyDescent="0.25">
      <c r="B1407" s="37" t="s">
        <v>1579</v>
      </c>
      <c r="C1407" s="26">
        <v>41</v>
      </c>
      <c r="D1407" s="38" t="s">
        <v>2699</v>
      </c>
      <c r="E1407" s="59"/>
      <c r="F1407" s="59" t="str">
        <f>IF(INDEX(I.Gas.P2bC1E2,41)="","",INDEX(I.Gas.P2bC1E2,41))</f>
        <v/>
      </c>
      <c r="G1407" s="59"/>
      <c r="H1407" s="26" t="str">
        <f>IF(OR(I.Developer.P2b=FALSE,I.Facility.StandardPart="Part 2"),"Complete",IF(I.Product.P2bGasToPower="No","Complete",IF(AND(I.Gas.P2bCount&gt;=41,F1407=""),"Incomplete","Complete")))</f>
        <v>Complete</v>
      </c>
      <c r="I1407" s="39" t="s">
        <v>1620</v>
      </c>
    </row>
    <row r="1408" spans="2:9" ht="15" customHeight="1" x14ac:dyDescent="0.25">
      <c r="B1408" s="37" t="s">
        <v>1579</v>
      </c>
      <c r="C1408" s="26">
        <v>42</v>
      </c>
      <c r="D1408" s="38" t="s">
        <v>2699</v>
      </c>
      <c r="E1408" s="59"/>
      <c r="F1408" s="59" t="str">
        <f>IF(INDEX(I.Gas.P2bC1E2,42)="","",INDEX(I.Gas.P2bC1E2,42))</f>
        <v/>
      </c>
      <c r="G1408" s="59"/>
      <c r="H1408" s="26" t="str">
        <f>IF(OR(I.Developer.P2b=FALSE,I.Facility.StandardPart="Part 2"),"Complete",IF(I.Product.P2bGasToPower="No","Complete",IF(AND(I.Gas.P2bCount&gt;=42,F1408=""),"Incomplete","Complete")))</f>
        <v>Complete</v>
      </c>
      <c r="I1408" s="39" t="s">
        <v>1621</v>
      </c>
    </row>
    <row r="1409" spans="2:9" ht="15" customHeight="1" x14ac:dyDescent="0.25">
      <c r="B1409" s="37" t="s">
        <v>1579</v>
      </c>
      <c r="C1409" s="26">
        <v>43</v>
      </c>
      <c r="D1409" s="38" t="s">
        <v>2699</v>
      </c>
      <c r="E1409" s="59"/>
      <c r="F1409" s="59" t="str">
        <f>IF(INDEX(I.Gas.P2bC1E2,43)="","",INDEX(I.Gas.P2bC1E2,43))</f>
        <v/>
      </c>
      <c r="G1409" s="59"/>
      <c r="H1409" s="26" t="str">
        <f>IF(OR(I.Developer.P2b=FALSE,I.Facility.StandardPart="Part 2"),"Complete",IF(I.Product.P2bGasToPower="No","Complete",IF(AND(I.Gas.P2bCount&gt;=43,F1409=""),"Incomplete","Complete")))</f>
        <v>Complete</v>
      </c>
      <c r="I1409" s="39" t="s">
        <v>1622</v>
      </c>
    </row>
    <row r="1410" spans="2:9" ht="15" customHeight="1" x14ac:dyDescent="0.25">
      <c r="B1410" s="37" t="s">
        <v>1579</v>
      </c>
      <c r="C1410" s="26">
        <v>44</v>
      </c>
      <c r="D1410" s="38" t="s">
        <v>2699</v>
      </c>
      <c r="E1410" s="59"/>
      <c r="F1410" s="59" t="str">
        <f>IF(INDEX(I.Gas.P2bC1E2,44)="","",INDEX(I.Gas.P2bC1E2,44))</f>
        <v/>
      </c>
      <c r="G1410" s="59"/>
      <c r="H1410" s="26" t="str">
        <f>IF(OR(I.Developer.P2b=FALSE,I.Facility.StandardPart="Part 2"),"Complete",IF(I.Product.P2bGasToPower="No","Complete",IF(AND(I.Gas.P2bCount&gt;=44,F1410=""),"Incomplete","Complete")))</f>
        <v>Complete</v>
      </c>
      <c r="I1410" s="39" t="s">
        <v>1623</v>
      </c>
    </row>
    <row r="1411" spans="2:9" ht="15" customHeight="1" x14ac:dyDescent="0.25">
      <c r="B1411" s="37" t="s">
        <v>1579</v>
      </c>
      <c r="C1411" s="26">
        <v>45</v>
      </c>
      <c r="D1411" s="38" t="s">
        <v>2699</v>
      </c>
      <c r="E1411" s="59"/>
      <c r="F1411" s="59" t="str">
        <f>IF(INDEX(I.Gas.P2bC1E2,45)="","",INDEX(I.Gas.P2bC1E2,45))</f>
        <v/>
      </c>
      <c r="G1411" s="59"/>
      <c r="H1411" s="26" t="str">
        <f>IF(OR(I.Developer.P2b=FALSE,I.Facility.StandardPart="Part 2"),"Complete",IF(I.Product.P2bGasToPower="No","Complete",IF(AND(I.Gas.P2bCount&gt;=45,F1411=""),"Incomplete","Complete")))</f>
        <v>Complete</v>
      </c>
      <c r="I1411" s="39" t="s">
        <v>1624</v>
      </c>
    </row>
    <row r="1412" spans="2:9" ht="15" customHeight="1" x14ac:dyDescent="0.25">
      <c r="B1412" s="37" t="s">
        <v>1579</v>
      </c>
      <c r="C1412" s="26">
        <v>46</v>
      </c>
      <c r="D1412" s="38" t="s">
        <v>2699</v>
      </c>
      <c r="E1412" s="59"/>
      <c r="F1412" s="59" t="str">
        <f>IF(INDEX(I.Gas.P2bC1E2,46)="","",INDEX(I.Gas.P2bC1E2,46))</f>
        <v/>
      </c>
      <c r="G1412" s="59"/>
      <c r="H1412" s="26" t="str">
        <f>IF(OR(I.Developer.P2b=FALSE,I.Facility.StandardPart="Part 2"),"Complete",IF(I.Product.P2bGasToPower="No","Complete",IF(AND(I.Gas.P2bCount&gt;=46,F1412=""),"Incomplete","Complete")))</f>
        <v>Complete</v>
      </c>
      <c r="I1412" s="39" t="s">
        <v>1625</v>
      </c>
    </row>
    <row r="1413" spans="2:9" ht="15" customHeight="1" x14ac:dyDescent="0.25">
      <c r="B1413" s="37" t="s">
        <v>1579</v>
      </c>
      <c r="C1413" s="26">
        <v>47</v>
      </c>
      <c r="D1413" s="38" t="s">
        <v>2699</v>
      </c>
      <c r="E1413" s="59"/>
      <c r="F1413" s="59" t="str">
        <f>IF(INDEX(I.Gas.P2bC1E2,47)="","",INDEX(I.Gas.P2bC1E2,47))</f>
        <v/>
      </c>
      <c r="G1413" s="59"/>
      <c r="H1413" s="26" t="str">
        <f>IF(OR(I.Developer.P2b=FALSE,I.Facility.StandardPart="Part 2"),"Complete",IF(I.Product.P2bGasToPower="No","Complete",IF(AND(I.Gas.P2bCount&gt;=47,F1413=""),"Incomplete","Complete")))</f>
        <v>Complete</v>
      </c>
      <c r="I1413" s="39" t="s">
        <v>1626</v>
      </c>
    </row>
    <row r="1414" spans="2:9" ht="15" customHeight="1" x14ac:dyDescent="0.25">
      <c r="B1414" s="37" t="s">
        <v>1579</v>
      </c>
      <c r="C1414" s="26">
        <v>48</v>
      </c>
      <c r="D1414" s="38" t="s">
        <v>2699</v>
      </c>
      <c r="E1414" s="59"/>
      <c r="F1414" s="59" t="str">
        <f>IF(INDEX(I.Gas.P2bC1E2,48)="","",INDEX(I.Gas.P2bC1E2,48))</f>
        <v/>
      </c>
      <c r="G1414" s="59"/>
      <c r="H1414" s="26" t="str">
        <f>IF(OR(I.Developer.P2b=FALSE,I.Facility.StandardPart="Part 2"),"Complete",IF(I.Product.P2bGasToPower="No","Complete",IF(AND(I.Gas.P2bCount&gt;=48,F1414=""),"Incomplete","Complete")))</f>
        <v>Complete</v>
      </c>
      <c r="I1414" s="39" t="s">
        <v>1627</v>
      </c>
    </row>
    <row r="1415" spans="2:9" ht="15" customHeight="1" x14ac:dyDescent="0.25">
      <c r="B1415" s="37" t="s">
        <v>1579</v>
      </c>
      <c r="C1415" s="26">
        <v>49</v>
      </c>
      <c r="D1415" s="38" t="s">
        <v>2699</v>
      </c>
      <c r="E1415" s="59"/>
      <c r="F1415" s="59" t="str">
        <f>IF(INDEX(I.Gas.P2bC1E2,49)="","",INDEX(I.Gas.P2bC1E2,49))</f>
        <v/>
      </c>
      <c r="G1415" s="59"/>
      <c r="H1415" s="26" t="str">
        <f>IF(OR(I.Developer.P2b=FALSE,I.Facility.StandardPart="Part 2"),"Complete",IF(I.Product.P2bGasToPower="No","Complete",IF(AND(I.Gas.P2bCount&gt;=49,F1415=""),"Incomplete","Complete")))</f>
        <v>Complete</v>
      </c>
      <c r="I1415" s="39" t="s">
        <v>1628</v>
      </c>
    </row>
    <row r="1416" spans="2:9" ht="15" customHeight="1" x14ac:dyDescent="0.25">
      <c r="B1416" s="40" t="s">
        <v>1579</v>
      </c>
      <c r="C1416" s="46">
        <v>50</v>
      </c>
      <c r="D1416" s="44" t="s">
        <v>2699</v>
      </c>
      <c r="E1416" s="63"/>
      <c r="F1416" s="63" t="str">
        <f>IF(INDEX(I.Gas.P2bC1E2,50)="","",INDEX(I.Gas.P2bC1E2,50))</f>
        <v/>
      </c>
      <c r="G1416" s="63"/>
      <c r="H1416" s="46" t="str">
        <f>IF(OR(I.Developer.P2b=FALSE,I.Facility.StandardPart="Part 2"),"Complete",IF(I.Product.P2bGasToPower="No","Complete",IF(AND(I.Gas.P2bCount&gt;=50,F1416=""),"Incomplete","Complete")))</f>
        <v>Complete</v>
      </c>
      <c r="I1416" s="47" t="s">
        <v>1629</v>
      </c>
    </row>
    <row r="1417" spans="2:9" ht="15" customHeight="1" x14ac:dyDescent="0.25">
      <c r="B1417" s="37" t="s">
        <v>1630</v>
      </c>
      <c r="C1417" s="26">
        <v>1</v>
      </c>
      <c r="D1417" s="38" t="s">
        <v>2700</v>
      </c>
      <c r="E1417" s="59"/>
      <c r="F1417" s="59" t="str">
        <f>IF(INDEX(I.Gas.P2bC1E3,1)="","",INDEX(I.Gas.P2bC1E3,1))</f>
        <v/>
      </c>
      <c r="G1417" s="59"/>
      <c r="H1417" s="26" t="str">
        <f>IF(OR(I.Developer.P2b=FALSE,I.Facility.StandardPart="Part 2"),"Complete",IF(I.Product.P2bGasToPower="No","Complete",IF(AND(I.Gas.P2bCount&gt;=1,F1417=""),"Incomplete","Complete")))</f>
        <v>Complete</v>
      </c>
      <c r="I1417" s="39" t="s">
        <v>1631</v>
      </c>
    </row>
    <row r="1418" spans="2:9" ht="15" customHeight="1" x14ac:dyDescent="0.25">
      <c r="B1418" s="37" t="s">
        <v>1630</v>
      </c>
      <c r="C1418" s="26">
        <v>2</v>
      </c>
      <c r="D1418" s="38" t="s">
        <v>2700</v>
      </c>
      <c r="E1418" s="59"/>
      <c r="F1418" s="59" t="str">
        <f>IF(INDEX(I.Gas.P2bC1E3,2)="","",INDEX(I.Gas.P2bC1E3,2))</f>
        <v/>
      </c>
      <c r="G1418" s="59"/>
      <c r="H1418" s="26" t="str">
        <f>IF(OR(I.Developer.P2b=FALSE,I.Facility.StandardPart="Part 2"),"Complete",IF(I.Product.P2bGasToPower="No","Complete",IF(AND(I.Gas.P2bCount&gt;=2,F1418=""),"Incomplete","Complete")))</f>
        <v>Complete</v>
      </c>
      <c r="I1418" s="39" t="s">
        <v>1632</v>
      </c>
    </row>
    <row r="1419" spans="2:9" ht="15" customHeight="1" x14ac:dyDescent="0.25">
      <c r="B1419" s="37" t="s">
        <v>1630</v>
      </c>
      <c r="C1419" s="26">
        <v>3</v>
      </c>
      <c r="D1419" s="38" t="s">
        <v>2700</v>
      </c>
      <c r="E1419" s="59"/>
      <c r="F1419" s="59" t="str">
        <f>IF(INDEX(I.Gas.P2bC1E3,3)="","",INDEX(I.Gas.P2bC1E3,3))</f>
        <v/>
      </c>
      <c r="G1419" s="59"/>
      <c r="H1419" s="26" t="str">
        <f>IF(OR(I.Developer.P2b=FALSE,I.Facility.StandardPart="Part 2"),"Complete",IF(I.Product.P2bGasToPower="No","Complete",IF(AND(I.Gas.P2bCount&gt;=3,F1419=""),"Incomplete","Complete")))</f>
        <v>Complete</v>
      </c>
      <c r="I1419" s="39" t="s">
        <v>1633</v>
      </c>
    </row>
    <row r="1420" spans="2:9" ht="15" customHeight="1" x14ac:dyDescent="0.25">
      <c r="B1420" s="37" t="s">
        <v>1630</v>
      </c>
      <c r="C1420" s="26">
        <v>4</v>
      </c>
      <c r="D1420" s="38" t="s">
        <v>2700</v>
      </c>
      <c r="E1420" s="59"/>
      <c r="F1420" s="59" t="str">
        <f>IF(INDEX(I.Gas.P2bC1E3,4)="","",INDEX(I.Gas.P2bC1E3,4))</f>
        <v/>
      </c>
      <c r="G1420" s="59"/>
      <c r="H1420" s="26" t="str">
        <f>IF(OR(I.Developer.P2b=FALSE,I.Facility.StandardPart="Part 2"),"Complete",IF(I.Product.P2bGasToPower="No","Complete",IF(AND(I.Gas.P2bCount&gt;=4,F1420=""),"Incomplete","Complete")))</f>
        <v>Complete</v>
      </c>
      <c r="I1420" s="39" t="s">
        <v>1634</v>
      </c>
    </row>
    <row r="1421" spans="2:9" ht="15" customHeight="1" x14ac:dyDescent="0.25">
      <c r="B1421" s="37" t="s">
        <v>1630</v>
      </c>
      <c r="C1421" s="26">
        <v>5</v>
      </c>
      <c r="D1421" s="38" t="s">
        <v>2700</v>
      </c>
      <c r="E1421" s="59"/>
      <c r="F1421" s="59" t="str">
        <f>IF(INDEX(I.Gas.P2bC1E3,5)="","",INDEX(I.Gas.P2bC1E3,5))</f>
        <v/>
      </c>
      <c r="G1421" s="59"/>
      <c r="H1421" s="26" t="str">
        <f>IF(OR(I.Developer.P2b=FALSE,I.Facility.StandardPart="Part 2"),"Complete",IF(I.Product.P2bGasToPower="No","Complete",IF(AND(I.Gas.P2bCount&gt;=5,F1421=""),"Incomplete","Complete")))</f>
        <v>Complete</v>
      </c>
      <c r="I1421" s="39" t="s">
        <v>1635</v>
      </c>
    </row>
    <row r="1422" spans="2:9" ht="15" customHeight="1" x14ac:dyDescent="0.25">
      <c r="B1422" s="37" t="s">
        <v>1630</v>
      </c>
      <c r="C1422" s="26">
        <v>6</v>
      </c>
      <c r="D1422" s="38" t="s">
        <v>2700</v>
      </c>
      <c r="E1422" s="59"/>
      <c r="F1422" s="59" t="str">
        <f>IF(INDEX(I.Gas.P2bC1E3,6)="","",INDEX(I.Gas.P2bC1E3,6))</f>
        <v/>
      </c>
      <c r="G1422" s="59"/>
      <c r="H1422" s="26" t="str">
        <f>IF(OR(I.Developer.P2b=FALSE,I.Facility.StandardPart="Part 2"),"Complete",IF(I.Product.P2bGasToPower="No","Complete",IF(AND(I.Gas.P2bCount&gt;=6,F1422=""),"Incomplete","Complete")))</f>
        <v>Complete</v>
      </c>
      <c r="I1422" s="39" t="s">
        <v>1636</v>
      </c>
    </row>
    <row r="1423" spans="2:9" ht="15" customHeight="1" x14ac:dyDescent="0.25">
      <c r="B1423" s="37" t="s">
        <v>1630</v>
      </c>
      <c r="C1423" s="26">
        <v>7</v>
      </c>
      <c r="D1423" s="38" t="s">
        <v>2700</v>
      </c>
      <c r="E1423" s="59"/>
      <c r="F1423" s="59" t="str">
        <f>IF(INDEX(I.Gas.P2bC1E3,7)="","",INDEX(I.Gas.P2bC1E3,7))</f>
        <v/>
      </c>
      <c r="G1423" s="59"/>
      <c r="H1423" s="26" t="str">
        <f>IF(OR(I.Developer.P2b=FALSE,I.Facility.StandardPart="Part 2"),"Complete",IF(I.Product.P2bGasToPower="No","Complete",IF(AND(I.Gas.P2bCount&gt;=7,F1423=""),"Incomplete","Complete")))</f>
        <v>Complete</v>
      </c>
      <c r="I1423" s="39" t="s">
        <v>1637</v>
      </c>
    </row>
    <row r="1424" spans="2:9" ht="15" customHeight="1" x14ac:dyDescent="0.25">
      <c r="B1424" s="37" t="s">
        <v>1630</v>
      </c>
      <c r="C1424" s="26">
        <v>8</v>
      </c>
      <c r="D1424" s="38" t="s">
        <v>2700</v>
      </c>
      <c r="E1424" s="59"/>
      <c r="F1424" s="59" t="str">
        <f>IF(INDEX(I.Gas.P2bC1E3,8)="","",INDEX(I.Gas.P2bC1E3,8))</f>
        <v/>
      </c>
      <c r="G1424" s="59"/>
      <c r="H1424" s="26" t="str">
        <f>IF(OR(I.Developer.P2b=FALSE,I.Facility.StandardPart="Part 2"),"Complete",IF(I.Product.P2bGasToPower="No","Complete",IF(AND(I.Gas.P2bCount&gt;=8,F1424=""),"Incomplete","Complete")))</f>
        <v>Complete</v>
      </c>
      <c r="I1424" s="39" t="s">
        <v>1638</v>
      </c>
    </row>
    <row r="1425" spans="2:9" ht="15" customHeight="1" x14ac:dyDescent="0.25">
      <c r="B1425" s="37" t="s">
        <v>1630</v>
      </c>
      <c r="C1425" s="26">
        <v>9</v>
      </c>
      <c r="D1425" s="38" t="s">
        <v>2700</v>
      </c>
      <c r="E1425" s="59"/>
      <c r="F1425" s="59" t="str">
        <f>IF(INDEX(I.Gas.P2bC1E3,9)="","",INDEX(I.Gas.P2bC1E3,9))</f>
        <v/>
      </c>
      <c r="G1425" s="59"/>
      <c r="H1425" s="26" t="str">
        <f>IF(OR(I.Developer.P2b=FALSE,I.Facility.StandardPart="Part 2"),"Complete",IF(I.Product.P2bGasToPower="No","Complete",IF(AND(I.Gas.P2bCount&gt;=9,F1425=""),"Incomplete","Complete")))</f>
        <v>Complete</v>
      </c>
      <c r="I1425" s="39" t="s">
        <v>1639</v>
      </c>
    </row>
    <row r="1426" spans="2:9" ht="15" customHeight="1" x14ac:dyDescent="0.25">
      <c r="B1426" s="37" t="s">
        <v>1630</v>
      </c>
      <c r="C1426" s="26">
        <v>10</v>
      </c>
      <c r="D1426" s="38" t="s">
        <v>2700</v>
      </c>
      <c r="E1426" s="59"/>
      <c r="F1426" s="59" t="str">
        <f>IF(INDEX(I.Gas.P2bC1E3,10)="","",INDEX(I.Gas.P2bC1E3,10))</f>
        <v/>
      </c>
      <c r="G1426" s="59"/>
      <c r="H1426" s="26" t="str">
        <f>IF(OR(I.Developer.P2b=FALSE,I.Facility.StandardPart="Part 2"),"Complete",IF(I.Product.P2bGasToPower="No","Complete",IF(AND(I.Gas.P2bCount&gt;=10,F1426=""),"Incomplete","Complete")))</f>
        <v>Complete</v>
      </c>
      <c r="I1426" s="39" t="s">
        <v>1640</v>
      </c>
    </row>
    <row r="1427" spans="2:9" ht="15" customHeight="1" x14ac:dyDescent="0.25">
      <c r="B1427" s="37" t="s">
        <v>1630</v>
      </c>
      <c r="C1427" s="26">
        <v>11</v>
      </c>
      <c r="D1427" s="38" t="s">
        <v>2700</v>
      </c>
      <c r="E1427" s="59"/>
      <c r="F1427" s="59" t="str">
        <f>IF(INDEX(I.Gas.P2bC1E3,11)="","",INDEX(I.Gas.P2bC1E3,11))</f>
        <v/>
      </c>
      <c r="G1427" s="59"/>
      <c r="H1427" s="26" t="str">
        <f>IF(OR(I.Developer.P2b=FALSE,I.Facility.StandardPart="Part 2"),"Complete",IF(I.Product.P2bGasToPower="No","Complete",IF(AND(I.Gas.P2bCount&gt;=11,F1427=""),"Incomplete","Complete")))</f>
        <v>Complete</v>
      </c>
      <c r="I1427" s="39" t="s">
        <v>1641</v>
      </c>
    </row>
    <row r="1428" spans="2:9" ht="15" customHeight="1" x14ac:dyDescent="0.25">
      <c r="B1428" s="37" t="s">
        <v>1630</v>
      </c>
      <c r="C1428" s="26">
        <v>12</v>
      </c>
      <c r="D1428" s="38" t="s">
        <v>2700</v>
      </c>
      <c r="E1428" s="59"/>
      <c r="F1428" s="59" t="str">
        <f>IF(INDEX(I.Gas.P2bC1E3,12)="","",INDEX(I.Gas.P2bC1E3,12))</f>
        <v/>
      </c>
      <c r="G1428" s="59"/>
      <c r="H1428" s="26" t="str">
        <f>IF(OR(I.Developer.P2b=FALSE,I.Facility.StandardPart="Part 2"),"Complete",IF(I.Product.P2bGasToPower="No","Complete",IF(AND(I.Gas.P2bCount&gt;=12,F1428=""),"Incomplete","Complete")))</f>
        <v>Complete</v>
      </c>
      <c r="I1428" s="39" t="s">
        <v>1642</v>
      </c>
    </row>
    <row r="1429" spans="2:9" ht="15" customHeight="1" x14ac:dyDescent="0.25">
      <c r="B1429" s="37" t="s">
        <v>1630</v>
      </c>
      <c r="C1429" s="26">
        <v>13</v>
      </c>
      <c r="D1429" s="38" t="s">
        <v>2700</v>
      </c>
      <c r="E1429" s="59"/>
      <c r="F1429" s="59" t="str">
        <f>IF(INDEX(I.Gas.P2bC1E3,13)="","",INDEX(I.Gas.P2bC1E3,13))</f>
        <v/>
      </c>
      <c r="G1429" s="59"/>
      <c r="H1429" s="26" t="str">
        <f>IF(OR(I.Developer.P2b=FALSE,I.Facility.StandardPart="Part 2"),"Complete",IF(I.Product.P2bGasToPower="No","Complete",IF(AND(I.Gas.P2bCount&gt;=13,F1429=""),"Incomplete","Complete")))</f>
        <v>Complete</v>
      </c>
      <c r="I1429" s="39" t="s">
        <v>1643</v>
      </c>
    </row>
    <row r="1430" spans="2:9" ht="15" customHeight="1" x14ac:dyDescent="0.25">
      <c r="B1430" s="37" t="s">
        <v>1630</v>
      </c>
      <c r="C1430" s="26">
        <v>14</v>
      </c>
      <c r="D1430" s="38" t="s">
        <v>2700</v>
      </c>
      <c r="E1430" s="59"/>
      <c r="F1430" s="59" t="str">
        <f>IF(INDEX(I.Gas.P2bC1E3,14)="","",INDEX(I.Gas.P2bC1E3,14))</f>
        <v/>
      </c>
      <c r="G1430" s="59"/>
      <c r="H1430" s="26" t="str">
        <f>IF(OR(I.Developer.P2b=FALSE,I.Facility.StandardPart="Part 2"),"Complete",IF(I.Product.P2bGasToPower="No","Complete",IF(AND(I.Gas.P2bCount&gt;=14,F1430=""),"Incomplete","Complete")))</f>
        <v>Complete</v>
      </c>
      <c r="I1430" s="39" t="s">
        <v>1644</v>
      </c>
    </row>
    <row r="1431" spans="2:9" ht="15" customHeight="1" x14ac:dyDescent="0.25">
      <c r="B1431" s="37" t="s">
        <v>1630</v>
      </c>
      <c r="C1431" s="26">
        <v>15</v>
      </c>
      <c r="D1431" s="38" t="s">
        <v>2700</v>
      </c>
      <c r="E1431" s="59"/>
      <c r="F1431" s="59" t="str">
        <f>IF(INDEX(I.Gas.P2bC1E3,15)="","",INDEX(I.Gas.P2bC1E3,15))</f>
        <v/>
      </c>
      <c r="G1431" s="59"/>
      <c r="H1431" s="26" t="str">
        <f>IF(OR(I.Developer.P2b=FALSE,I.Facility.StandardPart="Part 2"),"Complete",IF(I.Product.P2bGasToPower="No","Complete",IF(AND(I.Gas.P2bCount&gt;=15,F1431=""),"Incomplete","Complete")))</f>
        <v>Complete</v>
      </c>
      <c r="I1431" s="39" t="s">
        <v>1645</v>
      </c>
    </row>
    <row r="1432" spans="2:9" ht="15" customHeight="1" x14ac:dyDescent="0.25">
      <c r="B1432" s="37" t="s">
        <v>1630</v>
      </c>
      <c r="C1432" s="26">
        <v>16</v>
      </c>
      <c r="D1432" s="38" t="s">
        <v>2700</v>
      </c>
      <c r="E1432" s="59"/>
      <c r="F1432" s="59" t="str">
        <f>IF(INDEX(I.Gas.P2bC1E3,16)="","",INDEX(I.Gas.P2bC1E3,16))</f>
        <v/>
      </c>
      <c r="G1432" s="59"/>
      <c r="H1432" s="26" t="str">
        <f>IF(OR(I.Developer.P2b=FALSE,I.Facility.StandardPart="Part 2"),"Complete",IF(I.Product.P2bGasToPower="No","Complete",IF(AND(I.Gas.P2bCount&gt;=16,F1432=""),"Incomplete","Complete")))</f>
        <v>Complete</v>
      </c>
      <c r="I1432" s="39" t="s">
        <v>1646</v>
      </c>
    </row>
    <row r="1433" spans="2:9" ht="15" customHeight="1" x14ac:dyDescent="0.25">
      <c r="B1433" s="37" t="s">
        <v>1630</v>
      </c>
      <c r="C1433" s="26">
        <v>17</v>
      </c>
      <c r="D1433" s="38" t="s">
        <v>2700</v>
      </c>
      <c r="E1433" s="59"/>
      <c r="F1433" s="59" t="str">
        <f>IF(INDEX(I.Gas.P2bC1E3,17)="","",INDEX(I.Gas.P2bC1E3,17))</f>
        <v/>
      </c>
      <c r="G1433" s="59"/>
      <c r="H1433" s="26" t="str">
        <f>IF(OR(I.Developer.P2b=FALSE,I.Facility.StandardPart="Part 2"),"Complete",IF(I.Product.P2bGasToPower="No","Complete",IF(AND(I.Gas.P2bCount&gt;=17,F1433=""),"Incomplete","Complete")))</f>
        <v>Complete</v>
      </c>
      <c r="I1433" s="39" t="s">
        <v>1647</v>
      </c>
    </row>
    <row r="1434" spans="2:9" ht="15" customHeight="1" x14ac:dyDescent="0.25">
      <c r="B1434" s="37" t="s">
        <v>1630</v>
      </c>
      <c r="C1434" s="26">
        <v>18</v>
      </c>
      <c r="D1434" s="38" t="s">
        <v>2700</v>
      </c>
      <c r="E1434" s="59"/>
      <c r="F1434" s="59" t="str">
        <f>IF(INDEX(I.Gas.P2bC1E3,18)="","",INDEX(I.Gas.P2bC1E3,18))</f>
        <v/>
      </c>
      <c r="G1434" s="59"/>
      <c r="H1434" s="26" t="str">
        <f>IF(OR(I.Developer.P2b=FALSE,I.Facility.StandardPart="Part 2"),"Complete",IF(I.Product.P2bGasToPower="No","Complete",IF(AND(I.Gas.P2bCount&gt;=18,F1434=""),"Incomplete","Complete")))</f>
        <v>Complete</v>
      </c>
      <c r="I1434" s="39" t="s">
        <v>1648</v>
      </c>
    </row>
    <row r="1435" spans="2:9" ht="15" customHeight="1" x14ac:dyDescent="0.25">
      <c r="B1435" s="37" t="s">
        <v>1630</v>
      </c>
      <c r="C1435" s="26">
        <v>19</v>
      </c>
      <c r="D1435" s="38" t="s">
        <v>2700</v>
      </c>
      <c r="E1435" s="59"/>
      <c r="F1435" s="59" t="str">
        <f>IF(INDEX(I.Gas.P2bC1E3,19)="","",INDEX(I.Gas.P2bC1E3,19))</f>
        <v/>
      </c>
      <c r="G1435" s="59"/>
      <c r="H1435" s="26" t="str">
        <f>IF(OR(I.Developer.P2b=FALSE,I.Facility.StandardPart="Part 2"),"Complete",IF(I.Product.P2bGasToPower="No","Complete",IF(AND(I.Gas.P2bCount&gt;=19,F1435=""),"Incomplete","Complete")))</f>
        <v>Complete</v>
      </c>
      <c r="I1435" s="39" t="s">
        <v>1649</v>
      </c>
    </row>
    <row r="1436" spans="2:9" ht="15" customHeight="1" x14ac:dyDescent="0.25">
      <c r="B1436" s="37" t="s">
        <v>1630</v>
      </c>
      <c r="C1436" s="26">
        <v>20</v>
      </c>
      <c r="D1436" s="38" t="s">
        <v>2700</v>
      </c>
      <c r="E1436" s="59"/>
      <c r="F1436" s="59" t="str">
        <f>IF(INDEX(I.Gas.P2bC1E3,20)="","",INDEX(I.Gas.P2bC1E3,20))</f>
        <v/>
      </c>
      <c r="G1436" s="59"/>
      <c r="H1436" s="26" t="str">
        <f>IF(OR(I.Developer.P2b=FALSE,I.Facility.StandardPart="Part 2"),"Complete",IF(I.Product.P2bGasToPower="No","Complete",IF(AND(I.Gas.P2bCount&gt;=20,F1436=""),"Incomplete","Complete")))</f>
        <v>Complete</v>
      </c>
      <c r="I1436" s="39" t="s">
        <v>1650</v>
      </c>
    </row>
    <row r="1437" spans="2:9" ht="15" customHeight="1" x14ac:dyDescent="0.25">
      <c r="B1437" s="37" t="s">
        <v>1630</v>
      </c>
      <c r="C1437" s="26">
        <v>21</v>
      </c>
      <c r="D1437" s="38" t="s">
        <v>2700</v>
      </c>
      <c r="E1437" s="59"/>
      <c r="F1437" s="59" t="str">
        <f>IF(INDEX(I.Gas.P2bC1E3,21)="","",INDEX(I.Gas.P2bC1E3,21))</f>
        <v/>
      </c>
      <c r="G1437" s="59"/>
      <c r="H1437" s="26" t="str">
        <f>IF(OR(I.Developer.P2b=FALSE,I.Facility.StandardPart="Part 2"),"Complete",IF(I.Product.P2bGasToPower="No","Complete",IF(AND(I.Gas.P2bCount&gt;=21,F1437=""),"Incomplete","Complete")))</f>
        <v>Complete</v>
      </c>
      <c r="I1437" s="39" t="s">
        <v>1651</v>
      </c>
    </row>
    <row r="1438" spans="2:9" ht="15" customHeight="1" x14ac:dyDescent="0.25">
      <c r="B1438" s="37" t="s">
        <v>1630</v>
      </c>
      <c r="C1438" s="26">
        <v>22</v>
      </c>
      <c r="D1438" s="38" t="s">
        <v>2700</v>
      </c>
      <c r="E1438" s="59"/>
      <c r="F1438" s="59" t="str">
        <f>IF(INDEX(I.Gas.P2bC1E3,22)="","",INDEX(I.Gas.P2bC1E3,22))</f>
        <v/>
      </c>
      <c r="G1438" s="59"/>
      <c r="H1438" s="26" t="str">
        <f>IF(OR(I.Developer.P2b=FALSE,I.Facility.StandardPart="Part 2"),"Complete",IF(I.Product.P2bGasToPower="No","Complete",IF(AND(I.Gas.P2bCount&gt;=22,F1438=""),"Incomplete","Complete")))</f>
        <v>Complete</v>
      </c>
      <c r="I1438" s="39" t="s">
        <v>1652</v>
      </c>
    </row>
    <row r="1439" spans="2:9" ht="15" customHeight="1" x14ac:dyDescent="0.25">
      <c r="B1439" s="37" t="s">
        <v>1630</v>
      </c>
      <c r="C1439" s="26">
        <v>23</v>
      </c>
      <c r="D1439" s="38" t="s">
        <v>2700</v>
      </c>
      <c r="E1439" s="59"/>
      <c r="F1439" s="59" t="str">
        <f>IF(INDEX(I.Gas.P2bC1E3,23)="","",INDEX(I.Gas.P2bC1E3,23))</f>
        <v/>
      </c>
      <c r="G1439" s="59"/>
      <c r="H1439" s="26" t="str">
        <f>IF(OR(I.Developer.P2b=FALSE,I.Facility.StandardPart="Part 2"),"Complete",IF(I.Product.P2bGasToPower="No","Complete",IF(AND(I.Gas.P2bCount&gt;=23,F1439=""),"Incomplete","Complete")))</f>
        <v>Complete</v>
      </c>
      <c r="I1439" s="39" t="s">
        <v>1653</v>
      </c>
    </row>
    <row r="1440" spans="2:9" ht="15" customHeight="1" x14ac:dyDescent="0.25">
      <c r="B1440" s="37" t="s">
        <v>1630</v>
      </c>
      <c r="C1440" s="26">
        <v>24</v>
      </c>
      <c r="D1440" s="38" t="s">
        <v>2700</v>
      </c>
      <c r="E1440" s="59"/>
      <c r="F1440" s="59" t="str">
        <f>IF(INDEX(I.Gas.P2bC1E3,24)="","",INDEX(I.Gas.P2bC1E3,24))</f>
        <v/>
      </c>
      <c r="G1440" s="59"/>
      <c r="H1440" s="26" t="str">
        <f>IF(OR(I.Developer.P2b=FALSE,I.Facility.StandardPart="Part 2"),"Complete",IF(I.Product.P2bGasToPower="No","Complete",IF(AND(I.Gas.P2bCount&gt;=24,F1440=""),"Incomplete","Complete")))</f>
        <v>Complete</v>
      </c>
      <c r="I1440" s="39" t="s">
        <v>1654</v>
      </c>
    </row>
    <row r="1441" spans="2:9" ht="15" customHeight="1" x14ac:dyDescent="0.25">
      <c r="B1441" s="37" t="s">
        <v>1630</v>
      </c>
      <c r="C1441" s="26">
        <v>25</v>
      </c>
      <c r="D1441" s="38" t="s">
        <v>2700</v>
      </c>
      <c r="E1441" s="59"/>
      <c r="F1441" s="59" t="str">
        <f>IF(INDEX(I.Gas.P2bC1E3,25)="","",INDEX(I.Gas.P2bC1E3,25))</f>
        <v/>
      </c>
      <c r="G1441" s="59"/>
      <c r="H1441" s="26" t="str">
        <f>IF(OR(I.Developer.P2b=FALSE,I.Facility.StandardPart="Part 2"),"Complete",IF(I.Product.P2bGasToPower="No","Complete",IF(AND(I.Gas.P2bCount&gt;=25,F1441=""),"Incomplete","Complete")))</f>
        <v>Complete</v>
      </c>
      <c r="I1441" s="39" t="s">
        <v>1655</v>
      </c>
    </row>
    <row r="1442" spans="2:9" ht="15" customHeight="1" x14ac:dyDescent="0.25">
      <c r="B1442" s="37" t="s">
        <v>1630</v>
      </c>
      <c r="C1442" s="26">
        <v>26</v>
      </c>
      <c r="D1442" s="38" t="s">
        <v>2700</v>
      </c>
      <c r="E1442" s="59"/>
      <c r="F1442" s="59" t="str">
        <f>IF(INDEX(I.Gas.P2bC1E3,26)="","",INDEX(I.Gas.P2bC1E3,26))</f>
        <v/>
      </c>
      <c r="G1442" s="59"/>
      <c r="H1442" s="26" t="str">
        <f>IF(OR(I.Developer.P2b=FALSE,I.Facility.StandardPart="Part 2"),"Complete",IF(I.Product.P2bGasToPower="No","Complete",IF(AND(I.Gas.P2bCount&gt;=26,F1442=""),"Incomplete","Complete")))</f>
        <v>Complete</v>
      </c>
      <c r="I1442" s="39" t="s">
        <v>1656</v>
      </c>
    </row>
    <row r="1443" spans="2:9" ht="15" customHeight="1" x14ac:dyDescent="0.25">
      <c r="B1443" s="37" t="s">
        <v>1630</v>
      </c>
      <c r="C1443" s="26">
        <v>27</v>
      </c>
      <c r="D1443" s="38" t="s">
        <v>2700</v>
      </c>
      <c r="E1443" s="59"/>
      <c r="F1443" s="59" t="str">
        <f>IF(INDEX(I.Gas.P2bC1E3,27)="","",INDEX(I.Gas.P2bC1E3,27))</f>
        <v/>
      </c>
      <c r="G1443" s="59"/>
      <c r="H1443" s="26" t="str">
        <f>IF(OR(I.Developer.P2b=FALSE,I.Facility.StandardPart="Part 2"),"Complete",IF(I.Product.P2bGasToPower="No","Complete",IF(AND(I.Gas.P2bCount&gt;=27,F1443=""),"Incomplete","Complete")))</f>
        <v>Complete</v>
      </c>
      <c r="I1443" s="39" t="s">
        <v>1657</v>
      </c>
    </row>
    <row r="1444" spans="2:9" ht="15" customHeight="1" x14ac:dyDescent="0.25">
      <c r="B1444" s="37" t="s">
        <v>1630</v>
      </c>
      <c r="C1444" s="26">
        <v>28</v>
      </c>
      <c r="D1444" s="38" t="s">
        <v>2700</v>
      </c>
      <c r="E1444" s="59"/>
      <c r="F1444" s="59" t="str">
        <f>IF(INDEX(I.Gas.P2bC1E3,28)="","",INDEX(I.Gas.P2bC1E3,28))</f>
        <v/>
      </c>
      <c r="G1444" s="59"/>
      <c r="H1444" s="26" t="str">
        <f>IF(OR(I.Developer.P2b=FALSE,I.Facility.StandardPart="Part 2"),"Complete",IF(I.Product.P2bGasToPower="No","Complete",IF(AND(I.Gas.P2bCount&gt;=28,F1444=""),"Incomplete","Complete")))</f>
        <v>Complete</v>
      </c>
      <c r="I1444" s="39" t="s">
        <v>1658</v>
      </c>
    </row>
    <row r="1445" spans="2:9" ht="15" customHeight="1" x14ac:dyDescent="0.25">
      <c r="B1445" s="37" t="s">
        <v>1630</v>
      </c>
      <c r="C1445" s="26">
        <v>29</v>
      </c>
      <c r="D1445" s="38" t="s">
        <v>2700</v>
      </c>
      <c r="E1445" s="59"/>
      <c r="F1445" s="59" t="str">
        <f>IF(INDEX(I.Gas.P2bC1E3,29)="","",INDEX(I.Gas.P2bC1E3,29))</f>
        <v/>
      </c>
      <c r="G1445" s="59"/>
      <c r="H1445" s="26" t="str">
        <f>IF(OR(I.Developer.P2b=FALSE,I.Facility.StandardPart="Part 2"),"Complete",IF(I.Product.P2bGasToPower="No","Complete",IF(AND(I.Gas.P2bCount&gt;=29,F1445=""),"Incomplete","Complete")))</f>
        <v>Complete</v>
      </c>
      <c r="I1445" s="39" t="s">
        <v>1659</v>
      </c>
    </row>
    <row r="1446" spans="2:9" ht="15" customHeight="1" x14ac:dyDescent="0.25">
      <c r="B1446" s="37" t="s">
        <v>1630</v>
      </c>
      <c r="C1446" s="26">
        <v>30</v>
      </c>
      <c r="D1446" s="38" t="s">
        <v>2700</v>
      </c>
      <c r="E1446" s="59"/>
      <c r="F1446" s="59" t="str">
        <f>IF(INDEX(I.Gas.P2bC1E3,30)="","",INDEX(I.Gas.P2bC1E3,30))</f>
        <v/>
      </c>
      <c r="G1446" s="59"/>
      <c r="H1446" s="26" t="str">
        <f>IF(OR(I.Developer.P2b=FALSE,I.Facility.StandardPart="Part 2"),"Complete",IF(I.Product.P2bGasToPower="No","Complete",IF(AND(I.Gas.P2bCount&gt;=30,F1446=""),"Incomplete","Complete")))</f>
        <v>Complete</v>
      </c>
      <c r="I1446" s="39" t="s">
        <v>1660</v>
      </c>
    </row>
    <row r="1447" spans="2:9" ht="15" customHeight="1" x14ac:dyDescent="0.25">
      <c r="B1447" s="37" t="s">
        <v>1630</v>
      </c>
      <c r="C1447" s="26">
        <v>31</v>
      </c>
      <c r="D1447" s="38" t="s">
        <v>2700</v>
      </c>
      <c r="E1447" s="59"/>
      <c r="F1447" s="59" t="str">
        <f>IF(INDEX(I.Gas.P2bC1E3,31)="","",INDEX(I.Gas.P2bC1E3,31))</f>
        <v/>
      </c>
      <c r="G1447" s="59"/>
      <c r="H1447" s="26" t="str">
        <f>IF(OR(I.Developer.P2b=FALSE,I.Facility.StandardPart="Part 2"),"Complete",IF(I.Product.P2bGasToPower="No","Complete",IF(AND(I.Gas.P2bCount&gt;=31,F1447=""),"Incomplete","Complete")))</f>
        <v>Complete</v>
      </c>
      <c r="I1447" s="39" t="s">
        <v>1661</v>
      </c>
    </row>
    <row r="1448" spans="2:9" ht="15" customHeight="1" x14ac:dyDescent="0.25">
      <c r="B1448" s="37" t="s">
        <v>1630</v>
      </c>
      <c r="C1448" s="26">
        <v>32</v>
      </c>
      <c r="D1448" s="38" t="s">
        <v>2700</v>
      </c>
      <c r="E1448" s="59"/>
      <c r="F1448" s="59" t="str">
        <f>IF(INDEX(I.Gas.P2bC1E3,32)="","",INDEX(I.Gas.P2bC1E3,32))</f>
        <v/>
      </c>
      <c r="G1448" s="59"/>
      <c r="H1448" s="26" t="str">
        <f>IF(OR(I.Developer.P2b=FALSE,I.Facility.StandardPart="Part 2"),"Complete",IF(I.Product.P2bGasToPower="No","Complete",IF(AND(I.Gas.P2bCount&gt;=32,F1448=""),"Incomplete","Complete")))</f>
        <v>Complete</v>
      </c>
      <c r="I1448" s="39" t="s">
        <v>1662</v>
      </c>
    </row>
    <row r="1449" spans="2:9" ht="15" customHeight="1" x14ac:dyDescent="0.25">
      <c r="B1449" s="37" t="s">
        <v>1630</v>
      </c>
      <c r="C1449" s="26">
        <v>33</v>
      </c>
      <c r="D1449" s="38" t="s">
        <v>2700</v>
      </c>
      <c r="E1449" s="59"/>
      <c r="F1449" s="59" t="str">
        <f>IF(INDEX(I.Gas.P2bC1E3,33)="","",INDEX(I.Gas.P2bC1E3,33))</f>
        <v/>
      </c>
      <c r="G1449" s="59"/>
      <c r="H1449" s="26" t="str">
        <f>IF(OR(I.Developer.P2b=FALSE,I.Facility.StandardPart="Part 2"),"Complete",IF(I.Product.P2bGasToPower="No","Complete",IF(AND(I.Gas.P2bCount&gt;=33,F1449=""),"Incomplete","Complete")))</f>
        <v>Complete</v>
      </c>
      <c r="I1449" s="39" t="s">
        <v>1663</v>
      </c>
    </row>
    <row r="1450" spans="2:9" ht="15" customHeight="1" x14ac:dyDescent="0.25">
      <c r="B1450" s="37" t="s">
        <v>1630</v>
      </c>
      <c r="C1450" s="26">
        <v>34</v>
      </c>
      <c r="D1450" s="38" t="s">
        <v>2700</v>
      </c>
      <c r="E1450" s="59"/>
      <c r="F1450" s="59" t="str">
        <f>IF(INDEX(I.Gas.P2bC1E3,34)="","",INDEX(I.Gas.P2bC1E3,34))</f>
        <v/>
      </c>
      <c r="G1450" s="59"/>
      <c r="H1450" s="26" t="str">
        <f>IF(OR(I.Developer.P2b=FALSE,I.Facility.StandardPart="Part 2"),"Complete",IF(I.Product.P2bGasToPower="No","Complete",IF(AND(I.Gas.P2bCount&gt;=34,F1450=""),"Incomplete","Complete")))</f>
        <v>Complete</v>
      </c>
      <c r="I1450" s="39" t="s">
        <v>1664</v>
      </c>
    </row>
    <row r="1451" spans="2:9" ht="15" customHeight="1" x14ac:dyDescent="0.25">
      <c r="B1451" s="37" t="s">
        <v>1630</v>
      </c>
      <c r="C1451" s="26">
        <v>35</v>
      </c>
      <c r="D1451" s="38" t="s">
        <v>2700</v>
      </c>
      <c r="E1451" s="59"/>
      <c r="F1451" s="59" t="str">
        <f>IF(INDEX(I.Gas.P2bC1E3,35)="","",INDEX(I.Gas.P2bC1E3,35))</f>
        <v/>
      </c>
      <c r="G1451" s="59"/>
      <c r="H1451" s="26" t="str">
        <f>IF(OR(I.Developer.P2b=FALSE,I.Facility.StandardPart="Part 2"),"Complete",IF(I.Product.P2bGasToPower="No","Complete",IF(AND(I.Gas.P2bCount&gt;=35,F1451=""),"Incomplete","Complete")))</f>
        <v>Complete</v>
      </c>
      <c r="I1451" s="39" t="s">
        <v>1665</v>
      </c>
    </row>
    <row r="1452" spans="2:9" ht="15" customHeight="1" x14ac:dyDescent="0.25">
      <c r="B1452" s="37" t="s">
        <v>1630</v>
      </c>
      <c r="C1452" s="26">
        <v>36</v>
      </c>
      <c r="D1452" s="38" t="s">
        <v>2700</v>
      </c>
      <c r="E1452" s="59"/>
      <c r="F1452" s="59" t="str">
        <f>IF(INDEX(I.Gas.P2bC1E3,36)="","",INDEX(I.Gas.P2bC1E3,36))</f>
        <v/>
      </c>
      <c r="G1452" s="59"/>
      <c r="H1452" s="26" t="str">
        <f>IF(OR(I.Developer.P2b=FALSE,I.Facility.StandardPart="Part 2"),"Complete",IF(I.Product.P2bGasToPower="No","Complete",IF(AND(I.Gas.P2bCount&gt;=36,F1452=""),"Incomplete","Complete")))</f>
        <v>Complete</v>
      </c>
      <c r="I1452" s="39" t="s">
        <v>1666</v>
      </c>
    </row>
    <row r="1453" spans="2:9" ht="15" customHeight="1" x14ac:dyDescent="0.25">
      <c r="B1453" s="37" t="s">
        <v>1630</v>
      </c>
      <c r="C1453" s="26">
        <v>37</v>
      </c>
      <c r="D1453" s="38" t="s">
        <v>2700</v>
      </c>
      <c r="E1453" s="59"/>
      <c r="F1453" s="59" t="str">
        <f>IF(INDEX(I.Gas.P2bC1E3,37)="","",INDEX(I.Gas.P2bC1E3,37))</f>
        <v/>
      </c>
      <c r="G1453" s="59"/>
      <c r="H1453" s="26" t="str">
        <f>IF(OR(I.Developer.P2b=FALSE,I.Facility.StandardPart="Part 2"),"Complete",IF(I.Product.P2bGasToPower="No","Complete",IF(AND(I.Gas.P2bCount&gt;=37,F1453=""),"Incomplete","Complete")))</f>
        <v>Complete</v>
      </c>
      <c r="I1453" s="39" t="s">
        <v>1667</v>
      </c>
    </row>
    <row r="1454" spans="2:9" ht="15" customHeight="1" x14ac:dyDescent="0.25">
      <c r="B1454" s="37" t="s">
        <v>1630</v>
      </c>
      <c r="C1454" s="26">
        <v>38</v>
      </c>
      <c r="D1454" s="38" t="s">
        <v>2700</v>
      </c>
      <c r="E1454" s="59"/>
      <c r="F1454" s="59" t="str">
        <f>IF(INDEX(I.Gas.P2bC1E3,38)="","",INDEX(I.Gas.P2bC1E3,38))</f>
        <v/>
      </c>
      <c r="G1454" s="59"/>
      <c r="H1454" s="26" t="str">
        <f>IF(OR(I.Developer.P2b=FALSE,I.Facility.StandardPart="Part 2"),"Complete",IF(I.Product.P2bGasToPower="No","Complete",IF(AND(I.Gas.P2bCount&gt;=38,F1454=""),"Incomplete","Complete")))</f>
        <v>Complete</v>
      </c>
      <c r="I1454" s="39" t="s">
        <v>1668</v>
      </c>
    </row>
    <row r="1455" spans="2:9" ht="15" customHeight="1" x14ac:dyDescent="0.25">
      <c r="B1455" s="37" t="s">
        <v>1630</v>
      </c>
      <c r="C1455" s="26">
        <v>39</v>
      </c>
      <c r="D1455" s="38" t="s">
        <v>2700</v>
      </c>
      <c r="E1455" s="59"/>
      <c r="F1455" s="59" t="str">
        <f>IF(INDEX(I.Gas.P2bC1E3,39)="","",INDEX(I.Gas.P2bC1E3,39))</f>
        <v/>
      </c>
      <c r="G1455" s="59"/>
      <c r="H1455" s="26" t="str">
        <f>IF(OR(I.Developer.P2b=FALSE,I.Facility.StandardPart="Part 2"),"Complete",IF(I.Product.P2bGasToPower="No","Complete",IF(AND(I.Gas.P2bCount&gt;=39,F1455=""),"Incomplete","Complete")))</f>
        <v>Complete</v>
      </c>
      <c r="I1455" s="39" t="s">
        <v>1669</v>
      </c>
    </row>
    <row r="1456" spans="2:9" ht="15" customHeight="1" x14ac:dyDescent="0.25">
      <c r="B1456" s="37" t="s">
        <v>1630</v>
      </c>
      <c r="C1456" s="26">
        <v>40</v>
      </c>
      <c r="D1456" s="38" t="s">
        <v>2700</v>
      </c>
      <c r="E1456" s="59"/>
      <c r="F1456" s="59" t="str">
        <f>IF(INDEX(I.Gas.P2bC1E3,40)="","",INDEX(I.Gas.P2bC1E3,40))</f>
        <v/>
      </c>
      <c r="G1456" s="59"/>
      <c r="H1456" s="26" t="str">
        <f>IF(OR(I.Developer.P2b=FALSE,I.Facility.StandardPart="Part 2"),"Complete",IF(I.Product.P2bGasToPower="No","Complete",IF(AND(I.Gas.P2bCount&gt;=40,F1456=""),"Incomplete","Complete")))</f>
        <v>Complete</v>
      </c>
      <c r="I1456" s="39" t="s">
        <v>1670</v>
      </c>
    </row>
    <row r="1457" spans="2:9" ht="15" customHeight="1" x14ac:dyDescent="0.25">
      <c r="B1457" s="37" t="s">
        <v>1630</v>
      </c>
      <c r="C1457" s="26">
        <v>41</v>
      </c>
      <c r="D1457" s="38" t="s">
        <v>2700</v>
      </c>
      <c r="E1457" s="59"/>
      <c r="F1457" s="59" t="str">
        <f>IF(INDEX(I.Gas.P2bC1E3,41)="","",INDEX(I.Gas.P2bC1E3,41))</f>
        <v/>
      </c>
      <c r="G1457" s="59"/>
      <c r="H1457" s="26" t="str">
        <f>IF(OR(I.Developer.P2b=FALSE,I.Facility.StandardPart="Part 2"),"Complete",IF(I.Product.P2bGasToPower="No","Complete",IF(AND(I.Gas.P2bCount&gt;=41,F1457=""),"Incomplete","Complete")))</f>
        <v>Complete</v>
      </c>
      <c r="I1457" s="39" t="s">
        <v>1671</v>
      </c>
    </row>
    <row r="1458" spans="2:9" ht="15" customHeight="1" x14ac:dyDescent="0.25">
      <c r="B1458" s="37" t="s">
        <v>1630</v>
      </c>
      <c r="C1458" s="26">
        <v>42</v>
      </c>
      <c r="D1458" s="38" t="s">
        <v>2700</v>
      </c>
      <c r="E1458" s="59"/>
      <c r="F1458" s="59" t="str">
        <f>IF(INDEX(I.Gas.P2bC1E3,42)="","",INDEX(I.Gas.P2bC1E3,42))</f>
        <v/>
      </c>
      <c r="G1458" s="59"/>
      <c r="H1458" s="26" t="str">
        <f>IF(OR(I.Developer.P2b=FALSE,I.Facility.StandardPart="Part 2"),"Complete",IF(I.Product.P2bGasToPower="No","Complete",IF(AND(I.Gas.P2bCount&gt;=42,F1458=""),"Incomplete","Complete")))</f>
        <v>Complete</v>
      </c>
      <c r="I1458" s="39" t="s">
        <v>1672</v>
      </c>
    </row>
    <row r="1459" spans="2:9" ht="15" customHeight="1" x14ac:dyDescent="0.25">
      <c r="B1459" s="37" t="s">
        <v>1630</v>
      </c>
      <c r="C1459" s="26">
        <v>43</v>
      </c>
      <c r="D1459" s="38" t="s">
        <v>2700</v>
      </c>
      <c r="E1459" s="59"/>
      <c r="F1459" s="59" t="str">
        <f>IF(INDEX(I.Gas.P2bC1E3,43)="","",INDEX(I.Gas.P2bC1E3,43))</f>
        <v/>
      </c>
      <c r="G1459" s="59"/>
      <c r="H1459" s="26" t="str">
        <f>IF(OR(I.Developer.P2b=FALSE,I.Facility.StandardPart="Part 2"),"Complete",IF(I.Product.P2bGasToPower="No","Complete",IF(AND(I.Gas.P2bCount&gt;=43,F1459=""),"Incomplete","Complete")))</f>
        <v>Complete</v>
      </c>
      <c r="I1459" s="39" t="s">
        <v>1673</v>
      </c>
    </row>
    <row r="1460" spans="2:9" ht="15" customHeight="1" x14ac:dyDescent="0.25">
      <c r="B1460" s="37" t="s">
        <v>1630</v>
      </c>
      <c r="C1460" s="26">
        <v>44</v>
      </c>
      <c r="D1460" s="38" t="s">
        <v>2700</v>
      </c>
      <c r="E1460" s="59"/>
      <c r="F1460" s="59" t="str">
        <f>IF(INDEX(I.Gas.P2bC1E3,44)="","",INDEX(I.Gas.P2bC1E3,44))</f>
        <v/>
      </c>
      <c r="G1460" s="59"/>
      <c r="H1460" s="26" t="str">
        <f>IF(OR(I.Developer.P2b=FALSE,I.Facility.StandardPart="Part 2"),"Complete",IF(I.Product.P2bGasToPower="No","Complete",IF(AND(I.Gas.P2bCount&gt;=44,F1460=""),"Incomplete","Complete")))</f>
        <v>Complete</v>
      </c>
      <c r="I1460" s="39" t="s">
        <v>1674</v>
      </c>
    </row>
    <row r="1461" spans="2:9" ht="15" customHeight="1" x14ac:dyDescent="0.25">
      <c r="B1461" s="37" t="s">
        <v>1630</v>
      </c>
      <c r="C1461" s="26">
        <v>45</v>
      </c>
      <c r="D1461" s="38" t="s">
        <v>2700</v>
      </c>
      <c r="E1461" s="59"/>
      <c r="F1461" s="59" t="str">
        <f>IF(INDEX(I.Gas.P2bC1E3,45)="","",INDEX(I.Gas.P2bC1E3,45))</f>
        <v/>
      </c>
      <c r="G1461" s="59"/>
      <c r="H1461" s="26" t="str">
        <f>IF(OR(I.Developer.P2b=FALSE,I.Facility.StandardPart="Part 2"),"Complete",IF(I.Product.P2bGasToPower="No","Complete",IF(AND(I.Gas.P2bCount&gt;=45,F1461=""),"Incomplete","Complete")))</f>
        <v>Complete</v>
      </c>
      <c r="I1461" s="39" t="s">
        <v>1675</v>
      </c>
    </row>
    <row r="1462" spans="2:9" ht="15" customHeight="1" x14ac:dyDescent="0.25">
      <c r="B1462" s="37" t="s">
        <v>1630</v>
      </c>
      <c r="C1462" s="26">
        <v>46</v>
      </c>
      <c r="D1462" s="38" t="s">
        <v>2700</v>
      </c>
      <c r="E1462" s="59"/>
      <c r="F1462" s="59" t="str">
        <f>IF(INDEX(I.Gas.P2bC1E3,46)="","",INDEX(I.Gas.P2bC1E3,46))</f>
        <v/>
      </c>
      <c r="G1462" s="59"/>
      <c r="H1462" s="26" t="str">
        <f>IF(OR(I.Developer.P2b=FALSE,I.Facility.StandardPart="Part 2"),"Complete",IF(I.Product.P2bGasToPower="No","Complete",IF(AND(I.Gas.P2bCount&gt;=46,F1462=""),"Incomplete","Complete")))</f>
        <v>Complete</v>
      </c>
      <c r="I1462" s="39" t="s">
        <v>1676</v>
      </c>
    </row>
    <row r="1463" spans="2:9" ht="15" customHeight="1" x14ac:dyDescent="0.25">
      <c r="B1463" s="37" t="s">
        <v>1630</v>
      </c>
      <c r="C1463" s="26">
        <v>47</v>
      </c>
      <c r="D1463" s="38" t="s">
        <v>2700</v>
      </c>
      <c r="E1463" s="59"/>
      <c r="F1463" s="59" t="str">
        <f>IF(INDEX(I.Gas.P2bC1E3,47)="","",INDEX(I.Gas.P2bC1E3,47))</f>
        <v/>
      </c>
      <c r="G1463" s="59"/>
      <c r="H1463" s="26" t="str">
        <f>IF(OR(I.Developer.P2b=FALSE,I.Facility.StandardPart="Part 2"),"Complete",IF(I.Product.P2bGasToPower="No","Complete",IF(AND(I.Gas.P2bCount&gt;=47,F1463=""),"Incomplete","Complete")))</f>
        <v>Complete</v>
      </c>
      <c r="I1463" s="39" t="s">
        <v>1677</v>
      </c>
    </row>
    <row r="1464" spans="2:9" ht="15" customHeight="1" x14ac:dyDescent="0.25">
      <c r="B1464" s="37" t="s">
        <v>1630</v>
      </c>
      <c r="C1464" s="26">
        <v>48</v>
      </c>
      <c r="D1464" s="38" t="s">
        <v>2700</v>
      </c>
      <c r="E1464" s="59"/>
      <c r="F1464" s="59" t="str">
        <f>IF(INDEX(I.Gas.P2bC1E3,48)="","",INDEX(I.Gas.P2bC1E3,48))</f>
        <v/>
      </c>
      <c r="G1464" s="59"/>
      <c r="H1464" s="26" t="str">
        <f>IF(OR(I.Developer.P2b=FALSE,I.Facility.StandardPart="Part 2"),"Complete",IF(I.Product.P2bGasToPower="No","Complete",IF(AND(I.Gas.P2bCount&gt;=48,F1464=""),"Incomplete","Complete")))</f>
        <v>Complete</v>
      </c>
      <c r="I1464" s="39" t="s">
        <v>1678</v>
      </c>
    </row>
    <row r="1465" spans="2:9" ht="15" customHeight="1" x14ac:dyDescent="0.25">
      <c r="B1465" s="37" t="s">
        <v>1630</v>
      </c>
      <c r="C1465" s="26">
        <v>49</v>
      </c>
      <c r="D1465" s="38" t="s">
        <v>2700</v>
      </c>
      <c r="E1465" s="59"/>
      <c r="F1465" s="59" t="str">
        <f>IF(INDEX(I.Gas.P2bC1E3,49)="","",INDEX(I.Gas.P2bC1E3,49))</f>
        <v/>
      </c>
      <c r="G1465" s="59"/>
      <c r="H1465" s="26" t="str">
        <f>IF(OR(I.Developer.P2b=FALSE,I.Facility.StandardPart="Part 2"),"Complete",IF(I.Product.P2bGasToPower="No","Complete",IF(AND(I.Gas.P2bCount&gt;=49,F1465=""),"Incomplete","Complete")))</f>
        <v>Complete</v>
      </c>
      <c r="I1465" s="39" t="s">
        <v>1679</v>
      </c>
    </row>
    <row r="1466" spans="2:9" ht="15" customHeight="1" x14ac:dyDescent="0.25">
      <c r="B1466" s="40" t="s">
        <v>1630</v>
      </c>
      <c r="C1466" s="46">
        <v>50</v>
      </c>
      <c r="D1466" s="44" t="s">
        <v>2700</v>
      </c>
      <c r="E1466" s="63"/>
      <c r="F1466" s="63" t="str">
        <f>IF(INDEX(I.Gas.P2bC1E3,50)="","",INDEX(I.Gas.P2bC1E3,50))</f>
        <v/>
      </c>
      <c r="G1466" s="63"/>
      <c r="H1466" s="46" t="str">
        <f>IF(OR(I.Developer.P2b=FALSE,I.Facility.StandardPart="Part 2"),"Complete",IF(I.Product.P2bGasToPower="No","Complete",IF(AND(I.Gas.P2bCount&gt;=50,F1466=""),"Incomplete","Complete")))</f>
        <v>Complete</v>
      </c>
      <c r="I1466" s="47" t="s">
        <v>1680</v>
      </c>
    </row>
    <row r="1467" spans="2:9" ht="15" customHeight="1" x14ac:dyDescent="0.25">
      <c r="B1467" s="55" t="s">
        <v>1681</v>
      </c>
      <c r="C1467" s="56">
        <v>1</v>
      </c>
      <c r="D1467" s="53" t="s">
        <v>2701</v>
      </c>
      <c r="E1467" s="73"/>
      <c r="F1467" s="73" t="str">
        <f>IF(I.Gas.P3Count="","",I.Gas.P3Count)</f>
        <v/>
      </c>
      <c r="G1467" s="73"/>
      <c r="H1467" s="56" t="str">
        <f>IF(I.Developer.P3=FALSE,"Complete",IF(I.Product.P3GasToPower="No","Complete",IF(I.Gas.P3Count="","Incomplete","Complete")))</f>
        <v>Complete</v>
      </c>
      <c r="I1467" s="58" t="s">
        <v>1682</v>
      </c>
    </row>
    <row r="1468" spans="2:9" ht="15" customHeight="1" x14ac:dyDescent="0.25">
      <c r="B1468" s="37" t="s">
        <v>1683</v>
      </c>
      <c r="C1468" s="26">
        <v>1</v>
      </c>
      <c r="D1468" s="38" t="s">
        <v>2702</v>
      </c>
      <c r="E1468" s="59"/>
      <c r="F1468" s="59" t="str">
        <f>IF(INDEX(I.Gas.P3AssociatedGasEnergy,1)="","",INDEX(I.Gas.P3AssociatedGasEnergy,1))</f>
        <v/>
      </c>
      <c r="G1468" s="59"/>
      <c r="H1468" s="26" t="str">
        <f>IF(I.Developer.P3=FALSE,"Complete",IF(I.Product.P3GasToPower="No","Complete",IF(AND(I.Gas.P3Count&gt;=1,F1468=""),"Incomplete","Complete")))</f>
        <v>Complete</v>
      </c>
      <c r="I1468" s="39" t="s">
        <v>1684</v>
      </c>
    </row>
    <row r="1469" spans="2:9" ht="15" customHeight="1" x14ac:dyDescent="0.25">
      <c r="B1469" s="37" t="s">
        <v>1683</v>
      </c>
      <c r="C1469" s="26">
        <v>2</v>
      </c>
      <c r="D1469" s="38" t="s">
        <v>2702</v>
      </c>
      <c r="E1469" s="59"/>
      <c r="F1469" s="59" t="str">
        <f>IF(INDEX(I.Gas.P3AssociatedGasEnergy,2)="","",INDEX(I.Gas.P3AssociatedGasEnergy,2))</f>
        <v/>
      </c>
      <c r="G1469" s="59"/>
      <c r="H1469" s="26" t="str">
        <f>IF(I.Developer.P3=FALSE,"Complete",IF(I.Product.P3GasToPower="No","Complete",IF(AND(I.Gas.P3Count&gt;=2,F1469=""),"Incomplete","Complete")))</f>
        <v>Complete</v>
      </c>
      <c r="I1469" s="39" t="s">
        <v>1685</v>
      </c>
    </row>
    <row r="1470" spans="2:9" ht="15" customHeight="1" x14ac:dyDescent="0.25">
      <c r="B1470" s="37" t="s">
        <v>1683</v>
      </c>
      <c r="C1470" s="26">
        <v>3</v>
      </c>
      <c r="D1470" s="38" t="s">
        <v>2702</v>
      </c>
      <c r="E1470" s="59"/>
      <c r="F1470" s="59" t="str">
        <f>IF(INDEX(I.Gas.P3AssociatedGasEnergy,3)="","",INDEX(I.Gas.P3AssociatedGasEnergy,3))</f>
        <v/>
      </c>
      <c r="G1470" s="59"/>
      <c r="H1470" s="26" t="str">
        <f>IF(I.Developer.P3=FALSE,"Complete",IF(I.Product.P3GasToPower="No","Complete",IF(AND(I.Gas.P3Count&gt;=3,F1470=""),"Incomplete","Complete")))</f>
        <v>Complete</v>
      </c>
      <c r="I1470" s="39" t="s">
        <v>1686</v>
      </c>
    </row>
    <row r="1471" spans="2:9" ht="15" customHeight="1" x14ac:dyDescent="0.25">
      <c r="B1471" s="37" t="s">
        <v>1683</v>
      </c>
      <c r="C1471" s="26">
        <v>4</v>
      </c>
      <c r="D1471" s="38" t="s">
        <v>2702</v>
      </c>
      <c r="E1471" s="59"/>
      <c r="F1471" s="59" t="str">
        <f>IF(INDEX(I.Gas.P3AssociatedGasEnergy,4)="","",INDEX(I.Gas.P3AssociatedGasEnergy,4))</f>
        <v/>
      </c>
      <c r="G1471" s="59"/>
      <c r="H1471" s="26" t="str">
        <f>IF(I.Developer.P3=FALSE,"Complete",IF(I.Product.P3GasToPower="No","Complete",IF(AND(I.Gas.P3Count&gt;=4,F1471=""),"Incomplete","Complete")))</f>
        <v>Complete</v>
      </c>
      <c r="I1471" s="39" t="s">
        <v>1687</v>
      </c>
    </row>
    <row r="1472" spans="2:9" ht="15" customHeight="1" x14ac:dyDescent="0.25">
      <c r="B1472" s="37" t="s">
        <v>1683</v>
      </c>
      <c r="C1472" s="26">
        <v>5</v>
      </c>
      <c r="D1472" s="38" t="s">
        <v>2702</v>
      </c>
      <c r="E1472" s="59"/>
      <c r="F1472" s="59" t="str">
        <f>IF(INDEX(I.Gas.P3AssociatedGasEnergy,5)="","",INDEX(I.Gas.P3AssociatedGasEnergy,5))</f>
        <v/>
      </c>
      <c r="G1472" s="59"/>
      <c r="H1472" s="26" t="str">
        <f>IF(I.Developer.P3=FALSE,"Complete",IF(I.Product.P3GasToPower="No","Complete",IF(AND(I.Gas.P3Count&gt;=5,F1472=""),"Incomplete","Complete")))</f>
        <v>Complete</v>
      </c>
      <c r="I1472" s="39" t="s">
        <v>1688</v>
      </c>
    </row>
    <row r="1473" spans="2:9" ht="15" customHeight="1" x14ac:dyDescent="0.25">
      <c r="B1473" s="37" t="s">
        <v>1683</v>
      </c>
      <c r="C1473" s="26">
        <v>6</v>
      </c>
      <c r="D1473" s="38" t="s">
        <v>2702</v>
      </c>
      <c r="E1473" s="59"/>
      <c r="F1473" s="59" t="str">
        <f>IF(INDEX(I.Gas.P3AssociatedGasEnergy,6)="","",INDEX(I.Gas.P3AssociatedGasEnergy,6))</f>
        <v/>
      </c>
      <c r="G1473" s="59"/>
      <c r="H1473" s="26" t="str">
        <f>IF(I.Developer.P3=FALSE,"Complete",IF(I.Product.P3GasToPower="No","Complete",IF(AND(I.Gas.P3Count&gt;=6,F1473=""),"Incomplete","Complete")))</f>
        <v>Complete</v>
      </c>
      <c r="I1473" s="39" t="s">
        <v>1689</v>
      </c>
    </row>
    <row r="1474" spans="2:9" ht="15" customHeight="1" x14ac:dyDescent="0.25">
      <c r="B1474" s="37" t="s">
        <v>1683</v>
      </c>
      <c r="C1474" s="26">
        <v>7</v>
      </c>
      <c r="D1474" s="38" t="s">
        <v>2702</v>
      </c>
      <c r="E1474" s="59"/>
      <c r="F1474" s="59" t="str">
        <f>IF(INDEX(I.Gas.P3AssociatedGasEnergy,7)="","",INDEX(I.Gas.P3AssociatedGasEnergy,7))</f>
        <v/>
      </c>
      <c r="G1474" s="59"/>
      <c r="H1474" s="26" t="str">
        <f>IF(I.Developer.P3=FALSE,"Complete",IF(I.Product.P3GasToPower="No","Complete",IF(AND(I.Gas.P3Count&gt;=7,F1474=""),"Incomplete","Complete")))</f>
        <v>Complete</v>
      </c>
      <c r="I1474" s="39" t="s">
        <v>1690</v>
      </c>
    </row>
    <row r="1475" spans="2:9" ht="15" customHeight="1" x14ac:dyDescent="0.25">
      <c r="B1475" s="37" t="s">
        <v>1683</v>
      </c>
      <c r="C1475" s="26">
        <v>8</v>
      </c>
      <c r="D1475" s="38" t="s">
        <v>2702</v>
      </c>
      <c r="E1475" s="59"/>
      <c r="F1475" s="59" t="str">
        <f>IF(INDEX(I.Gas.P3AssociatedGasEnergy,8)="","",INDEX(I.Gas.P3AssociatedGasEnergy,8))</f>
        <v/>
      </c>
      <c r="G1475" s="59"/>
      <c r="H1475" s="26" t="str">
        <f>IF(I.Developer.P3=FALSE,"Complete",IF(I.Product.P3GasToPower="No","Complete",IF(AND(I.Gas.P3Count&gt;=8,F1475=""),"Incomplete","Complete")))</f>
        <v>Complete</v>
      </c>
      <c r="I1475" s="39" t="s">
        <v>1691</v>
      </c>
    </row>
    <row r="1476" spans="2:9" ht="15" customHeight="1" x14ac:dyDescent="0.25">
      <c r="B1476" s="37" t="s">
        <v>1683</v>
      </c>
      <c r="C1476" s="26">
        <v>9</v>
      </c>
      <c r="D1476" s="38" t="s">
        <v>2702</v>
      </c>
      <c r="E1476" s="59"/>
      <c r="F1476" s="59" t="str">
        <f>IF(INDEX(I.Gas.P3AssociatedGasEnergy,9)="","",INDEX(I.Gas.P3AssociatedGasEnergy,9))</f>
        <v/>
      </c>
      <c r="G1476" s="59"/>
      <c r="H1476" s="26" t="str">
        <f>IF(I.Developer.P3=FALSE,"Complete",IF(I.Product.P3GasToPower="No","Complete",IF(AND(I.Gas.P3Count&gt;=9,F1476=""),"Incomplete","Complete")))</f>
        <v>Complete</v>
      </c>
      <c r="I1476" s="39" t="s">
        <v>1692</v>
      </c>
    </row>
    <row r="1477" spans="2:9" ht="15" customHeight="1" x14ac:dyDescent="0.25">
      <c r="B1477" s="37" t="s">
        <v>1683</v>
      </c>
      <c r="C1477" s="26">
        <v>10</v>
      </c>
      <c r="D1477" s="38" t="s">
        <v>2702</v>
      </c>
      <c r="E1477" s="59"/>
      <c r="F1477" s="59" t="str">
        <f>IF(INDEX(I.Gas.P3AssociatedGasEnergy,10)="","",INDEX(I.Gas.P3AssociatedGasEnergy,10))</f>
        <v/>
      </c>
      <c r="G1477" s="59"/>
      <c r="H1477" s="26" t="str">
        <f>IF(I.Developer.P3=FALSE,"Complete",IF(I.Product.P3GasToPower="No","Complete",IF(AND(I.Gas.P3Count&gt;=10,F1477=""),"Incomplete","Complete")))</f>
        <v>Complete</v>
      </c>
      <c r="I1477" s="39" t="s">
        <v>1693</v>
      </c>
    </row>
    <row r="1478" spans="2:9" ht="15" customHeight="1" x14ac:dyDescent="0.25">
      <c r="B1478" s="37" t="s">
        <v>1683</v>
      </c>
      <c r="C1478" s="26">
        <v>11</v>
      </c>
      <c r="D1478" s="38" t="s">
        <v>2702</v>
      </c>
      <c r="E1478" s="59"/>
      <c r="F1478" s="59" t="str">
        <f>IF(INDEX(I.Gas.P3AssociatedGasEnergy,11)="","",INDEX(I.Gas.P3AssociatedGasEnergy,11))</f>
        <v/>
      </c>
      <c r="G1478" s="59"/>
      <c r="H1478" s="26" t="str">
        <f>IF(I.Developer.P3=FALSE,"Complete",IF(I.Product.P3GasToPower="No","Complete",IF(AND(I.Gas.P3Count&gt;=11,F1478=""),"Incomplete","Complete")))</f>
        <v>Complete</v>
      </c>
      <c r="I1478" s="39" t="s">
        <v>1694</v>
      </c>
    </row>
    <row r="1479" spans="2:9" ht="15" customHeight="1" x14ac:dyDescent="0.25">
      <c r="B1479" s="37" t="s">
        <v>1683</v>
      </c>
      <c r="C1479" s="26">
        <v>12</v>
      </c>
      <c r="D1479" s="38" t="s">
        <v>2702</v>
      </c>
      <c r="E1479" s="59"/>
      <c r="F1479" s="59" t="str">
        <f>IF(INDEX(I.Gas.P3AssociatedGasEnergy,12)="","",INDEX(I.Gas.P3AssociatedGasEnergy,12))</f>
        <v/>
      </c>
      <c r="G1479" s="59"/>
      <c r="H1479" s="26" t="str">
        <f>IF(I.Developer.P3=FALSE,"Complete",IF(I.Product.P3GasToPower="No","Complete",IF(AND(I.Gas.P3Count&gt;=12,F1479=""),"Incomplete","Complete")))</f>
        <v>Complete</v>
      </c>
      <c r="I1479" s="39" t="s">
        <v>1695</v>
      </c>
    </row>
    <row r="1480" spans="2:9" ht="15" customHeight="1" x14ac:dyDescent="0.25">
      <c r="B1480" s="37" t="s">
        <v>1683</v>
      </c>
      <c r="C1480" s="26">
        <v>13</v>
      </c>
      <c r="D1480" s="38" t="s">
        <v>2702</v>
      </c>
      <c r="E1480" s="59"/>
      <c r="F1480" s="59" t="str">
        <f>IF(INDEX(I.Gas.P3AssociatedGasEnergy,13)="","",INDEX(I.Gas.P3AssociatedGasEnergy,13))</f>
        <v/>
      </c>
      <c r="G1480" s="59"/>
      <c r="H1480" s="26" t="str">
        <f>IF(I.Developer.P3=FALSE,"Complete",IF(I.Product.P3GasToPower="No","Complete",IF(AND(I.Gas.P3Count&gt;=13,F1480=""),"Incomplete","Complete")))</f>
        <v>Complete</v>
      </c>
      <c r="I1480" s="39" t="s">
        <v>1696</v>
      </c>
    </row>
    <row r="1481" spans="2:9" ht="15" customHeight="1" x14ac:dyDescent="0.25">
      <c r="B1481" s="37" t="s">
        <v>1683</v>
      </c>
      <c r="C1481" s="26">
        <v>14</v>
      </c>
      <c r="D1481" s="38" t="s">
        <v>2702</v>
      </c>
      <c r="E1481" s="59"/>
      <c r="F1481" s="59" t="str">
        <f>IF(INDEX(I.Gas.P3AssociatedGasEnergy,14)="","",INDEX(I.Gas.P3AssociatedGasEnergy,14))</f>
        <v/>
      </c>
      <c r="G1481" s="59"/>
      <c r="H1481" s="26" t="str">
        <f>IF(I.Developer.P3=FALSE,"Complete",IF(I.Product.P3GasToPower="No","Complete",IF(AND(I.Gas.P3Count&gt;=14,F1481=""),"Incomplete","Complete")))</f>
        <v>Complete</v>
      </c>
      <c r="I1481" s="39" t="s">
        <v>1697</v>
      </c>
    </row>
    <row r="1482" spans="2:9" ht="15" customHeight="1" x14ac:dyDescent="0.25">
      <c r="B1482" s="37" t="s">
        <v>1683</v>
      </c>
      <c r="C1482" s="26">
        <v>15</v>
      </c>
      <c r="D1482" s="38" t="s">
        <v>2702</v>
      </c>
      <c r="E1482" s="59"/>
      <c r="F1482" s="59" t="str">
        <f>IF(INDEX(I.Gas.P3AssociatedGasEnergy,15)="","",INDEX(I.Gas.P3AssociatedGasEnergy,15))</f>
        <v/>
      </c>
      <c r="G1482" s="59"/>
      <c r="H1482" s="26" t="str">
        <f>IF(I.Developer.P3=FALSE,"Complete",IF(I.Product.P3GasToPower="No","Complete",IF(AND(I.Gas.P3Count&gt;=15,F1482=""),"Incomplete","Complete")))</f>
        <v>Complete</v>
      </c>
      <c r="I1482" s="39" t="s">
        <v>1698</v>
      </c>
    </row>
    <row r="1483" spans="2:9" ht="15" customHeight="1" x14ac:dyDescent="0.25">
      <c r="B1483" s="37" t="s">
        <v>1683</v>
      </c>
      <c r="C1483" s="26">
        <v>16</v>
      </c>
      <c r="D1483" s="38" t="s">
        <v>2702</v>
      </c>
      <c r="E1483" s="59"/>
      <c r="F1483" s="59" t="str">
        <f>IF(INDEX(I.Gas.P3AssociatedGasEnergy,16)="","",INDEX(I.Gas.P3AssociatedGasEnergy,16))</f>
        <v/>
      </c>
      <c r="G1483" s="59"/>
      <c r="H1483" s="26" t="str">
        <f>IF(I.Developer.P3=FALSE,"Complete",IF(I.Product.P3GasToPower="No","Complete",IF(AND(I.Gas.P3Count&gt;=16,F1483=""),"Incomplete","Complete")))</f>
        <v>Complete</v>
      </c>
      <c r="I1483" s="39" t="s">
        <v>1699</v>
      </c>
    </row>
    <row r="1484" spans="2:9" ht="15" customHeight="1" x14ac:dyDescent="0.25">
      <c r="B1484" s="37" t="s">
        <v>1683</v>
      </c>
      <c r="C1484" s="26">
        <v>17</v>
      </c>
      <c r="D1484" s="38" t="s">
        <v>2702</v>
      </c>
      <c r="E1484" s="59"/>
      <c r="F1484" s="59" t="str">
        <f>IF(INDEX(I.Gas.P3AssociatedGasEnergy,17)="","",INDEX(I.Gas.P3AssociatedGasEnergy,17))</f>
        <v/>
      </c>
      <c r="G1484" s="59"/>
      <c r="H1484" s="26" t="str">
        <f>IF(I.Developer.P3=FALSE,"Complete",IF(I.Product.P3GasToPower="No","Complete",IF(AND(I.Gas.P3Count&gt;=17,F1484=""),"Incomplete","Complete")))</f>
        <v>Complete</v>
      </c>
      <c r="I1484" s="39" t="s">
        <v>1700</v>
      </c>
    </row>
    <row r="1485" spans="2:9" ht="15" customHeight="1" x14ac:dyDescent="0.25">
      <c r="B1485" s="37" t="s">
        <v>1683</v>
      </c>
      <c r="C1485" s="26">
        <v>18</v>
      </c>
      <c r="D1485" s="38" t="s">
        <v>2702</v>
      </c>
      <c r="E1485" s="59"/>
      <c r="F1485" s="59" t="str">
        <f>IF(INDEX(I.Gas.P3AssociatedGasEnergy,18)="","",INDEX(I.Gas.P3AssociatedGasEnergy,18))</f>
        <v/>
      </c>
      <c r="G1485" s="59"/>
      <c r="H1485" s="26" t="str">
        <f>IF(I.Developer.P3=FALSE,"Complete",IF(I.Product.P3GasToPower="No","Complete",IF(AND(I.Gas.P3Count&gt;=18,F1485=""),"Incomplete","Complete")))</f>
        <v>Complete</v>
      </c>
      <c r="I1485" s="39" t="s">
        <v>1701</v>
      </c>
    </row>
    <row r="1486" spans="2:9" ht="15" customHeight="1" x14ac:dyDescent="0.25">
      <c r="B1486" s="37" t="s">
        <v>1683</v>
      </c>
      <c r="C1486" s="26">
        <v>19</v>
      </c>
      <c r="D1486" s="38" t="s">
        <v>2702</v>
      </c>
      <c r="E1486" s="59"/>
      <c r="F1486" s="59" t="str">
        <f>IF(INDEX(I.Gas.P3AssociatedGasEnergy,19)="","",INDEX(I.Gas.P3AssociatedGasEnergy,19))</f>
        <v/>
      </c>
      <c r="G1486" s="59"/>
      <c r="H1486" s="26" t="str">
        <f>IF(I.Developer.P3=FALSE,"Complete",IF(I.Product.P3GasToPower="No","Complete",IF(AND(I.Gas.P3Count&gt;=19,F1486=""),"Incomplete","Complete")))</f>
        <v>Complete</v>
      </c>
      <c r="I1486" s="39" t="s">
        <v>1702</v>
      </c>
    </row>
    <row r="1487" spans="2:9" ht="15" customHeight="1" x14ac:dyDescent="0.25">
      <c r="B1487" s="37" t="s">
        <v>1683</v>
      </c>
      <c r="C1487" s="26">
        <v>20</v>
      </c>
      <c r="D1487" s="38" t="s">
        <v>2702</v>
      </c>
      <c r="E1487" s="59"/>
      <c r="F1487" s="59" t="str">
        <f>IF(INDEX(I.Gas.P3AssociatedGasEnergy,20)="","",INDEX(I.Gas.P3AssociatedGasEnergy,20))</f>
        <v/>
      </c>
      <c r="G1487" s="59"/>
      <c r="H1487" s="26" t="str">
        <f>IF(I.Developer.P3=FALSE,"Complete",IF(I.Product.P3GasToPower="No","Complete",IF(AND(I.Gas.P3Count&gt;=20,F1487=""),"Incomplete","Complete")))</f>
        <v>Complete</v>
      </c>
      <c r="I1487" s="39" t="s">
        <v>1703</v>
      </c>
    </row>
    <row r="1488" spans="2:9" ht="15" customHeight="1" x14ac:dyDescent="0.25">
      <c r="B1488" s="37" t="s">
        <v>1683</v>
      </c>
      <c r="C1488" s="26">
        <v>21</v>
      </c>
      <c r="D1488" s="38" t="s">
        <v>2702</v>
      </c>
      <c r="E1488" s="59"/>
      <c r="F1488" s="59" t="str">
        <f>IF(INDEX(I.Gas.P3AssociatedGasEnergy,21)="","",INDEX(I.Gas.P3AssociatedGasEnergy,21))</f>
        <v/>
      </c>
      <c r="G1488" s="59"/>
      <c r="H1488" s="26" t="str">
        <f>IF(I.Developer.P3=FALSE,"Complete",IF(I.Product.P3GasToPower="No","Complete",IF(AND(I.Gas.P3Count&gt;=21,F1488=""),"Incomplete","Complete")))</f>
        <v>Complete</v>
      </c>
      <c r="I1488" s="39" t="s">
        <v>1704</v>
      </c>
    </row>
    <row r="1489" spans="2:9" ht="15" customHeight="1" x14ac:dyDescent="0.25">
      <c r="B1489" s="37" t="s">
        <v>1683</v>
      </c>
      <c r="C1489" s="26">
        <v>22</v>
      </c>
      <c r="D1489" s="38" t="s">
        <v>2702</v>
      </c>
      <c r="E1489" s="59"/>
      <c r="F1489" s="59" t="str">
        <f>IF(INDEX(I.Gas.P3AssociatedGasEnergy,22)="","",INDEX(I.Gas.P3AssociatedGasEnergy,22))</f>
        <v/>
      </c>
      <c r="G1489" s="59"/>
      <c r="H1489" s="26" t="str">
        <f>IF(I.Developer.P3=FALSE,"Complete",IF(I.Product.P3GasToPower="No","Complete",IF(AND(I.Gas.P3Count&gt;=22,F1489=""),"Incomplete","Complete")))</f>
        <v>Complete</v>
      </c>
      <c r="I1489" s="39" t="s">
        <v>1705</v>
      </c>
    </row>
    <row r="1490" spans="2:9" ht="15" customHeight="1" x14ac:dyDescent="0.25">
      <c r="B1490" s="37" t="s">
        <v>1683</v>
      </c>
      <c r="C1490" s="26">
        <v>23</v>
      </c>
      <c r="D1490" s="38" t="s">
        <v>2702</v>
      </c>
      <c r="E1490" s="59"/>
      <c r="F1490" s="59" t="str">
        <f>IF(INDEX(I.Gas.P3AssociatedGasEnergy,23)="","",INDEX(I.Gas.P3AssociatedGasEnergy,23))</f>
        <v/>
      </c>
      <c r="G1490" s="59"/>
      <c r="H1490" s="26" t="str">
        <f>IF(I.Developer.P3=FALSE,"Complete",IF(I.Product.P3GasToPower="No","Complete",IF(AND(I.Gas.P3Count&gt;=23,F1490=""),"Incomplete","Complete")))</f>
        <v>Complete</v>
      </c>
      <c r="I1490" s="39" t="s">
        <v>1706</v>
      </c>
    </row>
    <row r="1491" spans="2:9" ht="15" customHeight="1" x14ac:dyDescent="0.25">
      <c r="B1491" s="37" t="s">
        <v>1683</v>
      </c>
      <c r="C1491" s="26">
        <v>24</v>
      </c>
      <c r="D1491" s="38" t="s">
        <v>2702</v>
      </c>
      <c r="E1491" s="59"/>
      <c r="F1491" s="59" t="str">
        <f>IF(INDEX(I.Gas.P3AssociatedGasEnergy,24)="","",INDEX(I.Gas.P3AssociatedGasEnergy,24))</f>
        <v/>
      </c>
      <c r="G1491" s="59"/>
      <c r="H1491" s="26" t="str">
        <f>IF(I.Developer.P3=FALSE,"Complete",IF(I.Product.P3GasToPower="No","Complete",IF(AND(I.Gas.P3Count&gt;=24,F1491=""),"Incomplete","Complete")))</f>
        <v>Complete</v>
      </c>
      <c r="I1491" s="39" t="s">
        <v>1707</v>
      </c>
    </row>
    <row r="1492" spans="2:9" ht="15" customHeight="1" x14ac:dyDescent="0.25">
      <c r="B1492" s="37" t="s">
        <v>1683</v>
      </c>
      <c r="C1492" s="26">
        <v>25</v>
      </c>
      <c r="D1492" s="38" t="s">
        <v>2702</v>
      </c>
      <c r="E1492" s="59"/>
      <c r="F1492" s="59" t="str">
        <f>IF(INDEX(I.Gas.P3AssociatedGasEnergy,25)="","",INDEX(I.Gas.P3AssociatedGasEnergy,25))</f>
        <v/>
      </c>
      <c r="G1492" s="59"/>
      <c r="H1492" s="26" t="str">
        <f>IF(I.Developer.P3=FALSE,"Complete",IF(I.Product.P3GasToPower="No","Complete",IF(AND(I.Gas.P3Count&gt;=25,F1492=""),"Incomplete","Complete")))</f>
        <v>Complete</v>
      </c>
      <c r="I1492" s="39" t="s">
        <v>1708</v>
      </c>
    </row>
    <row r="1493" spans="2:9" ht="15" customHeight="1" x14ac:dyDescent="0.25">
      <c r="B1493" s="37" t="s">
        <v>1683</v>
      </c>
      <c r="C1493" s="26">
        <v>26</v>
      </c>
      <c r="D1493" s="38" t="s">
        <v>2702</v>
      </c>
      <c r="E1493" s="59"/>
      <c r="F1493" s="59" t="str">
        <f>IF(INDEX(I.Gas.P3AssociatedGasEnergy,26)="","",INDEX(I.Gas.P3AssociatedGasEnergy,26))</f>
        <v/>
      </c>
      <c r="G1493" s="59"/>
      <c r="H1493" s="26" t="str">
        <f>IF(I.Developer.P3=FALSE,"Complete",IF(I.Product.P3GasToPower="No","Complete",IF(AND(I.Gas.P3Count&gt;=26,F1493=""),"Incomplete","Complete")))</f>
        <v>Complete</v>
      </c>
      <c r="I1493" s="39" t="s">
        <v>1709</v>
      </c>
    </row>
    <row r="1494" spans="2:9" ht="15" customHeight="1" x14ac:dyDescent="0.25">
      <c r="B1494" s="37" t="s">
        <v>1683</v>
      </c>
      <c r="C1494" s="26">
        <v>27</v>
      </c>
      <c r="D1494" s="38" t="s">
        <v>2702</v>
      </c>
      <c r="E1494" s="59"/>
      <c r="F1494" s="59" t="str">
        <f>IF(INDEX(I.Gas.P3AssociatedGasEnergy,27)="","",INDEX(I.Gas.P3AssociatedGasEnergy,27))</f>
        <v/>
      </c>
      <c r="G1494" s="59"/>
      <c r="H1494" s="26" t="str">
        <f>IF(I.Developer.P3=FALSE,"Complete",IF(I.Product.P3GasToPower="No","Complete",IF(AND(I.Gas.P3Count&gt;=27,F1494=""),"Incomplete","Complete")))</f>
        <v>Complete</v>
      </c>
      <c r="I1494" s="39" t="s">
        <v>1710</v>
      </c>
    </row>
    <row r="1495" spans="2:9" ht="15" customHeight="1" x14ac:dyDescent="0.25">
      <c r="B1495" s="37" t="s">
        <v>1683</v>
      </c>
      <c r="C1495" s="26">
        <v>28</v>
      </c>
      <c r="D1495" s="38" t="s">
        <v>2702</v>
      </c>
      <c r="E1495" s="59"/>
      <c r="F1495" s="59" t="str">
        <f>IF(INDEX(I.Gas.P3AssociatedGasEnergy,28)="","",INDEX(I.Gas.P3AssociatedGasEnergy,28))</f>
        <v/>
      </c>
      <c r="G1495" s="59"/>
      <c r="H1495" s="26" t="str">
        <f>IF(I.Developer.P3=FALSE,"Complete",IF(I.Product.P3GasToPower="No","Complete",IF(AND(I.Gas.P3Count&gt;=28,F1495=""),"Incomplete","Complete")))</f>
        <v>Complete</v>
      </c>
      <c r="I1495" s="39" t="s">
        <v>1711</v>
      </c>
    </row>
    <row r="1496" spans="2:9" ht="15" customHeight="1" x14ac:dyDescent="0.25">
      <c r="B1496" s="37" t="s">
        <v>1683</v>
      </c>
      <c r="C1496" s="26">
        <v>29</v>
      </c>
      <c r="D1496" s="38" t="s">
        <v>2702</v>
      </c>
      <c r="E1496" s="59"/>
      <c r="F1496" s="59" t="str">
        <f>IF(INDEX(I.Gas.P3AssociatedGasEnergy,29)="","",INDEX(I.Gas.P3AssociatedGasEnergy,29))</f>
        <v/>
      </c>
      <c r="G1496" s="59"/>
      <c r="H1496" s="26" t="str">
        <f>IF(I.Developer.P3=FALSE,"Complete",IF(I.Product.P3GasToPower="No","Complete",IF(AND(I.Gas.P3Count&gt;=29,F1496=""),"Incomplete","Complete")))</f>
        <v>Complete</v>
      </c>
      <c r="I1496" s="39" t="s">
        <v>1712</v>
      </c>
    </row>
    <row r="1497" spans="2:9" ht="15" customHeight="1" x14ac:dyDescent="0.25">
      <c r="B1497" s="37" t="s">
        <v>1683</v>
      </c>
      <c r="C1497" s="26">
        <v>30</v>
      </c>
      <c r="D1497" s="38" t="s">
        <v>2702</v>
      </c>
      <c r="E1497" s="59"/>
      <c r="F1497" s="59" t="str">
        <f>IF(INDEX(I.Gas.P3AssociatedGasEnergy,30)="","",INDEX(I.Gas.P3AssociatedGasEnergy,30))</f>
        <v/>
      </c>
      <c r="G1497" s="59"/>
      <c r="H1497" s="26" t="str">
        <f>IF(I.Developer.P3=FALSE,"Complete",IF(I.Product.P3GasToPower="No","Complete",IF(AND(I.Gas.P3Count&gt;=30,F1497=""),"Incomplete","Complete")))</f>
        <v>Complete</v>
      </c>
      <c r="I1497" s="39" t="s">
        <v>1713</v>
      </c>
    </row>
    <row r="1498" spans="2:9" ht="15" customHeight="1" x14ac:dyDescent="0.25">
      <c r="B1498" s="37" t="s">
        <v>1683</v>
      </c>
      <c r="C1498" s="26">
        <v>31</v>
      </c>
      <c r="D1498" s="38" t="s">
        <v>2702</v>
      </c>
      <c r="E1498" s="59"/>
      <c r="F1498" s="59" t="str">
        <f>IF(INDEX(I.Gas.P3AssociatedGasEnergy,31)="","",INDEX(I.Gas.P3AssociatedGasEnergy,31))</f>
        <v/>
      </c>
      <c r="G1498" s="59"/>
      <c r="H1498" s="26" t="str">
        <f>IF(I.Developer.P3=FALSE,"Complete",IF(I.Product.P3GasToPower="No","Complete",IF(AND(I.Gas.P3Count&gt;=31,F1498=""),"Incomplete","Complete")))</f>
        <v>Complete</v>
      </c>
      <c r="I1498" s="39" t="s">
        <v>1714</v>
      </c>
    </row>
    <row r="1499" spans="2:9" ht="15" customHeight="1" x14ac:dyDescent="0.25">
      <c r="B1499" s="37" t="s">
        <v>1683</v>
      </c>
      <c r="C1499" s="26">
        <v>32</v>
      </c>
      <c r="D1499" s="38" t="s">
        <v>2702</v>
      </c>
      <c r="E1499" s="59"/>
      <c r="F1499" s="59" t="str">
        <f>IF(INDEX(I.Gas.P3AssociatedGasEnergy,32)="","",INDEX(I.Gas.P3AssociatedGasEnergy,32))</f>
        <v/>
      </c>
      <c r="G1499" s="59"/>
      <c r="H1499" s="26" t="str">
        <f>IF(I.Developer.P3=FALSE,"Complete",IF(I.Product.P3GasToPower="No","Complete",IF(AND(I.Gas.P3Count&gt;=32,F1499=""),"Incomplete","Complete")))</f>
        <v>Complete</v>
      </c>
      <c r="I1499" s="39" t="s">
        <v>1715</v>
      </c>
    </row>
    <row r="1500" spans="2:9" ht="15" customHeight="1" x14ac:dyDescent="0.25">
      <c r="B1500" s="37" t="s">
        <v>1683</v>
      </c>
      <c r="C1500" s="26">
        <v>33</v>
      </c>
      <c r="D1500" s="38" t="s">
        <v>2702</v>
      </c>
      <c r="E1500" s="59"/>
      <c r="F1500" s="59" t="str">
        <f>IF(INDEX(I.Gas.P3AssociatedGasEnergy,33)="","",INDEX(I.Gas.P3AssociatedGasEnergy,33))</f>
        <v/>
      </c>
      <c r="G1500" s="59"/>
      <c r="H1500" s="26" t="str">
        <f>IF(I.Developer.P3=FALSE,"Complete",IF(I.Product.P3GasToPower="No","Complete",IF(AND(I.Gas.P3Count&gt;=33,F1500=""),"Incomplete","Complete")))</f>
        <v>Complete</v>
      </c>
      <c r="I1500" s="39" t="s">
        <v>1716</v>
      </c>
    </row>
    <row r="1501" spans="2:9" ht="15" customHeight="1" x14ac:dyDescent="0.25">
      <c r="B1501" s="37" t="s">
        <v>1683</v>
      </c>
      <c r="C1501" s="26">
        <v>34</v>
      </c>
      <c r="D1501" s="38" t="s">
        <v>2702</v>
      </c>
      <c r="E1501" s="59"/>
      <c r="F1501" s="59" t="str">
        <f>IF(INDEX(I.Gas.P3AssociatedGasEnergy,34)="","",INDEX(I.Gas.P3AssociatedGasEnergy,34))</f>
        <v/>
      </c>
      <c r="G1501" s="59"/>
      <c r="H1501" s="26" t="str">
        <f>IF(I.Developer.P3=FALSE,"Complete",IF(I.Product.P3GasToPower="No","Complete",IF(AND(I.Gas.P3Count&gt;=34,F1501=""),"Incomplete","Complete")))</f>
        <v>Complete</v>
      </c>
      <c r="I1501" s="39" t="s">
        <v>1717</v>
      </c>
    </row>
    <row r="1502" spans="2:9" ht="15" customHeight="1" x14ac:dyDescent="0.25">
      <c r="B1502" s="37" t="s">
        <v>1683</v>
      </c>
      <c r="C1502" s="26">
        <v>35</v>
      </c>
      <c r="D1502" s="38" t="s">
        <v>2702</v>
      </c>
      <c r="E1502" s="59"/>
      <c r="F1502" s="59" t="str">
        <f>IF(INDEX(I.Gas.P3AssociatedGasEnergy,35)="","",INDEX(I.Gas.P3AssociatedGasEnergy,35))</f>
        <v/>
      </c>
      <c r="G1502" s="59"/>
      <c r="H1502" s="26" t="str">
        <f>IF(I.Developer.P3=FALSE,"Complete",IF(I.Product.P3GasToPower="No","Complete",IF(AND(I.Gas.P3Count&gt;=35,F1502=""),"Incomplete","Complete")))</f>
        <v>Complete</v>
      </c>
      <c r="I1502" s="39" t="s">
        <v>1718</v>
      </c>
    </row>
    <row r="1503" spans="2:9" ht="15" customHeight="1" x14ac:dyDescent="0.25">
      <c r="B1503" s="37" t="s">
        <v>1683</v>
      </c>
      <c r="C1503" s="26">
        <v>36</v>
      </c>
      <c r="D1503" s="38" t="s">
        <v>2702</v>
      </c>
      <c r="E1503" s="59"/>
      <c r="F1503" s="59" t="str">
        <f>IF(INDEX(I.Gas.P3AssociatedGasEnergy,36)="","",INDEX(I.Gas.P3AssociatedGasEnergy,36))</f>
        <v/>
      </c>
      <c r="G1503" s="59"/>
      <c r="H1503" s="26" t="str">
        <f>IF(I.Developer.P3=FALSE,"Complete",IF(I.Product.P3GasToPower="No","Complete",IF(AND(I.Gas.P3Count&gt;=36,F1503=""),"Incomplete","Complete")))</f>
        <v>Complete</v>
      </c>
      <c r="I1503" s="39" t="s">
        <v>1719</v>
      </c>
    </row>
    <row r="1504" spans="2:9" ht="15" customHeight="1" x14ac:dyDescent="0.25">
      <c r="B1504" s="37" t="s">
        <v>1683</v>
      </c>
      <c r="C1504" s="26">
        <v>37</v>
      </c>
      <c r="D1504" s="38" t="s">
        <v>2702</v>
      </c>
      <c r="E1504" s="59"/>
      <c r="F1504" s="59" t="str">
        <f>IF(INDEX(I.Gas.P3AssociatedGasEnergy,37)="","",INDEX(I.Gas.P3AssociatedGasEnergy,37))</f>
        <v/>
      </c>
      <c r="G1504" s="59"/>
      <c r="H1504" s="26" t="str">
        <f>IF(I.Developer.P3=FALSE,"Complete",IF(I.Product.P3GasToPower="No","Complete",IF(AND(I.Gas.P3Count&gt;=37,F1504=""),"Incomplete","Complete")))</f>
        <v>Complete</v>
      </c>
      <c r="I1504" s="39" t="s">
        <v>1720</v>
      </c>
    </row>
    <row r="1505" spans="2:9" ht="15" customHeight="1" x14ac:dyDescent="0.25">
      <c r="B1505" s="37" t="s">
        <v>1683</v>
      </c>
      <c r="C1505" s="26">
        <v>38</v>
      </c>
      <c r="D1505" s="38" t="s">
        <v>2702</v>
      </c>
      <c r="E1505" s="59"/>
      <c r="F1505" s="59" t="str">
        <f>IF(INDEX(I.Gas.P3AssociatedGasEnergy,38)="","",INDEX(I.Gas.P3AssociatedGasEnergy,38))</f>
        <v/>
      </c>
      <c r="G1505" s="59"/>
      <c r="H1505" s="26" t="str">
        <f>IF(I.Developer.P3=FALSE,"Complete",IF(I.Product.P3GasToPower="No","Complete",IF(AND(I.Gas.P3Count&gt;=38,F1505=""),"Incomplete","Complete")))</f>
        <v>Complete</v>
      </c>
      <c r="I1505" s="39" t="s">
        <v>1721</v>
      </c>
    </row>
    <row r="1506" spans="2:9" ht="15" customHeight="1" x14ac:dyDescent="0.25">
      <c r="B1506" s="37" t="s">
        <v>1683</v>
      </c>
      <c r="C1506" s="26">
        <v>39</v>
      </c>
      <c r="D1506" s="38" t="s">
        <v>2702</v>
      </c>
      <c r="E1506" s="59"/>
      <c r="F1506" s="59" t="str">
        <f>IF(INDEX(I.Gas.P3AssociatedGasEnergy,39)="","",INDEX(I.Gas.P3AssociatedGasEnergy,39))</f>
        <v/>
      </c>
      <c r="G1506" s="59"/>
      <c r="H1506" s="26" t="str">
        <f>IF(I.Developer.P3=FALSE,"Complete",IF(I.Product.P3GasToPower="No","Complete",IF(AND(I.Gas.P3Count&gt;=39,F1506=""),"Incomplete","Complete")))</f>
        <v>Complete</v>
      </c>
      <c r="I1506" s="39" t="s">
        <v>1722</v>
      </c>
    </row>
    <row r="1507" spans="2:9" ht="15" customHeight="1" x14ac:dyDescent="0.25">
      <c r="B1507" s="37" t="s">
        <v>1683</v>
      </c>
      <c r="C1507" s="26">
        <v>40</v>
      </c>
      <c r="D1507" s="38" t="s">
        <v>2702</v>
      </c>
      <c r="E1507" s="59"/>
      <c r="F1507" s="59" t="str">
        <f>IF(INDEX(I.Gas.P3AssociatedGasEnergy,40)="","",INDEX(I.Gas.P3AssociatedGasEnergy,40))</f>
        <v/>
      </c>
      <c r="G1507" s="59"/>
      <c r="H1507" s="26" t="str">
        <f>IF(I.Developer.P3=FALSE,"Complete",IF(I.Product.P3GasToPower="No","Complete",IF(AND(I.Gas.P3Count&gt;=40,F1507=""),"Incomplete","Complete")))</f>
        <v>Complete</v>
      </c>
      <c r="I1507" s="39" t="s">
        <v>1723</v>
      </c>
    </row>
    <row r="1508" spans="2:9" ht="15" customHeight="1" x14ac:dyDescent="0.25">
      <c r="B1508" s="37" t="s">
        <v>1683</v>
      </c>
      <c r="C1508" s="26">
        <v>41</v>
      </c>
      <c r="D1508" s="38" t="s">
        <v>2702</v>
      </c>
      <c r="E1508" s="59"/>
      <c r="F1508" s="59" t="str">
        <f>IF(INDEX(I.Gas.P3AssociatedGasEnergy,41)="","",INDEX(I.Gas.P3AssociatedGasEnergy,41))</f>
        <v/>
      </c>
      <c r="G1508" s="59"/>
      <c r="H1508" s="26" t="str">
        <f>IF(I.Developer.P3=FALSE,"Complete",IF(I.Product.P3GasToPower="No","Complete",IF(AND(I.Gas.P3Count&gt;=41,F1508=""),"Incomplete","Complete")))</f>
        <v>Complete</v>
      </c>
      <c r="I1508" s="39" t="s">
        <v>1724</v>
      </c>
    </row>
    <row r="1509" spans="2:9" ht="15" customHeight="1" x14ac:dyDescent="0.25">
      <c r="B1509" s="37" t="s">
        <v>1683</v>
      </c>
      <c r="C1509" s="26">
        <v>42</v>
      </c>
      <c r="D1509" s="38" t="s">
        <v>2702</v>
      </c>
      <c r="E1509" s="59"/>
      <c r="F1509" s="59" t="str">
        <f>IF(INDEX(I.Gas.P3AssociatedGasEnergy,42)="","",INDEX(I.Gas.P3AssociatedGasEnergy,42))</f>
        <v/>
      </c>
      <c r="G1509" s="59"/>
      <c r="H1509" s="26" t="str">
        <f>IF(I.Developer.P3=FALSE,"Complete",IF(I.Product.P3GasToPower="No","Complete",IF(AND(I.Gas.P3Count&gt;=42,F1509=""),"Incomplete","Complete")))</f>
        <v>Complete</v>
      </c>
      <c r="I1509" s="39" t="s">
        <v>1725</v>
      </c>
    </row>
    <row r="1510" spans="2:9" ht="15" customHeight="1" x14ac:dyDescent="0.25">
      <c r="B1510" s="37" t="s">
        <v>1683</v>
      </c>
      <c r="C1510" s="26">
        <v>43</v>
      </c>
      <c r="D1510" s="38" t="s">
        <v>2702</v>
      </c>
      <c r="E1510" s="59"/>
      <c r="F1510" s="59" t="str">
        <f>IF(INDEX(I.Gas.P3AssociatedGasEnergy,43)="","",INDEX(I.Gas.P3AssociatedGasEnergy,43))</f>
        <v/>
      </c>
      <c r="G1510" s="59"/>
      <c r="H1510" s="26" t="str">
        <f>IF(I.Developer.P3=FALSE,"Complete",IF(I.Product.P3GasToPower="No","Complete",IF(AND(I.Gas.P3Count&gt;=43,F1510=""),"Incomplete","Complete")))</f>
        <v>Complete</v>
      </c>
      <c r="I1510" s="39" t="s">
        <v>1726</v>
      </c>
    </row>
    <row r="1511" spans="2:9" ht="15" customHeight="1" x14ac:dyDescent="0.25">
      <c r="B1511" s="37" t="s">
        <v>1683</v>
      </c>
      <c r="C1511" s="26">
        <v>44</v>
      </c>
      <c r="D1511" s="38" t="s">
        <v>2702</v>
      </c>
      <c r="E1511" s="59"/>
      <c r="F1511" s="59" t="str">
        <f>IF(INDEX(I.Gas.P3AssociatedGasEnergy,44)="","",INDEX(I.Gas.P3AssociatedGasEnergy,44))</f>
        <v/>
      </c>
      <c r="G1511" s="59"/>
      <c r="H1511" s="26" t="str">
        <f>IF(I.Developer.P3=FALSE,"Complete",IF(I.Product.P3GasToPower="No","Complete",IF(AND(I.Gas.P3Count&gt;=44,F1511=""),"Incomplete","Complete")))</f>
        <v>Complete</v>
      </c>
      <c r="I1511" s="39" t="s">
        <v>1727</v>
      </c>
    </row>
    <row r="1512" spans="2:9" ht="15" customHeight="1" x14ac:dyDescent="0.25">
      <c r="B1512" s="37" t="s">
        <v>1683</v>
      </c>
      <c r="C1512" s="26">
        <v>45</v>
      </c>
      <c r="D1512" s="38" t="s">
        <v>2702</v>
      </c>
      <c r="E1512" s="59"/>
      <c r="F1512" s="59" t="str">
        <f>IF(INDEX(I.Gas.P3AssociatedGasEnergy,45)="","",INDEX(I.Gas.P3AssociatedGasEnergy,45))</f>
        <v/>
      </c>
      <c r="G1512" s="59"/>
      <c r="H1512" s="26" t="str">
        <f>IF(I.Developer.P3=FALSE,"Complete",IF(I.Product.P3GasToPower="No","Complete",IF(AND(I.Gas.P3Count&gt;=45,F1512=""),"Incomplete","Complete")))</f>
        <v>Complete</v>
      </c>
      <c r="I1512" s="39" t="s">
        <v>1728</v>
      </c>
    </row>
    <row r="1513" spans="2:9" ht="15" customHeight="1" x14ac:dyDescent="0.25">
      <c r="B1513" s="37" t="s">
        <v>1683</v>
      </c>
      <c r="C1513" s="26">
        <v>46</v>
      </c>
      <c r="D1513" s="38" t="s">
        <v>2702</v>
      </c>
      <c r="E1513" s="59"/>
      <c r="F1513" s="59" t="str">
        <f>IF(INDEX(I.Gas.P3AssociatedGasEnergy,46)="","",INDEX(I.Gas.P3AssociatedGasEnergy,46))</f>
        <v/>
      </c>
      <c r="G1513" s="59"/>
      <c r="H1513" s="26" t="str">
        <f>IF(I.Developer.P3=FALSE,"Complete",IF(I.Product.P3GasToPower="No","Complete",IF(AND(I.Gas.P3Count&gt;=46,F1513=""),"Incomplete","Complete")))</f>
        <v>Complete</v>
      </c>
      <c r="I1513" s="39" t="s">
        <v>1729</v>
      </c>
    </row>
    <row r="1514" spans="2:9" ht="15" customHeight="1" x14ac:dyDescent="0.25">
      <c r="B1514" s="37" t="s">
        <v>1683</v>
      </c>
      <c r="C1514" s="26">
        <v>47</v>
      </c>
      <c r="D1514" s="38" t="s">
        <v>2702</v>
      </c>
      <c r="E1514" s="59"/>
      <c r="F1514" s="59" t="str">
        <f>IF(INDEX(I.Gas.P3AssociatedGasEnergy,47)="","",INDEX(I.Gas.P3AssociatedGasEnergy,47))</f>
        <v/>
      </c>
      <c r="G1514" s="59"/>
      <c r="H1514" s="26" t="str">
        <f>IF(I.Developer.P3=FALSE,"Complete",IF(I.Product.P3GasToPower="No","Complete",IF(AND(I.Gas.P3Count&gt;=47,F1514=""),"Incomplete","Complete")))</f>
        <v>Complete</v>
      </c>
      <c r="I1514" s="39" t="s">
        <v>1730</v>
      </c>
    </row>
    <row r="1515" spans="2:9" ht="15" customHeight="1" x14ac:dyDescent="0.25">
      <c r="B1515" s="37" t="s">
        <v>1683</v>
      </c>
      <c r="C1515" s="26">
        <v>48</v>
      </c>
      <c r="D1515" s="38" t="s">
        <v>2702</v>
      </c>
      <c r="E1515" s="59"/>
      <c r="F1515" s="59" t="str">
        <f>IF(INDEX(I.Gas.P3AssociatedGasEnergy,48)="","",INDEX(I.Gas.P3AssociatedGasEnergy,48))</f>
        <v/>
      </c>
      <c r="G1515" s="59"/>
      <c r="H1515" s="26" t="str">
        <f>IF(I.Developer.P3=FALSE,"Complete",IF(I.Product.P3GasToPower="No","Complete",IF(AND(I.Gas.P3Count&gt;=48,F1515=""),"Incomplete","Complete")))</f>
        <v>Complete</v>
      </c>
      <c r="I1515" s="39" t="s">
        <v>1731</v>
      </c>
    </row>
    <row r="1516" spans="2:9" ht="15" customHeight="1" x14ac:dyDescent="0.25">
      <c r="B1516" s="37" t="s">
        <v>1683</v>
      </c>
      <c r="C1516" s="26">
        <v>49</v>
      </c>
      <c r="D1516" s="38" t="s">
        <v>2702</v>
      </c>
      <c r="E1516" s="59"/>
      <c r="F1516" s="59" t="str">
        <f>IF(INDEX(I.Gas.P3AssociatedGasEnergy,49)="","",INDEX(I.Gas.P3AssociatedGasEnergy,49))</f>
        <v/>
      </c>
      <c r="G1516" s="59"/>
      <c r="H1516" s="26" t="str">
        <f>IF(I.Developer.P3=FALSE,"Complete",IF(I.Product.P3GasToPower="No","Complete",IF(AND(I.Gas.P3Count&gt;=49,F1516=""),"Incomplete","Complete")))</f>
        <v>Complete</v>
      </c>
      <c r="I1516" s="39" t="s">
        <v>1732</v>
      </c>
    </row>
    <row r="1517" spans="2:9" ht="15" customHeight="1" x14ac:dyDescent="0.25">
      <c r="B1517" s="40" t="s">
        <v>1683</v>
      </c>
      <c r="C1517" s="46">
        <v>50</v>
      </c>
      <c r="D1517" s="44" t="s">
        <v>2702</v>
      </c>
      <c r="E1517" s="63"/>
      <c r="F1517" s="63" t="str">
        <f>IF(INDEX(I.Gas.P3AssociatedGasEnergy,50)="","",INDEX(I.Gas.P3AssociatedGasEnergy,50))</f>
        <v/>
      </c>
      <c r="G1517" s="63"/>
      <c r="H1517" s="46" t="str">
        <f>IF(I.Developer.P3=FALSE,"Complete",IF(I.Product.P3GasToPower="No","Complete",IF(AND(I.Gas.P3Count&gt;=50,F1517=""),"Incomplete","Complete")))</f>
        <v>Complete</v>
      </c>
      <c r="I1517" s="47" t="s">
        <v>1733</v>
      </c>
    </row>
    <row r="1518" spans="2:9" ht="15" customHeight="1" x14ac:dyDescent="0.25">
      <c r="B1518" s="37" t="s">
        <v>1734</v>
      </c>
      <c r="C1518" s="26">
        <v>1</v>
      </c>
      <c r="D1518" s="38" t="s">
        <v>2703</v>
      </c>
      <c r="E1518" s="59"/>
      <c r="F1518" s="59" t="str">
        <f>IF(INDEX(I.Gas.P3TotalGasEnergy,1)="","",INDEX(I.Gas.P3TotalGasEnergy,1))</f>
        <v/>
      </c>
      <c r="G1518" s="59"/>
      <c r="H1518" s="26" t="str">
        <f>IF(I.Developer.P3=FALSE,"Complete",IF(I.Product.P3GasToPower="No","Complete",IF(AND(I.Gas.P3Count&gt;=1,F1518=""),"Incomplete","Complete")))</f>
        <v>Complete</v>
      </c>
      <c r="I1518" s="39" t="s">
        <v>1735</v>
      </c>
    </row>
    <row r="1519" spans="2:9" ht="15" customHeight="1" x14ac:dyDescent="0.25">
      <c r="B1519" s="37" t="s">
        <v>1734</v>
      </c>
      <c r="C1519" s="26">
        <v>2</v>
      </c>
      <c r="D1519" s="38" t="s">
        <v>2703</v>
      </c>
      <c r="E1519" s="59"/>
      <c r="F1519" s="59" t="str">
        <f>IF(INDEX(I.Gas.P3TotalGasEnergy,2)="","",INDEX(I.Gas.P3TotalGasEnergy,2))</f>
        <v/>
      </c>
      <c r="G1519" s="59"/>
      <c r="H1519" s="26" t="str">
        <f>IF(I.Developer.P3=FALSE,"Complete",IF(I.Product.P3GasToPower="No","Complete",IF(AND(I.Gas.P3Count&gt;=2,F1519=""),"Incomplete","Complete")))</f>
        <v>Complete</v>
      </c>
      <c r="I1519" s="39" t="s">
        <v>1736</v>
      </c>
    </row>
    <row r="1520" spans="2:9" ht="15" customHeight="1" x14ac:dyDescent="0.25">
      <c r="B1520" s="37" t="s">
        <v>1734</v>
      </c>
      <c r="C1520" s="26">
        <v>3</v>
      </c>
      <c r="D1520" s="38" t="s">
        <v>2703</v>
      </c>
      <c r="E1520" s="59"/>
      <c r="F1520" s="59" t="str">
        <f>IF(INDEX(I.Gas.P3TotalGasEnergy,3)="","",INDEX(I.Gas.P3TotalGasEnergy,3))</f>
        <v/>
      </c>
      <c r="G1520" s="59"/>
      <c r="H1520" s="26" t="str">
        <f>IF(I.Developer.P3=FALSE,"Complete",IF(I.Product.P3GasToPower="No","Complete",IF(AND(I.Gas.P3Count&gt;=3,F1520=""),"Incomplete","Complete")))</f>
        <v>Complete</v>
      </c>
      <c r="I1520" s="39" t="s">
        <v>1737</v>
      </c>
    </row>
    <row r="1521" spans="2:9" ht="15" customHeight="1" x14ac:dyDescent="0.25">
      <c r="B1521" s="37" t="s">
        <v>1734</v>
      </c>
      <c r="C1521" s="26">
        <v>4</v>
      </c>
      <c r="D1521" s="38" t="s">
        <v>2703</v>
      </c>
      <c r="E1521" s="59"/>
      <c r="F1521" s="59" t="str">
        <f>IF(INDEX(I.Gas.P3TotalGasEnergy,4)="","",INDEX(I.Gas.P3TotalGasEnergy,4))</f>
        <v/>
      </c>
      <c r="G1521" s="59"/>
      <c r="H1521" s="26" t="str">
        <f>IF(I.Developer.P3=FALSE,"Complete",IF(I.Product.P3GasToPower="No","Complete",IF(AND(I.Gas.P3Count&gt;=4,F1521=""),"Incomplete","Complete")))</f>
        <v>Complete</v>
      </c>
      <c r="I1521" s="39" t="s">
        <v>1738</v>
      </c>
    </row>
    <row r="1522" spans="2:9" ht="15" customHeight="1" x14ac:dyDescent="0.25">
      <c r="B1522" s="37" t="s">
        <v>1734</v>
      </c>
      <c r="C1522" s="26">
        <v>5</v>
      </c>
      <c r="D1522" s="38" t="s">
        <v>2703</v>
      </c>
      <c r="E1522" s="59"/>
      <c r="F1522" s="59" t="str">
        <f>IF(INDEX(I.Gas.P3TotalGasEnergy,5)="","",INDEX(I.Gas.P3TotalGasEnergy,5))</f>
        <v/>
      </c>
      <c r="G1522" s="59"/>
      <c r="H1522" s="26" t="str">
        <f>IF(I.Developer.P3=FALSE,"Complete",IF(I.Product.P3GasToPower="No","Complete",IF(AND(I.Gas.P3Count&gt;=5,F1522=""),"Incomplete","Complete")))</f>
        <v>Complete</v>
      </c>
      <c r="I1522" s="39" t="s">
        <v>1739</v>
      </c>
    </row>
    <row r="1523" spans="2:9" ht="15" customHeight="1" x14ac:dyDescent="0.25">
      <c r="B1523" s="37" t="s">
        <v>1734</v>
      </c>
      <c r="C1523" s="26">
        <v>6</v>
      </c>
      <c r="D1523" s="38" t="s">
        <v>2703</v>
      </c>
      <c r="E1523" s="59"/>
      <c r="F1523" s="59" t="str">
        <f>IF(INDEX(I.Gas.P3TotalGasEnergy,6)="","",INDEX(I.Gas.P3TotalGasEnergy,6))</f>
        <v/>
      </c>
      <c r="G1523" s="59"/>
      <c r="H1523" s="26" t="str">
        <f>IF(I.Developer.P3=FALSE,"Complete",IF(I.Product.P3GasToPower="No","Complete",IF(AND(I.Gas.P3Count&gt;=6,F1523=""),"Incomplete","Complete")))</f>
        <v>Complete</v>
      </c>
      <c r="I1523" s="39" t="s">
        <v>1740</v>
      </c>
    </row>
    <row r="1524" spans="2:9" ht="15" customHeight="1" x14ac:dyDescent="0.25">
      <c r="B1524" s="37" t="s">
        <v>1734</v>
      </c>
      <c r="C1524" s="26">
        <v>7</v>
      </c>
      <c r="D1524" s="38" t="s">
        <v>2703</v>
      </c>
      <c r="E1524" s="59"/>
      <c r="F1524" s="59" t="str">
        <f>IF(INDEX(I.Gas.P3TotalGasEnergy,7)="","",INDEX(I.Gas.P3TotalGasEnergy,7))</f>
        <v/>
      </c>
      <c r="G1524" s="59"/>
      <c r="H1524" s="26" t="str">
        <f>IF(I.Developer.P3=FALSE,"Complete",IF(I.Product.P3GasToPower="No","Complete",IF(AND(I.Gas.P3Count&gt;=7,F1524=""),"Incomplete","Complete")))</f>
        <v>Complete</v>
      </c>
      <c r="I1524" s="39" t="s">
        <v>1741</v>
      </c>
    </row>
    <row r="1525" spans="2:9" ht="15" customHeight="1" x14ac:dyDescent="0.25">
      <c r="B1525" s="37" t="s">
        <v>1734</v>
      </c>
      <c r="C1525" s="26">
        <v>8</v>
      </c>
      <c r="D1525" s="38" t="s">
        <v>2703</v>
      </c>
      <c r="E1525" s="59"/>
      <c r="F1525" s="59" t="str">
        <f>IF(INDEX(I.Gas.P3TotalGasEnergy,8)="","",INDEX(I.Gas.P3TotalGasEnergy,8))</f>
        <v/>
      </c>
      <c r="G1525" s="59"/>
      <c r="H1525" s="26" t="str">
        <f>IF(I.Developer.P3=FALSE,"Complete",IF(I.Product.P3GasToPower="No","Complete",IF(AND(I.Gas.P3Count&gt;=8,F1525=""),"Incomplete","Complete")))</f>
        <v>Complete</v>
      </c>
      <c r="I1525" s="39" t="s">
        <v>1742</v>
      </c>
    </row>
    <row r="1526" spans="2:9" ht="15" customHeight="1" x14ac:dyDescent="0.25">
      <c r="B1526" s="37" t="s">
        <v>1734</v>
      </c>
      <c r="C1526" s="26">
        <v>9</v>
      </c>
      <c r="D1526" s="38" t="s">
        <v>2703</v>
      </c>
      <c r="E1526" s="59"/>
      <c r="F1526" s="59" t="str">
        <f>IF(INDEX(I.Gas.P3TotalGasEnergy,9)="","",INDEX(I.Gas.P3TotalGasEnergy,9))</f>
        <v/>
      </c>
      <c r="G1526" s="59"/>
      <c r="H1526" s="26" t="str">
        <f>IF(I.Developer.P3=FALSE,"Complete",IF(I.Product.P3GasToPower="No","Complete",IF(AND(I.Gas.P3Count&gt;=9,F1526=""),"Incomplete","Complete")))</f>
        <v>Complete</v>
      </c>
      <c r="I1526" s="39" t="s">
        <v>1743</v>
      </c>
    </row>
    <row r="1527" spans="2:9" ht="15" customHeight="1" x14ac:dyDescent="0.25">
      <c r="B1527" s="37" t="s">
        <v>1734</v>
      </c>
      <c r="C1527" s="26">
        <v>10</v>
      </c>
      <c r="D1527" s="38" t="s">
        <v>2703</v>
      </c>
      <c r="E1527" s="59"/>
      <c r="F1527" s="59" t="str">
        <f>IF(INDEX(I.Gas.P3TotalGasEnergy,10)="","",INDEX(I.Gas.P3TotalGasEnergy,10))</f>
        <v/>
      </c>
      <c r="G1527" s="59"/>
      <c r="H1527" s="26" t="str">
        <f>IF(I.Developer.P3=FALSE,"Complete",IF(I.Product.P3GasToPower="No","Complete",IF(AND(I.Gas.P3Count&gt;=10,F1527=""),"Incomplete","Complete")))</f>
        <v>Complete</v>
      </c>
      <c r="I1527" s="39" t="s">
        <v>1744</v>
      </c>
    </row>
    <row r="1528" spans="2:9" ht="15" customHeight="1" x14ac:dyDescent="0.25">
      <c r="B1528" s="37" t="s">
        <v>1734</v>
      </c>
      <c r="C1528" s="26">
        <v>11</v>
      </c>
      <c r="D1528" s="38" t="s">
        <v>2703</v>
      </c>
      <c r="E1528" s="59"/>
      <c r="F1528" s="59" t="str">
        <f>IF(INDEX(I.Gas.P3TotalGasEnergy,11)="","",INDEX(I.Gas.P3TotalGasEnergy,11))</f>
        <v/>
      </c>
      <c r="G1528" s="59"/>
      <c r="H1528" s="26" t="str">
        <f>IF(I.Developer.P3=FALSE,"Complete",IF(I.Product.P3GasToPower="No","Complete",IF(AND(I.Gas.P3Count&gt;=11,F1528=""),"Incomplete","Complete")))</f>
        <v>Complete</v>
      </c>
      <c r="I1528" s="39" t="s">
        <v>1745</v>
      </c>
    </row>
    <row r="1529" spans="2:9" ht="15" customHeight="1" x14ac:dyDescent="0.25">
      <c r="B1529" s="37" t="s">
        <v>1734</v>
      </c>
      <c r="C1529" s="26">
        <v>12</v>
      </c>
      <c r="D1529" s="38" t="s">
        <v>2703</v>
      </c>
      <c r="E1529" s="59"/>
      <c r="F1529" s="59" t="str">
        <f>IF(INDEX(I.Gas.P3TotalGasEnergy,12)="","",INDEX(I.Gas.P3TotalGasEnergy,12))</f>
        <v/>
      </c>
      <c r="G1529" s="59"/>
      <c r="H1529" s="26" t="str">
        <f>IF(I.Developer.P3=FALSE,"Complete",IF(I.Product.P3GasToPower="No","Complete",IF(AND(I.Gas.P3Count&gt;=12,F1529=""),"Incomplete","Complete")))</f>
        <v>Complete</v>
      </c>
      <c r="I1529" s="39" t="s">
        <v>1746</v>
      </c>
    </row>
    <row r="1530" spans="2:9" ht="15" customHeight="1" x14ac:dyDescent="0.25">
      <c r="B1530" s="37" t="s">
        <v>1734</v>
      </c>
      <c r="C1530" s="26">
        <v>13</v>
      </c>
      <c r="D1530" s="38" t="s">
        <v>2703</v>
      </c>
      <c r="E1530" s="59"/>
      <c r="F1530" s="59" t="str">
        <f>IF(INDEX(I.Gas.P3TotalGasEnergy,13)="","",INDEX(I.Gas.P3TotalGasEnergy,13))</f>
        <v/>
      </c>
      <c r="G1530" s="59"/>
      <c r="H1530" s="26" t="str">
        <f>IF(I.Developer.P3=FALSE,"Complete",IF(I.Product.P3GasToPower="No","Complete",IF(AND(I.Gas.P3Count&gt;=13,F1530=""),"Incomplete","Complete")))</f>
        <v>Complete</v>
      </c>
      <c r="I1530" s="39" t="s">
        <v>1747</v>
      </c>
    </row>
    <row r="1531" spans="2:9" ht="15" customHeight="1" x14ac:dyDescent="0.25">
      <c r="B1531" s="37" t="s">
        <v>1734</v>
      </c>
      <c r="C1531" s="26">
        <v>14</v>
      </c>
      <c r="D1531" s="38" t="s">
        <v>2703</v>
      </c>
      <c r="E1531" s="59"/>
      <c r="F1531" s="59" t="str">
        <f>IF(INDEX(I.Gas.P3TotalGasEnergy,14)="","",INDEX(I.Gas.P3TotalGasEnergy,14))</f>
        <v/>
      </c>
      <c r="G1531" s="59"/>
      <c r="H1531" s="26" t="str">
        <f>IF(I.Developer.P3=FALSE,"Complete",IF(I.Product.P3GasToPower="No","Complete",IF(AND(I.Gas.P3Count&gt;=14,F1531=""),"Incomplete","Complete")))</f>
        <v>Complete</v>
      </c>
      <c r="I1531" s="39" t="s">
        <v>1748</v>
      </c>
    </row>
    <row r="1532" spans="2:9" ht="15" customHeight="1" x14ac:dyDescent="0.25">
      <c r="B1532" s="37" t="s">
        <v>1734</v>
      </c>
      <c r="C1532" s="26">
        <v>15</v>
      </c>
      <c r="D1532" s="38" t="s">
        <v>2703</v>
      </c>
      <c r="E1532" s="59"/>
      <c r="F1532" s="59" t="str">
        <f>IF(INDEX(I.Gas.P3TotalGasEnergy,15)="","",INDEX(I.Gas.P3TotalGasEnergy,15))</f>
        <v/>
      </c>
      <c r="G1532" s="59"/>
      <c r="H1532" s="26" t="str">
        <f>IF(I.Developer.P3=FALSE,"Complete",IF(I.Product.P3GasToPower="No","Complete",IF(AND(I.Gas.P3Count&gt;=15,F1532=""),"Incomplete","Complete")))</f>
        <v>Complete</v>
      </c>
      <c r="I1532" s="39" t="s">
        <v>1749</v>
      </c>
    </row>
    <row r="1533" spans="2:9" ht="15" customHeight="1" x14ac:dyDescent="0.25">
      <c r="B1533" s="37" t="s">
        <v>1734</v>
      </c>
      <c r="C1533" s="26">
        <v>16</v>
      </c>
      <c r="D1533" s="38" t="s">
        <v>2703</v>
      </c>
      <c r="E1533" s="59"/>
      <c r="F1533" s="59" t="str">
        <f>IF(INDEX(I.Gas.P3TotalGasEnergy,16)="","",INDEX(I.Gas.P3TotalGasEnergy,16))</f>
        <v/>
      </c>
      <c r="G1533" s="59"/>
      <c r="H1533" s="26" t="str">
        <f>IF(I.Developer.P3=FALSE,"Complete",IF(I.Product.P3GasToPower="No","Complete",IF(AND(I.Gas.P3Count&gt;=16,F1533=""),"Incomplete","Complete")))</f>
        <v>Complete</v>
      </c>
      <c r="I1533" s="39" t="s">
        <v>1750</v>
      </c>
    </row>
    <row r="1534" spans="2:9" ht="15" customHeight="1" x14ac:dyDescent="0.25">
      <c r="B1534" s="37" t="s">
        <v>1734</v>
      </c>
      <c r="C1534" s="26">
        <v>17</v>
      </c>
      <c r="D1534" s="38" t="s">
        <v>2703</v>
      </c>
      <c r="E1534" s="59"/>
      <c r="F1534" s="59" t="str">
        <f>IF(INDEX(I.Gas.P3TotalGasEnergy,17)="","",INDEX(I.Gas.P3TotalGasEnergy,17))</f>
        <v/>
      </c>
      <c r="G1534" s="59"/>
      <c r="H1534" s="26" t="str">
        <f>IF(I.Developer.P3=FALSE,"Complete",IF(I.Product.P3GasToPower="No","Complete",IF(AND(I.Gas.P3Count&gt;=17,F1534=""),"Incomplete","Complete")))</f>
        <v>Complete</v>
      </c>
      <c r="I1534" s="39" t="s">
        <v>1751</v>
      </c>
    </row>
    <row r="1535" spans="2:9" ht="15" customHeight="1" x14ac:dyDescent="0.25">
      <c r="B1535" s="37" t="s">
        <v>1734</v>
      </c>
      <c r="C1535" s="26">
        <v>18</v>
      </c>
      <c r="D1535" s="38" t="s">
        <v>2703</v>
      </c>
      <c r="E1535" s="59"/>
      <c r="F1535" s="59" t="str">
        <f>IF(INDEX(I.Gas.P3TotalGasEnergy,18)="","",INDEX(I.Gas.P3TotalGasEnergy,18))</f>
        <v/>
      </c>
      <c r="G1535" s="59"/>
      <c r="H1535" s="26" t="str">
        <f>IF(I.Developer.P3=FALSE,"Complete",IF(I.Product.P3GasToPower="No","Complete",IF(AND(I.Gas.P3Count&gt;=18,F1535=""),"Incomplete","Complete")))</f>
        <v>Complete</v>
      </c>
      <c r="I1535" s="39" t="s">
        <v>1752</v>
      </c>
    </row>
    <row r="1536" spans="2:9" ht="15" customHeight="1" x14ac:dyDescent="0.25">
      <c r="B1536" s="37" t="s">
        <v>1734</v>
      </c>
      <c r="C1536" s="26">
        <v>19</v>
      </c>
      <c r="D1536" s="38" t="s">
        <v>2703</v>
      </c>
      <c r="E1536" s="59"/>
      <c r="F1536" s="59" t="str">
        <f>IF(INDEX(I.Gas.P3TotalGasEnergy,19)="","",INDEX(I.Gas.P3TotalGasEnergy,19))</f>
        <v/>
      </c>
      <c r="G1536" s="59"/>
      <c r="H1536" s="26" t="str">
        <f>IF(I.Developer.P3=FALSE,"Complete",IF(I.Product.P3GasToPower="No","Complete",IF(AND(I.Gas.P3Count&gt;=19,F1536=""),"Incomplete","Complete")))</f>
        <v>Complete</v>
      </c>
      <c r="I1536" s="39" t="s">
        <v>1753</v>
      </c>
    </row>
    <row r="1537" spans="2:9" ht="15" customHeight="1" x14ac:dyDescent="0.25">
      <c r="B1537" s="37" t="s">
        <v>1734</v>
      </c>
      <c r="C1537" s="26">
        <v>20</v>
      </c>
      <c r="D1537" s="38" t="s">
        <v>2703</v>
      </c>
      <c r="E1537" s="59"/>
      <c r="F1537" s="59" t="str">
        <f>IF(INDEX(I.Gas.P3TotalGasEnergy,20)="","",INDEX(I.Gas.P3TotalGasEnergy,20))</f>
        <v/>
      </c>
      <c r="G1537" s="59"/>
      <c r="H1537" s="26" t="str">
        <f>IF(I.Developer.P3=FALSE,"Complete",IF(I.Product.P3GasToPower="No","Complete",IF(AND(I.Gas.P3Count&gt;=20,F1537=""),"Incomplete","Complete")))</f>
        <v>Complete</v>
      </c>
      <c r="I1537" s="39" t="s">
        <v>1754</v>
      </c>
    </row>
    <row r="1538" spans="2:9" ht="15" customHeight="1" x14ac:dyDescent="0.25">
      <c r="B1538" s="37" t="s">
        <v>1734</v>
      </c>
      <c r="C1538" s="26">
        <v>21</v>
      </c>
      <c r="D1538" s="38" t="s">
        <v>2703</v>
      </c>
      <c r="E1538" s="59"/>
      <c r="F1538" s="59" t="str">
        <f>IF(INDEX(I.Gas.P3TotalGasEnergy,21)="","",INDEX(I.Gas.P3TotalGasEnergy,21))</f>
        <v/>
      </c>
      <c r="G1538" s="59"/>
      <c r="H1538" s="26" t="str">
        <f>IF(I.Developer.P3=FALSE,"Complete",IF(I.Product.P3GasToPower="No","Complete",IF(AND(I.Gas.P3Count&gt;=21,F1538=""),"Incomplete","Complete")))</f>
        <v>Complete</v>
      </c>
      <c r="I1538" s="39" t="s">
        <v>1755</v>
      </c>
    </row>
    <row r="1539" spans="2:9" ht="15" customHeight="1" x14ac:dyDescent="0.25">
      <c r="B1539" s="37" t="s">
        <v>1734</v>
      </c>
      <c r="C1539" s="26">
        <v>22</v>
      </c>
      <c r="D1539" s="38" t="s">
        <v>2703</v>
      </c>
      <c r="E1539" s="59"/>
      <c r="F1539" s="59" t="str">
        <f>IF(INDEX(I.Gas.P3TotalGasEnergy,22)="","",INDEX(I.Gas.P3TotalGasEnergy,22))</f>
        <v/>
      </c>
      <c r="G1539" s="59"/>
      <c r="H1539" s="26" t="str">
        <f>IF(I.Developer.P3=FALSE,"Complete",IF(I.Product.P3GasToPower="No","Complete",IF(AND(I.Gas.P3Count&gt;=22,F1539=""),"Incomplete","Complete")))</f>
        <v>Complete</v>
      </c>
      <c r="I1539" s="39" t="s">
        <v>1756</v>
      </c>
    </row>
    <row r="1540" spans="2:9" ht="15" customHeight="1" x14ac:dyDescent="0.25">
      <c r="B1540" s="37" t="s">
        <v>1734</v>
      </c>
      <c r="C1540" s="26">
        <v>23</v>
      </c>
      <c r="D1540" s="38" t="s">
        <v>2703</v>
      </c>
      <c r="E1540" s="59"/>
      <c r="F1540" s="59" t="str">
        <f>IF(INDEX(I.Gas.P3TotalGasEnergy,23)="","",INDEX(I.Gas.P3TotalGasEnergy,23))</f>
        <v/>
      </c>
      <c r="G1540" s="59"/>
      <c r="H1540" s="26" t="str">
        <f>IF(I.Developer.P3=FALSE,"Complete",IF(I.Product.P3GasToPower="No","Complete",IF(AND(I.Gas.P3Count&gt;=23,F1540=""),"Incomplete","Complete")))</f>
        <v>Complete</v>
      </c>
      <c r="I1540" s="39" t="s">
        <v>1757</v>
      </c>
    </row>
    <row r="1541" spans="2:9" ht="15" customHeight="1" x14ac:dyDescent="0.25">
      <c r="B1541" s="37" t="s">
        <v>1734</v>
      </c>
      <c r="C1541" s="26">
        <v>24</v>
      </c>
      <c r="D1541" s="38" t="s">
        <v>2703</v>
      </c>
      <c r="E1541" s="59"/>
      <c r="F1541" s="59" t="str">
        <f>IF(INDEX(I.Gas.P3TotalGasEnergy,24)="","",INDEX(I.Gas.P3TotalGasEnergy,24))</f>
        <v/>
      </c>
      <c r="G1541" s="59"/>
      <c r="H1541" s="26" t="str">
        <f>IF(I.Developer.P3=FALSE,"Complete",IF(I.Product.P3GasToPower="No","Complete",IF(AND(I.Gas.P3Count&gt;=24,F1541=""),"Incomplete","Complete")))</f>
        <v>Complete</v>
      </c>
      <c r="I1541" s="39" t="s">
        <v>1758</v>
      </c>
    </row>
    <row r="1542" spans="2:9" ht="15" customHeight="1" x14ac:dyDescent="0.25">
      <c r="B1542" s="37" t="s">
        <v>1734</v>
      </c>
      <c r="C1542" s="26">
        <v>25</v>
      </c>
      <c r="D1542" s="38" t="s">
        <v>2703</v>
      </c>
      <c r="E1542" s="59"/>
      <c r="F1542" s="59" t="str">
        <f>IF(INDEX(I.Gas.P3TotalGasEnergy,25)="","",INDEX(I.Gas.P3TotalGasEnergy,25))</f>
        <v/>
      </c>
      <c r="G1542" s="59"/>
      <c r="H1542" s="26" t="str">
        <f>IF(I.Developer.P3=FALSE,"Complete",IF(I.Product.P3GasToPower="No","Complete",IF(AND(I.Gas.P3Count&gt;=25,F1542=""),"Incomplete","Complete")))</f>
        <v>Complete</v>
      </c>
      <c r="I1542" s="39" t="s">
        <v>1759</v>
      </c>
    </row>
    <row r="1543" spans="2:9" ht="15" customHeight="1" x14ac:dyDescent="0.25">
      <c r="B1543" s="37" t="s">
        <v>1734</v>
      </c>
      <c r="C1543" s="26">
        <v>26</v>
      </c>
      <c r="D1543" s="38" t="s">
        <v>2703</v>
      </c>
      <c r="E1543" s="59"/>
      <c r="F1543" s="59" t="str">
        <f>IF(INDEX(I.Gas.P3TotalGasEnergy,26)="","",INDEX(I.Gas.P3TotalGasEnergy,26))</f>
        <v/>
      </c>
      <c r="G1543" s="59"/>
      <c r="H1543" s="26" t="str">
        <f>IF(I.Developer.P3=FALSE,"Complete",IF(I.Product.P3GasToPower="No","Complete",IF(AND(I.Gas.P3Count&gt;=26,F1543=""),"Incomplete","Complete")))</f>
        <v>Complete</v>
      </c>
      <c r="I1543" s="39" t="s">
        <v>1760</v>
      </c>
    </row>
    <row r="1544" spans="2:9" ht="15" customHeight="1" x14ac:dyDescent="0.25">
      <c r="B1544" s="37" t="s">
        <v>1734</v>
      </c>
      <c r="C1544" s="26">
        <v>27</v>
      </c>
      <c r="D1544" s="38" t="s">
        <v>2703</v>
      </c>
      <c r="E1544" s="59"/>
      <c r="F1544" s="59" t="str">
        <f>IF(INDEX(I.Gas.P3TotalGasEnergy,27)="","",INDEX(I.Gas.P3TotalGasEnergy,27))</f>
        <v/>
      </c>
      <c r="G1544" s="59"/>
      <c r="H1544" s="26" t="str">
        <f>IF(I.Developer.P3=FALSE,"Complete",IF(I.Product.P3GasToPower="No","Complete",IF(AND(I.Gas.P3Count&gt;=27,F1544=""),"Incomplete","Complete")))</f>
        <v>Complete</v>
      </c>
      <c r="I1544" s="39" t="s">
        <v>1761</v>
      </c>
    </row>
    <row r="1545" spans="2:9" ht="15" customHeight="1" x14ac:dyDescent="0.25">
      <c r="B1545" s="37" t="s">
        <v>1734</v>
      </c>
      <c r="C1545" s="26">
        <v>28</v>
      </c>
      <c r="D1545" s="38" t="s">
        <v>2703</v>
      </c>
      <c r="E1545" s="59"/>
      <c r="F1545" s="59" t="str">
        <f>IF(INDEX(I.Gas.P3TotalGasEnergy,28)="","",INDEX(I.Gas.P3TotalGasEnergy,28))</f>
        <v/>
      </c>
      <c r="G1545" s="59"/>
      <c r="H1545" s="26" t="str">
        <f>IF(I.Developer.P3=FALSE,"Complete",IF(I.Product.P3GasToPower="No","Complete",IF(AND(I.Gas.P3Count&gt;=28,F1545=""),"Incomplete","Complete")))</f>
        <v>Complete</v>
      </c>
      <c r="I1545" s="39" t="s">
        <v>1762</v>
      </c>
    </row>
    <row r="1546" spans="2:9" ht="15" customHeight="1" x14ac:dyDescent="0.25">
      <c r="B1546" s="37" t="s">
        <v>1734</v>
      </c>
      <c r="C1546" s="26">
        <v>29</v>
      </c>
      <c r="D1546" s="38" t="s">
        <v>2703</v>
      </c>
      <c r="E1546" s="59"/>
      <c r="F1546" s="59" t="str">
        <f>IF(INDEX(I.Gas.P3TotalGasEnergy,29)="","",INDEX(I.Gas.P3TotalGasEnergy,29))</f>
        <v/>
      </c>
      <c r="G1546" s="59"/>
      <c r="H1546" s="26" t="str">
        <f>IF(I.Developer.P3=FALSE,"Complete",IF(I.Product.P3GasToPower="No","Complete",IF(AND(I.Gas.P3Count&gt;=29,F1546=""),"Incomplete","Complete")))</f>
        <v>Complete</v>
      </c>
      <c r="I1546" s="39" t="s">
        <v>1763</v>
      </c>
    </row>
    <row r="1547" spans="2:9" ht="15" customHeight="1" x14ac:dyDescent="0.25">
      <c r="B1547" s="37" t="s">
        <v>1734</v>
      </c>
      <c r="C1547" s="26">
        <v>30</v>
      </c>
      <c r="D1547" s="38" t="s">
        <v>2703</v>
      </c>
      <c r="E1547" s="59"/>
      <c r="F1547" s="59" t="str">
        <f>IF(INDEX(I.Gas.P3TotalGasEnergy,30)="","",INDEX(I.Gas.P3TotalGasEnergy,30))</f>
        <v/>
      </c>
      <c r="G1547" s="59"/>
      <c r="H1547" s="26" t="str">
        <f>IF(I.Developer.P3=FALSE,"Complete",IF(I.Product.P3GasToPower="No","Complete",IF(AND(I.Gas.P3Count&gt;=30,F1547=""),"Incomplete","Complete")))</f>
        <v>Complete</v>
      </c>
      <c r="I1547" s="39" t="s">
        <v>1764</v>
      </c>
    </row>
    <row r="1548" spans="2:9" ht="15" customHeight="1" x14ac:dyDescent="0.25">
      <c r="B1548" s="37" t="s">
        <v>1734</v>
      </c>
      <c r="C1548" s="26">
        <v>31</v>
      </c>
      <c r="D1548" s="38" t="s">
        <v>2703</v>
      </c>
      <c r="E1548" s="59"/>
      <c r="F1548" s="59" t="str">
        <f>IF(INDEX(I.Gas.P3TotalGasEnergy,31)="","",INDEX(I.Gas.P3TotalGasEnergy,31))</f>
        <v/>
      </c>
      <c r="G1548" s="59"/>
      <c r="H1548" s="26" t="str">
        <f>IF(I.Developer.P3=FALSE,"Complete",IF(I.Product.P3GasToPower="No","Complete",IF(AND(I.Gas.P3Count&gt;=31,F1548=""),"Incomplete","Complete")))</f>
        <v>Complete</v>
      </c>
      <c r="I1548" s="39" t="s">
        <v>1765</v>
      </c>
    </row>
    <row r="1549" spans="2:9" ht="15" customHeight="1" x14ac:dyDescent="0.25">
      <c r="B1549" s="37" t="s">
        <v>1734</v>
      </c>
      <c r="C1549" s="26">
        <v>32</v>
      </c>
      <c r="D1549" s="38" t="s">
        <v>2703</v>
      </c>
      <c r="E1549" s="59"/>
      <c r="F1549" s="59" t="str">
        <f>IF(INDEX(I.Gas.P3TotalGasEnergy,32)="","",INDEX(I.Gas.P3TotalGasEnergy,32))</f>
        <v/>
      </c>
      <c r="G1549" s="59"/>
      <c r="H1549" s="26" t="str">
        <f>IF(I.Developer.P3=FALSE,"Complete",IF(I.Product.P3GasToPower="No","Complete",IF(AND(I.Gas.P3Count&gt;=32,F1549=""),"Incomplete","Complete")))</f>
        <v>Complete</v>
      </c>
      <c r="I1549" s="39" t="s">
        <v>1766</v>
      </c>
    </row>
    <row r="1550" spans="2:9" ht="15" customHeight="1" x14ac:dyDescent="0.25">
      <c r="B1550" s="37" t="s">
        <v>1734</v>
      </c>
      <c r="C1550" s="26">
        <v>33</v>
      </c>
      <c r="D1550" s="38" t="s">
        <v>2703</v>
      </c>
      <c r="E1550" s="59"/>
      <c r="F1550" s="59" t="str">
        <f>IF(INDEX(I.Gas.P3TotalGasEnergy,33)="","",INDEX(I.Gas.P3TotalGasEnergy,33))</f>
        <v/>
      </c>
      <c r="G1550" s="59"/>
      <c r="H1550" s="26" t="str">
        <f>IF(I.Developer.P3=FALSE,"Complete",IF(I.Product.P3GasToPower="No","Complete",IF(AND(I.Gas.P3Count&gt;=33,F1550=""),"Incomplete","Complete")))</f>
        <v>Complete</v>
      </c>
      <c r="I1550" s="39" t="s">
        <v>1767</v>
      </c>
    </row>
    <row r="1551" spans="2:9" ht="15" customHeight="1" x14ac:dyDescent="0.25">
      <c r="B1551" s="37" t="s">
        <v>1734</v>
      </c>
      <c r="C1551" s="26">
        <v>34</v>
      </c>
      <c r="D1551" s="38" t="s">
        <v>2703</v>
      </c>
      <c r="E1551" s="59"/>
      <c r="F1551" s="59" t="str">
        <f>IF(INDEX(I.Gas.P3TotalGasEnergy,34)="","",INDEX(I.Gas.P3TotalGasEnergy,34))</f>
        <v/>
      </c>
      <c r="G1551" s="59"/>
      <c r="H1551" s="26" t="str">
        <f>IF(I.Developer.P3=FALSE,"Complete",IF(I.Product.P3GasToPower="No","Complete",IF(AND(I.Gas.P3Count&gt;=34,F1551=""),"Incomplete","Complete")))</f>
        <v>Complete</v>
      </c>
      <c r="I1551" s="39" t="s">
        <v>1768</v>
      </c>
    </row>
    <row r="1552" spans="2:9" ht="15" customHeight="1" x14ac:dyDescent="0.25">
      <c r="B1552" s="37" t="s">
        <v>1734</v>
      </c>
      <c r="C1552" s="26">
        <v>35</v>
      </c>
      <c r="D1552" s="38" t="s">
        <v>2703</v>
      </c>
      <c r="E1552" s="59"/>
      <c r="F1552" s="59" t="str">
        <f>IF(INDEX(I.Gas.P3TotalGasEnergy,35)="","",INDEX(I.Gas.P3TotalGasEnergy,35))</f>
        <v/>
      </c>
      <c r="G1552" s="59"/>
      <c r="H1552" s="26" t="str">
        <f>IF(I.Developer.P3=FALSE,"Complete",IF(I.Product.P3GasToPower="No","Complete",IF(AND(I.Gas.P3Count&gt;=35,F1552=""),"Incomplete","Complete")))</f>
        <v>Complete</v>
      </c>
      <c r="I1552" s="39" t="s">
        <v>1769</v>
      </c>
    </row>
    <row r="1553" spans="2:9" ht="15" customHeight="1" x14ac:dyDescent="0.25">
      <c r="B1553" s="37" t="s">
        <v>1734</v>
      </c>
      <c r="C1553" s="26">
        <v>36</v>
      </c>
      <c r="D1553" s="38" t="s">
        <v>2703</v>
      </c>
      <c r="E1553" s="59"/>
      <c r="F1553" s="59" t="str">
        <f>IF(INDEX(I.Gas.P3TotalGasEnergy,36)="","",INDEX(I.Gas.P3TotalGasEnergy,36))</f>
        <v/>
      </c>
      <c r="G1553" s="59"/>
      <c r="H1553" s="26" t="str">
        <f>IF(I.Developer.P3=FALSE,"Complete",IF(I.Product.P3GasToPower="No","Complete",IF(AND(I.Gas.P3Count&gt;=36,F1553=""),"Incomplete","Complete")))</f>
        <v>Complete</v>
      </c>
      <c r="I1553" s="39" t="s">
        <v>1770</v>
      </c>
    </row>
    <row r="1554" spans="2:9" ht="15" customHeight="1" x14ac:dyDescent="0.25">
      <c r="B1554" s="37" t="s">
        <v>1734</v>
      </c>
      <c r="C1554" s="26">
        <v>37</v>
      </c>
      <c r="D1554" s="38" t="s">
        <v>2703</v>
      </c>
      <c r="E1554" s="59"/>
      <c r="F1554" s="59" t="str">
        <f>IF(INDEX(I.Gas.P3TotalGasEnergy,37)="","",INDEX(I.Gas.P3TotalGasEnergy,37))</f>
        <v/>
      </c>
      <c r="G1554" s="59"/>
      <c r="H1554" s="26" t="str">
        <f>IF(I.Developer.P3=FALSE,"Complete",IF(I.Product.P3GasToPower="No","Complete",IF(AND(I.Gas.P3Count&gt;=37,F1554=""),"Incomplete","Complete")))</f>
        <v>Complete</v>
      </c>
      <c r="I1554" s="39" t="s">
        <v>1771</v>
      </c>
    </row>
    <row r="1555" spans="2:9" ht="15" customHeight="1" x14ac:dyDescent="0.25">
      <c r="B1555" s="37" t="s">
        <v>1734</v>
      </c>
      <c r="C1555" s="26">
        <v>38</v>
      </c>
      <c r="D1555" s="38" t="s">
        <v>2703</v>
      </c>
      <c r="E1555" s="59"/>
      <c r="F1555" s="59" t="str">
        <f>IF(INDEX(I.Gas.P3TotalGasEnergy,38)="","",INDEX(I.Gas.P3TotalGasEnergy,38))</f>
        <v/>
      </c>
      <c r="G1555" s="59"/>
      <c r="H1555" s="26" t="str">
        <f>IF(I.Developer.P3=FALSE,"Complete",IF(I.Product.P3GasToPower="No","Complete",IF(AND(I.Gas.P3Count&gt;=38,F1555=""),"Incomplete","Complete")))</f>
        <v>Complete</v>
      </c>
      <c r="I1555" s="39" t="s">
        <v>1772</v>
      </c>
    </row>
    <row r="1556" spans="2:9" ht="15" customHeight="1" x14ac:dyDescent="0.25">
      <c r="B1556" s="37" t="s">
        <v>1734</v>
      </c>
      <c r="C1556" s="26">
        <v>39</v>
      </c>
      <c r="D1556" s="38" t="s">
        <v>2703</v>
      </c>
      <c r="E1556" s="59"/>
      <c r="F1556" s="59" t="str">
        <f>IF(INDEX(I.Gas.P3TotalGasEnergy,39)="","",INDEX(I.Gas.P3TotalGasEnergy,39))</f>
        <v/>
      </c>
      <c r="G1556" s="59"/>
      <c r="H1556" s="26" t="str">
        <f>IF(I.Developer.P3=FALSE,"Complete",IF(I.Product.P3GasToPower="No","Complete",IF(AND(I.Gas.P3Count&gt;=39,F1556=""),"Incomplete","Complete")))</f>
        <v>Complete</v>
      </c>
      <c r="I1556" s="39" t="s">
        <v>1773</v>
      </c>
    </row>
    <row r="1557" spans="2:9" ht="15" customHeight="1" x14ac:dyDescent="0.25">
      <c r="B1557" s="37" t="s">
        <v>1734</v>
      </c>
      <c r="C1557" s="26">
        <v>40</v>
      </c>
      <c r="D1557" s="38" t="s">
        <v>2703</v>
      </c>
      <c r="E1557" s="59"/>
      <c r="F1557" s="59" t="str">
        <f>IF(INDEX(I.Gas.P3TotalGasEnergy,40)="","",INDEX(I.Gas.P3TotalGasEnergy,40))</f>
        <v/>
      </c>
      <c r="G1557" s="59"/>
      <c r="H1557" s="26" t="str">
        <f>IF(I.Developer.P3=FALSE,"Complete",IF(I.Product.P3GasToPower="No","Complete",IF(AND(I.Gas.P3Count&gt;=40,F1557=""),"Incomplete","Complete")))</f>
        <v>Complete</v>
      </c>
      <c r="I1557" s="39" t="s">
        <v>1774</v>
      </c>
    </row>
    <row r="1558" spans="2:9" ht="15" customHeight="1" x14ac:dyDescent="0.25">
      <c r="B1558" s="37" t="s">
        <v>1734</v>
      </c>
      <c r="C1558" s="26">
        <v>41</v>
      </c>
      <c r="D1558" s="38" t="s">
        <v>2703</v>
      </c>
      <c r="E1558" s="59"/>
      <c r="F1558" s="59" t="str">
        <f>IF(INDEX(I.Gas.P3TotalGasEnergy,41)="","",INDEX(I.Gas.P3TotalGasEnergy,41))</f>
        <v/>
      </c>
      <c r="G1558" s="59"/>
      <c r="H1558" s="26" t="str">
        <f>IF(I.Developer.P3=FALSE,"Complete",IF(I.Product.P3GasToPower="No","Complete",IF(AND(I.Gas.P3Count&gt;=41,F1558=""),"Incomplete","Complete")))</f>
        <v>Complete</v>
      </c>
      <c r="I1558" s="39" t="s">
        <v>1775</v>
      </c>
    </row>
    <row r="1559" spans="2:9" ht="15" customHeight="1" x14ac:dyDescent="0.25">
      <c r="B1559" s="37" t="s">
        <v>1734</v>
      </c>
      <c r="C1559" s="26">
        <v>42</v>
      </c>
      <c r="D1559" s="38" t="s">
        <v>2703</v>
      </c>
      <c r="E1559" s="59"/>
      <c r="F1559" s="59" t="str">
        <f>IF(INDEX(I.Gas.P3TotalGasEnergy,42)="","",INDEX(I.Gas.P3TotalGasEnergy,42))</f>
        <v/>
      </c>
      <c r="G1559" s="59"/>
      <c r="H1559" s="26" t="str">
        <f>IF(I.Developer.P3=FALSE,"Complete",IF(I.Product.P3GasToPower="No","Complete",IF(AND(I.Gas.P3Count&gt;=42,F1559=""),"Incomplete","Complete")))</f>
        <v>Complete</v>
      </c>
      <c r="I1559" s="39" t="s">
        <v>1776</v>
      </c>
    </row>
    <row r="1560" spans="2:9" ht="15" customHeight="1" x14ac:dyDescent="0.25">
      <c r="B1560" s="37" t="s">
        <v>1734</v>
      </c>
      <c r="C1560" s="26">
        <v>43</v>
      </c>
      <c r="D1560" s="38" t="s">
        <v>2703</v>
      </c>
      <c r="E1560" s="59"/>
      <c r="F1560" s="59" t="str">
        <f>IF(INDEX(I.Gas.P3TotalGasEnergy,43)="","",INDEX(I.Gas.P3TotalGasEnergy,43))</f>
        <v/>
      </c>
      <c r="G1560" s="59"/>
      <c r="H1560" s="26" t="str">
        <f>IF(I.Developer.P3=FALSE,"Complete",IF(I.Product.P3GasToPower="No","Complete",IF(AND(I.Gas.P3Count&gt;=43,F1560=""),"Incomplete","Complete")))</f>
        <v>Complete</v>
      </c>
      <c r="I1560" s="39" t="s">
        <v>1777</v>
      </c>
    </row>
    <row r="1561" spans="2:9" ht="15" customHeight="1" x14ac:dyDescent="0.25">
      <c r="B1561" s="37" t="s">
        <v>1734</v>
      </c>
      <c r="C1561" s="26">
        <v>44</v>
      </c>
      <c r="D1561" s="38" t="s">
        <v>2703</v>
      </c>
      <c r="E1561" s="59"/>
      <c r="F1561" s="59" t="str">
        <f>IF(INDEX(I.Gas.P3TotalGasEnergy,44)="","",INDEX(I.Gas.P3TotalGasEnergy,44))</f>
        <v/>
      </c>
      <c r="G1561" s="59"/>
      <c r="H1561" s="26" t="str">
        <f>IF(I.Developer.P3=FALSE,"Complete",IF(I.Product.P3GasToPower="No","Complete",IF(AND(I.Gas.P3Count&gt;=44,F1561=""),"Incomplete","Complete")))</f>
        <v>Complete</v>
      </c>
      <c r="I1561" s="39" t="s">
        <v>1778</v>
      </c>
    </row>
    <row r="1562" spans="2:9" ht="15" customHeight="1" x14ac:dyDescent="0.25">
      <c r="B1562" s="37" t="s">
        <v>1734</v>
      </c>
      <c r="C1562" s="26">
        <v>45</v>
      </c>
      <c r="D1562" s="38" t="s">
        <v>2703</v>
      </c>
      <c r="E1562" s="59"/>
      <c r="F1562" s="59" t="str">
        <f>IF(INDEX(I.Gas.P3TotalGasEnergy,45)="","",INDEX(I.Gas.P3TotalGasEnergy,45))</f>
        <v/>
      </c>
      <c r="G1562" s="59"/>
      <c r="H1562" s="26" t="str">
        <f>IF(I.Developer.P3=FALSE,"Complete",IF(I.Product.P3GasToPower="No","Complete",IF(AND(I.Gas.P3Count&gt;=45,F1562=""),"Incomplete","Complete")))</f>
        <v>Complete</v>
      </c>
      <c r="I1562" s="39" t="s">
        <v>1779</v>
      </c>
    </row>
    <row r="1563" spans="2:9" ht="15" customHeight="1" x14ac:dyDescent="0.25">
      <c r="B1563" s="37" t="s">
        <v>1734</v>
      </c>
      <c r="C1563" s="26">
        <v>46</v>
      </c>
      <c r="D1563" s="38" t="s">
        <v>2703</v>
      </c>
      <c r="E1563" s="59"/>
      <c r="F1563" s="59" t="str">
        <f>IF(INDEX(I.Gas.P3TotalGasEnergy,46)="","",INDEX(I.Gas.P3TotalGasEnergy,46))</f>
        <v/>
      </c>
      <c r="G1563" s="59"/>
      <c r="H1563" s="26" t="str">
        <f>IF(I.Developer.P3=FALSE,"Complete",IF(I.Product.P3GasToPower="No","Complete",IF(AND(I.Gas.P3Count&gt;=46,F1563=""),"Incomplete","Complete")))</f>
        <v>Complete</v>
      </c>
      <c r="I1563" s="39" t="s">
        <v>1780</v>
      </c>
    </row>
    <row r="1564" spans="2:9" ht="15" customHeight="1" x14ac:dyDescent="0.25">
      <c r="B1564" s="37" t="s">
        <v>1734</v>
      </c>
      <c r="C1564" s="26">
        <v>47</v>
      </c>
      <c r="D1564" s="38" t="s">
        <v>2703</v>
      </c>
      <c r="E1564" s="59"/>
      <c r="F1564" s="59" t="str">
        <f>IF(INDEX(I.Gas.P3TotalGasEnergy,47)="","",INDEX(I.Gas.P3TotalGasEnergy,47))</f>
        <v/>
      </c>
      <c r="G1564" s="59"/>
      <c r="H1564" s="26" t="str">
        <f>IF(I.Developer.P3=FALSE,"Complete",IF(I.Product.P3GasToPower="No","Complete",IF(AND(I.Gas.P3Count&gt;=47,F1564=""),"Incomplete","Complete")))</f>
        <v>Complete</v>
      </c>
      <c r="I1564" s="39" t="s">
        <v>1781</v>
      </c>
    </row>
    <row r="1565" spans="2:9" ht="15" customHeight="1" x14ac:dyDescent="0.25">
      <c r="B1565" s="37" t="s">
        <v>1734</v>
      </c>
      <c r="C1565" s="26">
        <v>48</v>
      </c>
      <c r="D1565" s="38" t="s">
        <v>2703</v>
      </c>
      <c r="E1565" s="59"/>
      <c r="F1565" s="59" t="str">
        <f>IF(INDEX(I.Gas.P3TotalGasEnergy,48)="","",INDEX(I.Gas.P3TotalGasEnergy,48))</f>
        <v/>
      </c>
      <c r="G1565" s="59"/>
      <c r="H1565" s="26" t="str">
        <f>IF(I.Developer.P3=FALSE,"Complete",IF(I.Product.P3GasToPower="No","Complete",IF(AND(I.Gas.P3Count&gt;=48,F1565=""),"Incomplete","Complete")))</f>
        <v>Complete</v>
      </c>
      <c r="I1565" s="39" t="s">
        <v>1782</v>
      </c>
    </row>
    <row r="1566" spans="2:9" ht="15" customHeight="1" x14ac:dyDescent="0.25">
      <c r="B1566" s="37" t="s">
        <v>1734</v>
      </c>
      <c r="C1566" s="26">
        <v>49</v>
      </c>
      <c r="D1566" s="38" t="s">
        <v>2703</v>
      </c>
      <c r="E1566" s="59"/>
      <c r="F1566" s="59" t="str">
        <f>IF(INDEX(I.Gas.P3TotalGasEnergy,49)="","",INDEX(I.Gas.P3TotalGasEnergy,49))</f>
        <v/>
      </c>
      <c r="G1566" s="59"/>
      <c r="H1566" s="26" t="str">
        <f>IF(I.Developer.P3=FALSE,"Complete",IF(I.Product.P3GasToPower="No","Complete",IF(AND(I.Gas.P3Count&gt;=49,F1566=""),"Incomplete","Complete")))</f>
        <v>Complete</v>
      </c>
      <c r="I1566" s="39" t="s">
        <v>1783</v>
      </c>
    </row>
    <row r="1567" spans="2:9" ht="15" customHeight="1" x14ac:dyDescent="0.25">
      <c r="B1567" s="40" t="s">
        <v>1734</v>
      </c>
      <c r="C1567" s="46">
        <v>50</v>
      </c>
      <c r="D1567" s="44" t="s">
        <v>2703</v>
      </c>
      <c r="E1567" s="63"/>
      <c r="F1567" s="63" t="str">
        <f>IF(INDEX(I.Gas.P3TotalGasEnergy,50)="","",INDEX(I.Gas.P3TotalGasEnergy,50))</f>
        <v/>
      </c>
      <c r="G1567" s="63"/>
      <c r="H1567" s="46" t="str">
        <f>IF(I.Developer.P3=FALSE,"Complete",IF(I.Product.P3GasToPower="No","Complete",IF(AND(I.Gas.P3Count&gt;=50,F1567=""),"Incomplete","Complete")))</f>
        <v>Complete</v>
      </c>
      <c r="I1567" s="47" t="s">
        <v>1784</v>
      </c>
    </row>
    <row r="1568" spans="2:9" ht="15" customHeight="1" x14ac:dyDescent="0.25">
      <c r="B1568" s="37" t="s">
        <v>1785</v>
      </c>
      <c r="C1568" s="26">
        <v>1</v>
      </c>
      <c r="D1568" s="38" t="s">
        <v>2704</v>
      </c>
      <c r="E1568" s="59"/>
      <c r="F1568" s="59" t="str">
        <f>IF(INDEX(I.Gas.P3ElectricityGeneration,1)="","",INDEX(I.Gas.P3ElectricityGeneration,1))</f>
        <v/>
      </c>
      <c r="G1568" s="59"/>
      <c r="H1568" s="26" t="str">
        <f>IF(I.Developer.P3=FALSE,"Complete",IF(I.Product.P3GasToPower="No","Complete",IF(AND(I.Gas.P3Count&gt;=1,F1568=""),"Incomplete","Complete")))</f>
        <v>Complete</v>
      </c>
      <c r="I1568" s="39" t="s">
        <v>1786</v>
      </c>
    </row>
    <row r="1569" spans="2:9" ht="15" customHeight="1" x14ac:dyDescent="0.25">
      <c r="B1569" s="37" t="s">
        <v>1785</v>
      </c>
      <c r="C1569" s="26">
        <v>2</v>
      </c>
      <c r="D1569" s="38" t="s">
        <v>2704</v>
      </c>
      <c r="E1569" s="59"/>
      <c r="F1569" s="59" t="str">
        <f>IF(INDEX(I.Gas.P3ElectricityGeneration,2)="","",INDEX(I.Gas.P3ElectricityGeneration,2))</f>
        <v/>
      </c>
      <c r="G1569" s="59"/>
      <c r="H1569" s="26" t="str">
        <f>IF(I.Developer.P3=FALSE,"Complete",IF(I.Product.P3GasToPower="No","Complete",IF(AND(I.Gas.P3Count&gt;=2,F1569=""),"Incomplete","Complete")))</f>
        <v>Complete</v>
      </c>
      <c r="I1569" s="39" t="s">
        <v>1787</v>
      </c>
    </row>
    <row r="1570" spans="2:9" ht="15" customHeight="1" x14ac:dyDescent="0.25">
      <c r="B1570" s="37" t="s">
        <v>1785</v>
      </c>
      <c r="C1570" s="26">
        <v>3</v>
      </c>
      <c r="D1570" s="38" t="s">
        <v>2704</v>
      </c>
      <c r="E1570" s="59"/>
      <c r="F1570" s="59" t="str">
        <f>IF(INDEX(I.Gas.P3ElectricityGeneration,3)="","",INDEX(I.Gas.P3ElectricityGeneration,3))</f>
        <v/>
      </c>
      <c r="G1570" s="59"/>
      <c r="H1570" s="26" t="str">
        <f>IF(I.Developer.P3=FALSE,"Complete",IF(I.Product.P3GasToPower="No","Complete",IF(AND(I.Gas.P3Count&gt;=3,F1570=""),"Incomplete","Complete")))</f>
        <v>Complete</v>
      </c>
      <c r="I1570" s="39" t="s">
        <v>1788</v>
      </c>
    </row>
    <row r="1571" spans="2:9" ht="15" customHeight="1" x14ac:dyDescent="0.25">
      <c r="B1571" s="37" t="s">
        <v>1785</v>
      </c>
      <c r="C1571" s="26">
        <v>4</v>
      </c>
      <c r="D1571" s="38" t="s">
        <v>2704</v>
      </c>
      <c r="E1571" s="59"/>
      <c r="F1571" s="59" t="str">
        <f>IF(INDEX(I.Gas.P3ElectricityGeneration,4)="","",INDEX(I.Gas.P3ElectricityGeneration,4))</f>
        <v/>
      </c>
      <c r="G1571" s="59"/>
      <c r="H1571" s="26" t="str">
        <f>IF(I.Developer.P3=FALSE,"Complete",IF(I.Product.P3GasToPower="No","Complete",IF(AND(I.Gas.P3Count&gt;=4,F1571=""),"Incomplete","Complete")))</f>
        <v>Complete</v>
      </c>
      <c r="I1571" s="39" t="s">
        <v>1789</v>
      </c>
    </row>
    <row r="1572" spans="2:9" ht="15" customHeight="1" x14ac:dyDescent="0.25">
      <c r="B1572" s="37" t="s">
        <v>1785</v>
      </c>
      <c r="C1572" s="26">
        <v>5</v>
      </c>
      <c r="D1572" s="38" t="s">
        <v>2704</v>
      </c>
      <c r="E1572" s="59"/>
      <c r="F1572" s="59" t="str">
        <f>IF(INDEX(I.Gas.P3ElectricityGeneration,5)="","",INDEX(I.Gas.P3ElectricityGeneration,5))</f>
        <v/>
      </c>
      <c r="G1572" s="59"/>
      <c r="H1572" s="26" t="str">
        <f>IF(I.Developer.P3=FALSE,"Complete",IF(I.Product.P3GasToPower="No","Complete",IF(AND(I.Gas.P3Count&gt;=5,F1572=""),"Incomplete","Complete")))</f>
        <v>Complete</v>
      </c>
      <c r="I1572" s="39" t="s">
        <v>1790</v>
      </c>
    </row>
    <row r="1573" spans="2:9" ht="15" customHeight="1" x14ac:dyDescent="0.25">
      <c r="B1573" s="37" t="s">
        <v>1785</v>
      </c>
      <c r="C1573" s="26">
        <v>6</v>
      </c>
      <c r="D1573" s="38" t="s">
        <v>2704</v>
      </c>
      <c r="E1573" s="59"/>
      <c r="F1573" s="59" t="str">
        <f>IF(INDEX(I.Gas.P3ElectricityGeneration,6)="","",INDEX(I.Gas.P3ElectricityGeneration,6))</f>
        <v/>
      </c>
      <c r="G1573" s="59"/>
      <c r="H1573" s="26" t="str">
        <f>IF(I.Developer.P3=FALSE,"Complete",IF(I.Product.P3GasToPower="No","Complete",IF(AND(I.Gas.P3Count&gt;=6,F1573=""),"Incomplete","Complete")))</f>
        <v>Complete</v>
      </c>
      <c r="I1573" s="39" t="s">
        <v>1791</v>
      </c>
    </row>
    <row r="1574" spans="2:9" ht="15" customHeight="1" x14ac:dyDescent="0.25">
      <c r="B1574" s="37" t="s">
        <v>1785</v>
      </c>
      <c r="C1574" s="26">
        <v>7</v>
      </c>
      <c r="D1574" s="38" t="s">
        <v>2704</v>
      </c>
      <c r="E1574" s="59"/>
      <c r="F1574" s="59" t="str">
        <f>IF(INDEX(I.Gas.P3ElectricityGeneration,7)="","",INDEX(I.Gas.P3ElectricityGeneration,7))</f>
        <v/>
      </c>
      <c r="G1574" s="59"/>
      <c r="H1574" s="26" t="str">
        <f>IF(I.Developer.P3=FALSE,"Complete",IF(I.Product.P3GasToPower="No","Complete",IF(AND(I.Gas.P3Count&gt;=7,F1574=""),"Incomplete","Complete")))</f>
        <v>Complete</v>
      </c>
      <c r="I1574" s="39" t="s">
        <v>1792</v>
      </c>
    </row>
    <row r="1575" spans="2:9" ht="15" customHeight="1" x14ac:dyDescent="0.25">
      <c r="B1575" s="37" t="s">
        <v>1785</v>
      </c>
      <c r="C1575" s="26">
        <v>8</v>
      </c>
      <c r="D1575" s="38" t="s">
        <v>2704</v>
      </c>
      <c r="E1575" s="59"/>
      <c r="F1575" s="59" t="str">
        <f>IF(INDEX(I.Gas.P3ElectricityGeneration,8)="","",INDEX(I.Gas.P3ElectricityGeneration,8))</f>
        <v/>
      </c>
      <c r="G1575" s="59"/>
      <c r="H1575" s="26" t="str">
        <f>IF(I.Developer.P3=FALSE,"Complete",IF(I.Product.P3GasToPower="No","Complete",IF(AND(I.Gas.P3Count&gt;=8,F1575=""),"Incomplete","Complete")))</f>
        <v>Complete</v>
      </c>
      <c r="I1575" s="39" t="s">
        <v>1793</v>
      </c>
    </row>
    <row r="1576" spans="2:9" ht="15" customHeight="1" x14ac:dyDescent="0.25">
      <c r="B1576" s="37" t="s">
        <v>1785</v>
      </c>
      <c r="C1576" s="26">
        <v>9</v>
      </c>
      <c r="D1576" s="38" t="s">
        <v>2704</v>
      </c>
      <c r="E1576" s="59"/>
      <c r="F1576" s="59" t="str">
        <f>IF(INDEX(I.Gas.P3ElectricityGeneration,9)="","",INDEX(I.Gas.P3ElectricityGeneration,9))</f>
        <v/>
      </c>
      <c r="G1576" s="59"/>
      <c r="H1576" s="26" t="str">
        <f>IF(I.Developer.P3=FALSE,"Complete",IF(I.Product.P3GasToPower="No","Complete",IF(AND(I.Gas.P3Count&gt;=9,F1576=""),"Incomplete","Complete")))</f>
        <v>Complete</v>
      </c>
      <c r="I1576" s="39" t="s">
        <v>1794</v>
      </c>
    </row>
    <row r="1577" spans="2:9" ht="15" customHeight="1" x14ac:dyDescent="0.25">
      <c r="B1577" s="37" t="s">
        <v>1785</v>
      </c>
      <c r="C1577" s="26">
        <v>10</v>
      </c>
      <c r="D1577" s="38" t="s">
        <v>2704</v>
      </c>
      <c r="E1577" s="59"/>
      <c r="F1577" s="59" t="str">
        <f>IF(INDEX(I.Gas.P3ElectricityGeneration,10)="","",INDEX(I.Gas.P3ElectricityGeneration,10))</f>
        <v/>
      </c>
      <c r="G1577" s="59"/>
      <c r="H1577" s="26" t="str">
        <f>IF(I.Developer.P3=FALSE,"Complete",IF(I.Product.P3GasToPower="No","Complete",IF(AND(I.Gas.P3Count&gt;=10,F1577=""),"Incomplete","Complete")))</f>
        <v>Complete</v>
      </c>
      <c r="I1577" s="39" t="s">
        <v>1795</v>
      </c>
    </row>
    <row r="1578" spans="2:9" ht="15" customHeight="1" x14ac:dyDescent="0.25">
      <c r="B1578" s="37" t="s">
        <v>1785</v>
      </c>
      <c r="C1578" s="26">
        <v>11</v>
      </c>
      <c r="D1578" s="38" t="s">
        <v>2704</v>
      </c>
      <c r="E1578" s="59"/>
      <c r="F1578" s="59" t="str">
        <f>IF(INDEX(I.Gas.P3ElectricityGeneration,11)="","",INDEX(I.Gas.P3ElectricityGeneration,11))</f>
        <v/>
      </c>
      <c r="G1578" s="59"/>
      <c r="H1578" s="26" t="str">
        <f>IF(I.Developer.P3=FALSE,"Complete",IF(I.Product.P3GasToPower="No","Complete",IF(AND(I.Gas.P3Count&gt;=11,F1578=""),"Incomplete","Complete")))</f>
        <v>Complete</v>
      </c>
      <c r="I1578" s="39" t="s">
        <v>1796</v>
      </c>
    </row>
    <row r="1579" spans="2:9" ht="15" customHeight="1" x14ac:dyDescent="0.25">
      <c r="B1579" s="37" t="s">
        <v>1785</v>
      </c>
      <c r="C1579" s="26">
        <v>12</v>
      </c>
      <c r="D1579" s="38" t="s">
        <v>2704</v>
      </c>
      <c r="E1579" s="59"/>
      <c r="F1579" s="59" t="str">
        <f>IF(INDEX(I.Gas.P3ElectricityGeneration,12)="","",INDEX(I.Gas.P3ElectricityGeneration,12))</f>
        <v/>
      </c>
      <c r="G1579" s="59"/>
      <c r="H1579" s="26" t="str">
        <f>IF(I.Developer.P3=FALSE,"Complete",IF(I.Product.P3GasToPower="No","Complete",IF(AND(I.Gas.P3Count&gt;=12,F1579=""),"Incomplete","Complete")))</f>
        <v>Complete</v>
      </c>
      <c r="I1579" s="39" t="s">
        <v>1797</v>
      </c>
    </row>
    <row r="1580" spans="2:9" ht="15" customHeight="1" x14ac:dyDescent="0.25">
      <c r="B1580" s="37" t="s">
        <v>1785</v>
      </c>
      <c r="C1580" s="26">
        <v>13</v>
      </c>
      <c r="D1580" s="38" t="s">
        <v>2704</v>
      </c>
      <c r="E1580" s="59"/>
      <c r="F1580" s="59" t="str">
        <f>IF(INDEX(I.Gas.P3ElectricityGeneration,13)="","",INDEX(I.Gas.P3ElectricityGeneration,13))</f>
        <v/>
      </c>
      <c r="G1580" s="59"/>
      <c r="H1580" s="26" t="str">
        <f>IF(I.Developer.P3=FALSE,"Complete",IF(I.Product.P3GasToPower="No","Complete",IF(AND(I.Gas.P3Count&gt;=13,F1580=""),"Incomplete","Complete")))</f>
        <v>Complete</v>
      </c>
      <c r="I1580" s="39" t="s">
        <v>1798</v>
      </c>
    </row>
    <row r="1581" spans="2:9" ht="15" customHeight="1" x14ac:dyDescent="0.25">
      <c r="B1581" s="37" t="s">
        <v>1785</v>
      </c>
      <c r="C1581" s="26">
        <v>14</v>
      </c>
      <c r="D1581" s="38" t="s">
        <v>2704</v>
      </c>
      <c r="E1581" s="59"/>
      <c r="F1581" s="59" t="str">
        <f>IF(INDEX(I.Gas.P3ElectricityGeneration,14)="","",INDEX(I.Gas.P3ElectricityGeneration,14))</f>
        <v/>
      </c>
      <c r="G1581" s="59"/>
      <c r="H1581" s="26" t="str">
        <f>IF(I.Developer.P3=FALSE,"Complete",IF(I.Product.P3GasToPower="No","Complete",IF(AND(I.Gas.P3Count&gt;=14,F1581=""),"Incomplete","Complete")))</f>
        <v>Complete</v>
      </c>
      <c r="I1581" s="39" t="s">
        <v>1799</v>
      </c>
    </row>
    <row r="1582" spans="2:9" ht="15" customHeight="1" x14ac:dyDescent="0.25">
      <c r="B1582" s="37" t="s">
        <v>1785</v>
      </c>
      <c r="C1582" s="26">
        <v>15</v>
      </c>
      <c r="D1582" s="38" t="s">
        <v>2704</v>
      </c>
      <c r="E1582" s="59"/>
      <c r="F1582" s="59" t="str">
        <f>IF(INDEX(I.Gas.P3ElectricityGeneration,15)="","",INDEX(I.Gas.P3ElectricityGeneration,15))</f>
        <v/>
      </c>
      <c r="G1582" s="59"/>
      <c r="H1582" s="26" t="str">
        <f>IF(I.Developer.P3=FALSE,"Complete",IF(I.Product.P3GasToPower="No","Complete",IF(AND(I.Gas.P3Count&gt;=15,F1582=""),"Incomplete","Complete")))</f>
        <v>Complete</v>
      </c>
      <c r="I1582" s="39" t="s">
        <v>1800</v>
      </c>
    </row>
    <row r="1583" spans="2:9" ht="15" customHeight="1" x14ac:dyDescent="0.25">
      <c r="B1583" s="37" t="s">
        <v>1785</v>
      </c>
      <c r="C1583" s="26">
        <v>16</v>
      </c>
      <c r="D1583" s="38" t="s">
        <v>2704</v>
      </c>
      <c r="E1583" s="59"/>
      <c r="F1583" s="59" t="str">
        <f>IF(INDEX(I.Gas.P3ElectricityGeneration,16)="","",INDEX(I.Gas.P3ElectricityGeneration,16))</f>
        <v/>
      </c>
      <c r="G1583" s="59"/>
      <c r="H1583" s="26" t="str">
        <f>IF(I.Developer.P3=FALSE,"Complete",IF(I.Product.P3GasToPower="No","Complete",IF(AND(I.Gas.P3Count&gt;=16,F1583=""),"Incomplete","Complete")))</f>
        <v>Complete</v>
      </c>
      <c r="I1583" s="39" t="s">
        <v>1801</v>
      </c>
    </row>
    <row r="1584" spans="2:9" ht="15" customHeight="1" x14ac:dyDescent="0.25">
      <c r="B1584" s="37" t="s">
        <v>1785</v>
      </c>
      <c r="C1584" s="26">
        <v>17</v>
      </c>
      <c r="D1584" s="38" t="s">
        <v>2704</v>
      </c>
      <c r="E1584" s="59"/>
      <c r="F1584" s="59" t="str">
        <f>IF(INDEX(I.Gas.P3ElectricityGeneration,17)="","",INDEX(I.Gas.P3ElectricityGeneration,17))</f>
        <v/>
      </c>
      <c r="G1584" s="59"/>
      <c r="H1584" s="26" t="str">
        <f>IF(I.Developer.P3=FALSE,"Complete",IF(I.Product.P3GasToPower="No","Complete",IF(AND(I.Gas.P3Count&gt;=17,F1584=""),"Incomplete","Complete")))</f>
        <v>Complete</v>
      </c>
      <c r="I1584" s="39" t="s">
        <v>1802</v>
      </c>
    </row>
    <row r="1585" spans="2:9" ht="15" customHeight="1" x14ac:dyDescent="0.25">
      <c r="B1585" s="37" t="s">
        <v>1785</v>
      </c>
      <c r="C1585" s="26">
        <v>18</v>
      </c>
      <c r="D1585" s="38" t="s">
        <v>2704</v>
      </c>
      <c r="E1585" s="59"/>
      <c r="F1585" s="59" t="str">
        <f>IF(INDEX(I.Gas.P3ElectricityGeneration,18)="","",INDEX(I.Gas.P3ElectricityGeneration,18))</f>
        <v/>
      </c>
      <c r="G1585" s="59"/>
      <c r="H1585" s="26" t="str">
        <f>IF(I.Developer.P3=FALSE,"Complete",IF(I.Product.P3GasToPower="No","Complete",IF(AND(I.Gas.P3Count&gt;=18,F1585=""),"Incomplete","Complete")))</f>
        <v>Complete</v>
      </c>
      <c r="I1585" s="39" t="s">
        <v>1803</v>
      </c>
    </row>
    <row r="1586" spans="2:9" ht="15" customHeight="1" x14ac:dyDescent="0.25">
      <c r="B1586" s="37" t="s">
        <v>1785</v>
      </c>
      <c r="C1586" s="26">
        <v>19</v>
      </c>
      <c r="D1586" s="38" t="s">
        <v>2704</v>
      </c>
      <c r="E1586" s="59"/>
      <c r="F1586" s="59" t="str">
        <f>IF(INDEX(I.Gas.P3ElectricityGeneration,19)="","",INDEX(I.Gas.P3ElectricityGeneration,19))</f>
        <v/>
      </c>
      <c r="G1586" s="59"/>
      <c r="H1586" s="26" t="str">
        <f>IF(I.Developer.P3=FALSE,"Complete",IF(I.Product.P3GasToPower="No","Complete",IF(AND(I.Gas.P3Count&gt;=19,F1586=""),"Incomplete","Complete")))</f>
        <v>Complete</v>
      </c>
      <c r="I1586" s="39" t="s">
        <v>1804</v>
      </c>
    </row>
    <row r="1587" spans="2:9" ht="15" customHeight="1" x14ac:dyDescent="0.25">
      <c r="B1587" s="37" t="s">
        <v>1785</v>
      </c>
      <c r="C1587" s="26">
        <v>20</v>
      </c>
      <c r="D1587" s="38" t="s">
        <v>2704</v>
      </c>
      <c r="E1587" s="59"/>
      <c r="F1587" s="59" t="str">
        <f>IF(INDEX(I.Gas.P3ElectricityGeneration,20)="","",INDEX(I.Gas.P3ElectricityGeneration,20))</f>
        <v/>
      </c>
      <c r="G1587" s="59"/>
      <c r="H1587" s="26" t="str">
        <f>IF(I.Developer.P3=FALSE,"Complete",IF(I.Product.P3GasToPower="No","Complete",IF(AND(I.Gas.P3Count&gt;=20,F1587=""),"Incomplete","Complete")))</f>
        <v>Complete</v>
      </c>
      <c r="I1587" s="39" t="s">
        <v>1805</v>
      </c>
    </row>
    <row r="1588" spans="2:9" ht="15" customHeight="1" x14ac:dyDescent="0.25">
      <c r="B1588" s="37" t="s">
        <v>1785</v>
      </c>
      <c r="C1588" s="26">
        <v>21</v>
      </c>
      <c r="D1588" s="38" t="s">
        <v>2704</v>
      </c>
      <c r="E1588" s="59"/>
      <c r="F1588" s="59" t="str">
        <f>IF(INDEX(I.Gas.P3ElectricityGeneration,21)="","",INDEX(I.Gas.P3ElectricityGeneration,21))</f>
        <v/>
      </c>
      <c r="G1588" s="59"/>
      <c r="H1588" s="26" t="str">
        <f>IF(I.Developer.P3=FALSE,"Complete",IF(I.Product.P3GasToPower="No","Complete",IF(AND(I.Gas.P3Count&gt;=21,F1588=""),"Incomplete","Complete")))</f>
        <v>Complete</v>
      </c>
      <c r="I1588" s="39" t="s">
        <v>1806</v>
      </c>
    </row>
    <row r="1589" spans="2:9" ht="15" customHeight="1" x14ac:dyDescent="0.25">
      <c r="B1589" s="37" t="s">
        <v>1785</v>
      </c>
      <c r="C1589" s="26">
        <v>22</v>
      </c>
      <c r="D1589" s="38" t="s">
        <v>2704</v>
      </c>
      <c r="E1589" s="59"/>
      <c r="F1589" s="59" t="str">
        <f>IF(INDEX(I.Gas.P3ElectricityGeneration,22)="","",INDEX(I.Gas.P3ElectricityGeneration,22))</f>
        <v/>
      </c>
      <c r="G1589" s="59"/>
      <c r="H1589" s="26" t="str">
        <f>IF(I.Developer.P3=FALSE,"Complete",IF(I.Product.P3GasToPower="No","Complete",IF(AND(I.Gas.P3Count&gt;=22,F1589=""),"Incomplete","Complete")))</f>
        <v>Complete</v>
      </c>
      <c r="I1589" s="39" t="s">
        <v>1807</v>
      </c>
    </row>
    <row r="1590" spans="2:9" ht="15" customHeight="1" x14ac:dyDescent="0.25">
      <c r="B1590" s="37" t="s">
        <v>1785</v>
      </c>
      <c r="C1590" s="26">
        <v>23</v>
      </c>
      <c r="D1590" s="38" t="s">
        <v>2704</v>
      </c>
      <c r="E1590" s="59"/>
      <c r="F1590" s="59" t="str">
        <f>IF(INDEX(I.Gas.P3ElectricityGeneration,23)="","",INDEX(I.Gas.P3ElectricityGeneration,23))</f>
        <v/>
      </c>
      <c r="G1590" s="59"/>
      <c r="H1590" s="26" t="str">
        <f>IF(I.Developer.P3=FALSE,"Complete",IF(I.Product.P3GasToPower="No","Complete",IF(AND(I.Gas.P3Count&gt;=23,F1590=""),"Incomplete","Complete")))</f>
        <v>Complete</v>
      </c>
      <c r="I1590" s="39" t="s">
        <v>1808</v>
      </c>
    </row>
    <row r="1591" spans="2:9" ht="15" customHeight="1" x14ac:dyDescent="0.25">
      <c r="B1591" s="37" t="s">
        <v>1785</v>
      </c>
      <c r="C1591" s="26">
        <v>24</v>
      </c>
      <c r="D1591" s="38" t="s">
        <v>2704</v>
      </c>
      <c r="E1591" s="59"/>
      <c r="F1591" s="59" t="str">
        <f>IF(INDEX(I.Gas.P3ElectricityGeneration,24)="","",INDEX(I.Gas.P3ElectricityGeneration,24))</f>
        <v/>
      </c>
      <c r="G1591" s="59"/>
      <c r="H1591" s="26" t="str">
        <f>IF(I.Developer.P3=FALSE,"Complete",IF(I.Product.P3GasToPower="No","Complete",IF(AND(I.Gas.P3Count&gt;=24,F1591=""),"Incomplete","Complete")))</f>
        <v>Complete</v>
      </c>
      <c r="I1591" s="39" t="s">
        <v>1809</v>
      </c>
    </row>
    <row r="1592" spans="2:9" ht="15" customHeight="1" x14ac:dyDescent="0.25">
      <c r="B1592" s="37" t="s">
        <v>1785</v>
      </c>
      <c r="C1592" s="26">
        <v>25</v>
      </c>
      <c r="D1592" s="38" t="s">
        <v>2704</v>
      </c>
      <c r="E1592" s="59"/>
      <c r="F1592" s="59" t="str">
        <f>IF(INDEX(I.Gas.P3ElectricityGeneration,25)="","",INDEX(I.Gas.P3ElectricityGeneration,25))</f>
        <v/>
      </c>
      <c r="G1592" s="59"/>
      <c r="H1592" s="26" t="str">
        <f>IF(I.Developer.P3=FALSE,"Complete",IF(I.Product.P3GasToPower="No","Complete",IF(AND(I.Gas.P3Count&gt;=25,F1592=""),"Incomplete","Complete")))</f>
        <v>Complete</v>
      </c>
      <c r="I1592" s="39" t="s">
        <v>1810</v>
      </c>
    </row>
    <row r="1593" spans="2:9" ht="15" customHeight="1" x14ac:dyDescent="0.25">
      <c r="B1593" s="37" t="s">
        <v>1785</v>
      </c>
      <c r="C1593" s="26">
        <v>26</v>
      </c>
      <c r="D1593" s="38" t="s">
        <v>2704</v>
      </c>
      <c r="E1593" s="59"/>
      <c r="F1593" s="59" t="str">
        <f>IF(INDEX(I.Gas.P3ElectricityGeneration,26)="","",INDEX(I.Gas.P3ElectricityGeneration,26))</f>
        <v/>
      </c>
      <c r="G1593" s="59"/>
      <c r="H1593" s="26" t="str">
        <f>IF(I.Developer.P3=FALSE,"Complete",IF(I.Product.P3GasToPower="No","Complete",IF(AND(I.Gas.P3Count&gt;=26,F1593=""),"Incomplete","Complete")))</f>
        <v>Complete</v>
      </c>
      <c r="I1593" s="39" t="s">
        <v>1811</v>
      </c>
    </row>
    <row r="1594" spans="2:9" ht="15" customHeight="1" x14ac:dyDescent="0.25">
      <c r="B1594" s="37" t="s">
        <v>1785</v>
      </c>
      <c r="C1594" s="26">
        <v>27</v>
      </c>
      <c r="D1594" s="38" t="s">
        <v>2704</v>
      </c>
      <c r="E1594" s="59"/>
      <c r="F1594" s="59" t="str">
        <f>IF(INDEX(I.Gas.P3ElectricityGeneration,27)="","",INDEX(I.Gas.P3ElectricityGeneration,27))</f>
        <v/>
      </c>
      <c r="G1594" s="59"/>
      <c r="H1594" s="26" t="str">
        <f>IF(I.Developer.P3=FALSE,"Complete",IF(I.Product.P3GasToPower="No","Complete",IF(AND(I.Gas.P3Count&gt;=27,F1594=""),"Incomplete","Complete")))</f>
        <v>Complete</v>
      </c>
      <c r="I1594" s="39" t="s">
        <v>1812</v>
      </c>
    </row>
    <row r="1595" spans="2:9" ht="15" customHeight="1" x14ac:dyDescent="0.25">
      <c r="B1595" s="37" t="s">
        <v>1785</v>
      </c>
      <c r="C1595" s="26">
        <v>28</v>
      </c>
      <c r="D1595" s="38" t="s">
        <v>2704</v>
      </c>
      <c r="E1595" s="59"/>
      <c r="F1595" s="59" t="str">
        <f>IF(INDEX(I.Gas.P3ElectricityGeneration,28)="","",INDEX(I.Gas.P3ElectricityGeneration,28))</f>
        <v/>
      </c>
      <c r="G1595" s="59"/>
      <c r="H1595" s="26" t="str">
        <f>IF(I.Developer.P3=FALSE,"Complete",IF(I.Product.P3GasToPower="No","Complete",IF(AND(I.Gas.P3Count&gt;=28,F1595=""),"Incomplete","Complete")))</f>
        <v>Complete</v>
      </c>
      <c r="I1595" s="39" t="s">
        <v>1813</v>
      </c>
    </row>
    <row r="1596" spans="2:9" ht="15" customHeight="1" x14ac:dyDescent="0.25">
      <c r="B1596" s="37" t="s">
        <v>1785</v>
      </c>
      <c r="C1596" s="26">
        <v>29</v>
      </c>
      <c r="D1596" s="38" t="s">
        <v>2704</v>
      </c>
      <c r="E1596" s="59"/>
      <c r="F1596" s="59" t="str">
        <f>IF(INDEX(I.Gas.P3ElectricityGeneration,29)="","",INDEX(I.Gas.P3ElectricityGeneration,29))</f>
        <v/>
      </c>
      <c r="G1596" s="59"/>
      <c r="H1596" s="26" t="str">
        <f>IF(I.Developer.P3=FALSE,"Complete",IF(I.Product.P3GasToPower="No","Complete",IF(AND(I.Gas.P3Count&gt;=29,F1596=""),"Incomplete","Complete")))</f>
        <v>Complete</v>
      </c>
      <c r="I1596" s="39" t="s">
        <v>1814</v>
      </c>
    </row>
    <row r="1597" spans="2:9" ht="15" customHeight="1" x14ac:dyDescent="0.25">
      <c r="B1597" s="37" t="s">
        <v>1785</v>
      </c>
      <c r="C1597" s="26">
        <v>30</v>
      </c>
      <c r="D1597" s="38" t="s">
        <v>2704</v>
      </c>
      <c r="E1597" s="59"/>
      <c r="F1597" s="59" t="str">
        <f>IF(INDEX(I.Gas.P3ElectricityGeneration,30)="","",INDEX(I.Gas.P3ElectricityGeneration,30))</f>
        <v/>
      </c>
      <c r="G1597" s="59"/>
      <c r="H1597" s="26" t="str">
        <f>IF(I.Developer.P3=FALSE,"Complete",IF(I.Product.P3GasToPower="No","Complete",IF(AND(I.Gas.P3Count&gt;=30,F1597=""),"Incomplete","Complete")))</f>
        <v>Complete</v>
      </c>
      <c r="I1597" s="39" t="s">
        <v>1815</v>
      </c>
    </row>
    <row r="1598" spans="2:9" ht="15" customHeight="1" x14ac:dyDescent="0.25">
      <c r="B1598" s="37" t="s">
        <v>1785</v>
      </c>
      <c r="C1598" s="26">
        <v>31</v>
      </c>
      <c r="D1598" s="38" t="s">
        <v>2704</v>
      </c>
      <c r="E1598" s="59"/>
      <c r="F1598" s="59" t="str">
        <f>IF(INDEX(I.Gas.P3ElectricityGeneration,31)="","",INDEX(I.Gas.P3ElectricityGeneration,31))</f>
        <v/>
      </c>
      <c r="G1598" s="59"/>
      <c r="H1598" s="26" t="str">
        <f>IF(I.Developer.P3=FALSE,"Complete",IF(I.Product.P3GasToPower="No","Complete",IF(AND(I.Gas.P3Count&gt;=31,F1598=""),"Incomplete","Complete")))</f>
        <v>Complete</v>
      </c>
      <c r="I1598" s="39" t="s">
        <v>1816</v>
      </c>
    </row>
    <row r="1599" spans="2:9" ht="15" customHeight="1" x14ac:dyDescent="0.25">
      <c r="B1599" s="37" t="s">
        <v>1785</v>
      </c>
      <c r="C1599" s="26">
        <v>32</v>
      </c>
      <c r="D1599" s="38" t="s">
        <v>2704</v>
      </c>
      <c r="E1599" s="59"/>
      <c r="F1599" s="59" t="str">
        <f>IF(INDEX(I.Gas.P3ElectricityGeneration,32)="","",INDEX(I.Gas.P3ElectricityGeneration,32))</f>
        <v/>
      </c>
      <c r="G1599" s="59"/>
      <c r="H1599" s="26" t="str">
        <f>IF(I.Developer.P3=FALSE,"Complete",IF(I.Product.P3GasToPower="No","Complete",IF(AND(I.Gas.P3Count&gt;=32,F1599=""),"Incomplete","Complete")))</f>
        <v>Complete</v>
      </c>
      <c r="I1599" s="39" t="s">
        <v>1817</v>
      </c>
    </row>
    <row r="1600" spans="2:9" ht="15" customHeight="1" x14ac:dyDescent="0.25">
      <c r="B1600" s="37" t="s">
        <v>1785</v>
      </c>
      <c r="C1600" s="26">
        <v>33</v>
      </c>
      <c r="D1600" s="38" t="s">
        <v>2704</v>
      </c>
      <c r="E1600" s="59"/>
      <c r="F1600" s="59" t="str">
        <f>IF(INDEX(I.Gas.P3ElectricityGeneration,33)="","",INDEX(I.Gas.P3ElectricityGeneration,33))</f>
        <v/>
      </c>
      <c r="G1600" s="59"/>
      <c r="H1600" s="26" t="str">
        <f>IF(I.Developer.P3=FALSE,"Complete",IF(I.Product.P3GasToPower="No","Complete",IF(AND(I.Gas.P3Count&gt;=33,F1600=""),"Incomplete","Complete")))</f>
        <v>Complete</v>
      </c>
      <c r="I1600" s="39" t="s">
        <v>1818</v>
      </c>
    </row>
    <row r="1601" spans="2:9" ht="15" customHeight="1" x14ac:dyDescent="0.25">
      <c r="B1601" s="37" t="s">
        <v>1785</v>
      </c>
      <c r="C1601" s="26">
        <v>34</v>
      </c>
      <c r="D1601" s="38" t="s">
        <v>2704</v>
      </c>
      <c r="E1601" s="59"/>
      <c r="F1601" s="59" t="str">
        <f>IF(INDEX(I.Gas.P3ElectricityGeneration,34)="","",INDEX(I.Gas.P3ElectricityGeneration,34))</f>
        <v/>
      </c>
      <c r="G1601" s="59"/>
      <c r="H1601" s="26" t="str">
        <f>IF(I.Developer.P3=FALSE,"Complete",IF(I.Product.P3GasToPower="No","Complete",IF(AND(I.Gas.P3Count&gt;=34,F1601=""),"Incomplete","Complete")))</f>
        <v>Complete</v>
      </c>
      <c r="I1601" s="39" t="s">
        <v>1819</v>
      </c>
    </row>
    <row r="1602" spans="2:9" ht="15" customHeight="1" x14ac:dyDescent="0.25">
      <c r="B1602" s="37" t="s">
        <v>1785</v>
      </c>
      <c r="C1602" s="26">
        <v>35</v>
      </c>
      <c r="D1602" s="38" t="s">
        <v>2704</v>
      </c>
      <c r="E1602" s="59"/>
      <c r="F1602" s="59" t="str">
        <f>IF(INDEX(I.Gas.P3ElectricityGeneration,35)="","",INDEX(I.Gas.P3ElectricityGeneration,35))</f>
        <v/>
      </c>
      <c r="G1602" s="59"/>
      <c r="H1602" s="26" t="str">
        <f>IF(I.Developer.P3=FALSE,"Complete",IF(I.Product.P3GasToPower="No","Complete",IF(AND(I.Gas.P3Count&gt;=35,F1602=""),"Incomplete","Complete")))</f>
        <v>Complete</v>
      </c>
      <c r="I1602" s="39" t="s">
        <v>1820</v>
      </c>
    </row>
    <row r="1603" spans="2:9" ht="15" customHeight="1" x14ac:dyDescent="0.25">
      <c r="B1603" s="37" t="s">
        <v>1785</v>
      </c>
      <c r="C1603" s="26">
        <v>36</v>
      </c>
      <c r="D1603" s="38" t="s">
        <v>2704</v>
      </c>
      <c r="E1603" s="59"/>
      <c r="F1603" s="59" t="str">
        <f>IF(INDEX(I.Gas.P3ElectricityGeneration,36)="","",INDEX(I.Gas.P3ElectricityGeneration,36))</f>
        <v/>
      </c>
      <c r="G1603" s="59"/>
      <c r="H1603" s="26" t="str">
        <f>IF(I.Developer.P3=FALSE,"Complete",IF(I.Product.P3GasToPower="No","Complete",IF(AND(I.Gas.P3Count&gt;=36,F1603=""),"Incomplete","Complete")))</f>
        <v>Complete</v>
      </c>
      <c r="I1603" s="39" t="s">
        <v>1821</v>
      </c>
    </row>
    <row r="1604" spans="2:9" ht="15" customHeight="1" x14ac:dyDescent="0.25">
      <c r="B1604" s="37" t="s">
        <v>1785</v>
      </c>
      <c r="C1604" s="26">
        <v>37</v>
      </c>
      <c r="D1604" s="38" t="s">
        <v>2704</v>
      </c>
      <c r="E1604" s="59"/>
      <c r="F1604" s="59" t="str">
        <f>IF(INDEX(I.Gas.P3ElectricityGeneration,37)="","",INDEX(I.Gas.P3ElectricityGeneration,37))</f>
        <v/>
      </c>
      <c r="G1604" s="59"/>
      <c r="H1604" s="26" t="str">
        <f>IF(I.Developer.P3=FALSE,"Complete",IF(I.Product.P3GasToPower="No","Complete",IF(AND(I.Gas.P3Count&gt;=37,F1604=""),"Incomplete","Complete")))</f>
        <v>Complete</v>
      </c>
      <c r="I1604" s="39" t="s">
        <v>1822</v>
      </c>
    </row>
    <row r="1605" spans="2:9" ht="15" customHeight="1" x14ac:dyDescent="0.25">
      <c r="B1605" s="37" t="s">
        <v>1785</v>
      </c>
      <c r="C1605" s="26">
        <v>38</v>
      </c>
      <c r="D1605" s="38" t="s">
        <v>2704</v>
      </c>
      <c r="E1605" s="59"/>
      <c r="F1605" s="59" t="str">
        <f>IF(INDEX(I.Gas.P3ElectricityGeneration,38)="","",INDEX(I.Gas.P3ElectricityGeneration,38))</f>
        <v/>
      </c>
      <c r="G1605" s="59"/>
      <c r="H1605" s="26" t="str">
        <f>IF(I.Developer.P3=FALSE,"Complete",IF(I.Product.P3GasToPower="No","Complete",IF(AND(I.Gas.P3Count&gt;=38,F1605=""),"Incomplete","Complete")))</f>
        <v>Complete</v>
      </c>
      <c r="I1605" s="39" t="s">
        <v>1823</v>
      </c>
    </row>
    <row r="1606" spans="2:9" ht="15" customHeight="1" x14ac:dyDescent="0.25">
      <c r="B1606" s="37" t="s">
        <v>1785</v>
      </c>
      <c r="C1606" s="26">
        <v>39</v>
      </c>
      <c r="D1606" s="38" t="s">
        <v>2704</v>
      </c>
      <c r="E1606" s="59"/>
      <c r="F1606" s="59" t="str">
        <f>IF(INDEX(I.Gas.P3ElectricityGeneration,39)="","",INDEX(I.Gas.P3ElectricityGeneration,39))</f>
        <v/>
      </c>
      <c r="G1606" s="59"/>
      <c r="H1606" s="26" t="str">
        <f>IF(I.Developer.P3=FALSE,"Complete",IF(I.Product.P3GasToPower="No","Complete",IF(AND(I.Gas.P3Count&gt;=39,F1606=""),"Incomplete","Complete")))</f>
        <v>Complete</v>
      </c>
      <c r="I1606" s="39" t="s">
        <v>1824</v>
      </c>
    </row>
    <row r="1607" spans="2:9" ht="15" customHeight="1" x14ac:dyDescent="0.25">
      <c r="B1607" s="37" t="s">
        <v>1785</v>
      </c>
      <c r="C1607" s="26">
        <v>40</v>
      </c>
      <c r="D1607" s="38" t="s">
        <v>2704</v>
      </c>
      <c r="E1607" s="59"/>
      <c r="F1607" s="59" t="str">
        <f>IF(INDEX(I.Gas.P3ElectricityGeneration,40)="","",INDEX(I.Gas.P3ElectricityGeneration,40))</f>
        <v/>
      </c>
      <c r="G1607" s="59"/>
      <c r="H1607" s="26" t="str">
        <f>IF(I.Developer.P3=FALSE,"Complete",IF(I.Product.P3GasToPower="No","Complete",IF(AND(I.Gas.P3Count&gt;=40,F1607=""),"Incomplete","Complete")))</f>
        <v>Complete</v>
      </c>
      <c r="I1607" s="39" t="s">
        <v>1825</v>
      </c>
    </row>
    <row r="1608" spans="2:9" ht="15" customHeight="1" x14ac:dyDescent="0.25">
      <c r="B1608" s="37" t="s">
        <v>1785</v>
      </c>
      <c r="C1608" s="26">
        <v>41</v>
      </c>
      <c r="D1608" s="38" t="s">
        <v>2704</v>
      </c>
      <c r="E1608" s="59"/>
      <c r="F1608" s="59" t="str">
        <f>IF(INDEX(I.Gas.P3ElectricityGeneration,41)="","",INDEX(I.Gas.P3ElectricityGeneration,41))</f>
        <v/>
      </c>
      <c r="G1608" s="59"/>
      <c r="H1608" s="26" t="str">
        <f>IF(I.Developer.P3=FALSE,"Complete",IF(I.Product.P3GasToPower="No","Complete",IF(AND(I.Gas.P3Count&gt;=41,F1608=""),"Incomplete","Complete")))</f>
        <v>Complete</v>
      </c>
      <c r="I1608" s="39" t="s">
        <v>1826</v>
      </c>
    </row>
    <row r="1609" spans="2:9" ht="15" customHeight="1" x14ac:dyDescent="0.25">
      <c r="B1609" s="37" t="s">
        <v>1785</v>
      </c>
      <c r="C1609" s="26">
        <v>42</v>
      </c>
      <c r="D1609" s="38" t="s">
        <v>2704</v>
      </c>
      <c r="E1609" s="59"/>
      <c r="F1609" s="59" t="str">
        <f>IF(INDEX(I.Gas.P3ElectricityGeneration,42)="","",INDEX(I.Gas.P3ElectricityGeneration,42))</f>
        <v/>
      </c>
      <c r="G1609" s="59"/>
      <c r="H1609" s="26" t="str">
        <f>IF(I.Developer.P3=FALSE,"Complete",IF(I.Product.P3GasToPower="No","Complete",IF(AND(I.Gas.P3Count&gt;=42,F1609=""),"Incomplete","Complete")))</f>
        <v>Complete</v>
      </c>
      <c r="I1609" s="39" t="s">
        <v>1827</v>
      </c>
    </row>
    <row r="1610" spans="2:9" ht="15" customHeight="1" x14ac:dyDescent="0.25">
      <c r="B1610" s="37" t="s">
        <v>1785</v>
      </c>
      <c r="C1610" s="26">
        <v>43</v>
      </c>
      <c r="D1610" s="38" t="s">
        <v>2704</v>
      </c>
      <c r="E1610" s="59"/>
      <c r="F1610" s="59" t="str">
        <f>IF(INDEX(I.Gas.P3ElectricityGeneration,43)="","",INDEX(I.Gas.P3ElectricityGeneration,43))</f>
        <v/>
      </c>
      <c r="G1610" s="59"/>
      <c r="H1610" s="26" t="str">
        <f>IF(I.Developer.P3=FALSE,"Complete",IF(I.Product.P3GasToPower="No","Complete",IF(AND(I.Gas.P3Count&gt;=43,F1610=""),"Incomplete","Complete")))</f>
        <v>Complete</v>
      </c>
      <c r="I1610" s="39" t="s">
        <v>1828</v>
      </c>
    </row>
    <row r="1611" spans="2:9" ht="15" customHeight="1" x14ac:dyDescent="0.25">
      <c r="B1611" s="37" t="s">
        <v>1785</v>
      </c>
      <c r="C1611" s="26">
        <v>44</v>
      </c>
      <c r="D1611" s="38" t="s">
        <v>2704</v>
      </c>
      <c r="E1611" s="59"/>
      <c r="F1611" s="59" t="str">
        <f>IF(INDEX(I.Gas.P3ElectricityGeneration,44)="","",INDEX(I.Gas.P3ElectricityGeneration,44))</f>
        <v/>
      </c>
      <c r="G1611" s="59"/>
      <c r="H1611" s="26" t="str">
        <f>IF(I.Developer.P3=FALSE,"Complete",IF(I.Product.P3GasToPower="No","Complete",IF(AND(I.Gas.P3Count&gt;=44,F1611=""),"Incomplete","Complete")))</f>
        <v>Complete</v>
      </c>
      <c r="I1611" s="39" t="s">
        <v>1829</v>
      </c>
    </row>
    <row r="1612" spans="2:9" ht="15" customHeight="1" x14ac:dyDescent="0.25">
      <c r="B1612" s="37" t="s">
        <v>1785</v>
      </c>
      <c r="C1612" s="26">
        <v>45</v>
      </c>
      <c r="D1612" s="38" t="s">
        <v>2704</v>
      </c>
      <c r="E1612" s="59"/>
      <c r="F1612" s="59" t="str">
        <f>IF(INDEX(I.Gas.P3ElectricityGeneration,45)="","",INDEX(I.Gas.P3ElectricityGeneration,45))</f>
        <v/>
      </c>
      <c r="G1612" s="59"/>
      <c r="H1612" s="26" t="str">
        <f>IF(I.Developer.P3=FALSE,"Complete",IF(I.Product.P3GasToPower="No","Complete",IF(AND(I.Gas.P3Count&gt;=45,F1612=""),"Incomplete","Complete")))</f>
        <v>Complete</v>
      </c>
      <c r="I1612" s="39" t="s">
        <v>1830</v>
      </c>
    </row>
    <row r="1613" spans="2:9" ht="15" customHeight="1" x14ac:dyDescent="0.25">
      <c r="B1613" s="37" t="s">
        <v>1785</v>
      </c>
      <c r="C1613" s="26">
        <v>46</v>
      </c>
      <c r="D1613" s="38" t="s">
        <v>2704</v>
      </c>
      <c r="E1613" s="59"/>
      <c r="F1613" s="59" t="str">
        <f>IF(INDEX(I.Gas.P3ElectricityGeneration,46)="","",INDEX(I.Gas.P3ElectricityGeneration,46))</f>
        <v/>
      </c>
      <c r="G1613" s="59"/>
      <c r="H1613" s="26" t="str">
        <f>IF(I.Developer.P3=FALSE,"Complete",IF(I.Product.P3GasToPower="No","Complete",IF(AND(I.Gas.P3Count&gt;=46,F1613=""),"Incomplete","Complete")))</f>
        <v>Complete</v>
      </c>
      <c r="I1613" s="39" t="s">
        <v>1831</v>
      </c>
    </row>
    <row r="1614" spans="2:9" ht="15" customHeight="1" x14ac:dyDescent="0.25">
      <c r="B1614" s="37" t="s">
        <v>1785</v>
      </c>
      <c r="C1614" s="26">
        <v>47</v>
      </c>
      <c r="D1614" s="38" t="s">
        <v>2704</v>
      </c>
      <c r="E1614" s="59"/>
      <c r="F1614" s="59" t="str">
        <f>IF(INDEX(I.Gas.P3ElectricityGeneration,47)="","",INDEX(I.Gas.P3ElectricityGeneration,47))</f>
        <v/>
      </c>
      <c r="G1614" s="59"/>
      <c r="H1614" s="26" t="str">
        <f>IF(I.Developer.P3=FALSE,"Complete",IF(I.Product.P3GasToPower="No","Complete",IF(AND(I.Gas.P3Count&gt;=47,F1614=""),"Incomplete","Complete")))</f>
        <v>Complete</v>
      </c>
      <c r="I1614" s="39" t="s">
        <v>1832</v>
      </c>
    </row>
    <row r="1615" spans="2:9" ht="15" customHeight="1" x14ac:dyDescent="0.25">
      <c r="B1615" s="37" t="s">
        <v>1785</v>
      </c>
      <c r="C1615" s="26">
        <v>48</v>
      </c>
      <c r="D1615" s="38" t="s">
        <v>2704</v>
      </c>
      <c r="E1615" s="59"/>
      <c r="F1615" s="59" t="str">
        <f>IF(INDEX(I.Gas.P3ElectricityGeneration,48)="","",INDEX(I.Gas.P3ElectricityGeneration,48))</f>
        <v/>
      </c>
      <c r="G1615" s="59"/>
      <c r="H1615" s="26" t="str">
        <f>IF(I.Developer.P3=FALSE,"Complete",IF(I.Product.P3GasToPower="No","Complete",IF(AND(I.Gas.P3Count&gt;=48,F1615=""),"Incomplete","Complete")))</f>
        <v>Complete</v>
      </c>
      <c r="I1615" s="39" t="s">
        <v>1833</v>
      </c>
    </row>
    <row r="1616" spans="2:9" ht="15" customHeight="1" x14ac:dyDescent="0.25">
      <c r="B1616" s="37" t="s">
        <v>1785</v>
      </c>
      <c r="C1616" s="26">
        <v>49</v>
      </c>
      <c r="D1616" s="38" t="s">
        <v>2704</v>
      </c>
      <c r="E1616" s="59"/>
      <c r="F1616" s="59" t="str">
        <f>IF(INDEX(I.Gas.P3ElectricityGeneration,49)="","",INDEX(I.Gas.P3ElectricityGeneration,49))</f>
        <v/>
      </c>
      <c r="G1616" s="59"/>
      <c r="H1616" s="26" t="str">
        <f>IF(I.Developer.P3=FALSE,"Complete",IF(I.Product.P3GasToPower="No","Complete",IF(AND(I.Gas.P3Count&gt;=49,F1616=""),"Incomplete","Complete")))</f>
        <v>Complete</v>
      </c>
      <c r="I1616" s="39" t="s">
        <v>1834</v>
      </c>
    </row>
    <row r="1617" spans="2:9" ht="15" customHeight="1" x14ac:dyDescent="0.25">
      <c r="B1617" s="40" t="s">
        <v>1785</v>
      </c>
      <c r="C1617" s="46">
        <v>50</v>
      </c>
      <c r="D1617" s="44" t="s">
        <v>2704</v>
      </c>
      <c r="E1617" s="63"/>
      <c r="F1617" s="63" t="str">
        <f>IF(INDEX(I.Gas.P3ElectricityGeneration,50)="","",INDEX(I.Gas.P3ElectricityGeneration,50))</f>
        <v/>
      </c>
      <c r="G1617" s="63"/>
      <c r="H1617" s="46" t="str">
        <f>IF(I.Developer.P3=FALSE,"Complete",IF(I.Product.P3GasToPower="No","Complete",IF(AND(I.Gas.P3Count&gt;=50,F1617=""),"Incomplete","Complete")))</f>
        <v>Complete</v>
      </c>
      <c r="I1617" s="47" t="s">
        <v>1835</v>
      </c>
    </row>
    <row r="1618" spans="2:9" ht="15" customHeight="1" x14ac:dyDescent="0.25">
      <c r="B1618" s="37" t="s">
        <v>1836</v>
      </c>
      <c r="C1618" s="26">
        <v>1</v>
      </c>
      <c r="D1618" s="38" t="s">
        <v>2705</v>
      </c>
      <c r="E1618" s="59"/>
      <c r="F1618" s="59" t="str">
        <f>IF(INDEX(I.Gas.P3C1V1,1)="","",INDEX(I.Gas.P3C1V1,1))</f>
        <v/>
      </c>
      <c r="G1618" s="59"/>
      <c r="H1618" s="26" t="str">
        <f>IF(OR(I.Developer.P3=FALSE,I.Facility.StandardPart&lt;&gt;"Part 2"),"Complete",IF(I.Product.P3GasToPower="No","Complete",IF(AND(I.Gas.P3Count&gt;=1,F1618=""),"Incomplete","Complete")))</f>
        <v>Complete</v>
      </c>
      <c r="I1618" s="39" t="s">
        <v>1837</v>
      </c>
    </row>
    <row r="1619" spans="2:9" ht="15" customHeight="1" x14ac:dyDescent="0.25">
      <c r="B1619" s="37" t="s">
        <v>1836</v>
      </c>
      <c r="C1619" s="26">
        <v>2</v>
      </c>
      <c r="D1619" s="38" t="s">
        <v>2705</v>
      </c>
      <c r="E1619" s="59"/>
      <c r="F1619" s="59" t="str">
        <f>IF(INDEX(I.Gas.P3C1V1,2)="","",INDEX(I.Gas.P3C1V1,2))</f>
        <v/>
      </c>
      <c r="G1619" s="59"/>
      <c r="H1619" s="26" t="str">
        <f>IF(OR(I.Developer.P3=FALSE,I.Facility.StandardPart&lt;&gt;"Part 2"),"Complete",IF(I.Product.P3GasToPower="No","Complete",IF(AND(I.Gas.P3Count&gt;=2,F1619=""),"Incomplete","Complete")))</f>
        <v>Complete</v>
      </c>
      <c r="I1619" s="39" t="s">
        <v>1838</v>
      </c>
    </row>
    <row r="1620" spans="2:9" ht="15" customHeight="1" x14ac:dyDescent="0.25">
      <c r="B1620" s="37" t="s">
        <v>1836</v>
      </c>
      <c r="C1620" s="26">
        <v>3</v>
      </c>
      <c r="D1620" s="38" t="s">
        <v>2705</v>
      </c>
      <c r="E1620" s="59"/>
      <c r="F1620" s="59" t="str">
        <f>IF(INDEX(I.Gas.P3C1V1,3)="","",INDEX(I.Gas.P3C1V1,3))</f>
        <v/>
      </c>
      <c r="G1620" s="59"/>
      <c r="H1620" s="26" t="str">
        <f>IF(OR(I.Developer.P3=FALSE,I.Facility.StandardPart&lt;&gt;"Part 2"),"Complete",IF(I.Product.P3GasToPower="No","Complete",IF(AND(I.Gas.P3Count&gt;=3,F1620=""),"Incomplete","Complete")))</f>
        <v>Complete</v>
      </c>
      <c r="I1620" s="39" t="s">
        <v>1839</v>
      </c>
    </row>
    <row r="1621" spans="2:9" ht="15" customHeight="1" x14ac:dyDescent="0.25">
      <c r="B1621" s="37" t="s">
        <v>1836</v>
      </c>
      <c r="C1621" s="26">
        <v>4</v>
      </c>
      <c r="D1621" s="38" t="s">
        <v>2705</v>
      </c>
      <c r="E1621" s="59"/>
      <c r="F1621" s="59" t="str">
        <f>IF(INDEX(I.Gas.P3C1V1,4)="","",INDEX(I.Gas.P3C1V1,4))</f>
        <v/>
      </c>
      <c r="G1621" s="59"/>
      <c r="H1621" s="26" t="str">
        <f>IF(OR(I.Developer.P3=FALSE,I.Facility.StandardPart&lt;&gt;"Part 2"),"Complete",IF(I.Product.P3GasToPower="No","Complete",IF(AND(I.Gas.P3Count&gt;=4,F1621=""),"Incomplete","Complete")))</f>
        <v>Complete</v>
      </c>
      <c r="I1621" s="39" t="s">
        <v>1840</v>
      </c>
    </row>
    <row r="1622" spans="2:9" ht="15" customHeight="1" x14ac:dyDescent="0.25">
      <c r="B1622" s="37" t="s">
        <v>1836</v>
      </c>
      <c r="C1622" s="26">
        <v>5</v>
      </c>
      <c r="D1622" s="38" t="s">
        <v>2705</v>
      </c>
      <c r="E1622" s="59"/>
      <c r="F1622" s="59" t="str">
        <f>IF(INDEX(I.Gas.P3C1V1,5)="","",INDEX(I.Gas.P3C1V1,5))</f>
        <v/>
      </c>
      <c r="G1622" s="59"/>
      <c r="H1622" s="26" t="str">
        <f>IF(OR(I.Developer.P3=FALSE,I.Facility.StandardPart&lt;&gt;"Part 2"),"Complete",IF(I.Product.P3GasToPower="No","Complete",IF(AND(I.Gas.P3Count&gt;=5,F1622=""),"Incomplete","Complete")))</f>
        <v>Complete</v>
      </c>
      <c r="I1622" s="39" t="s">
        <v>1841</v>
      </c>
    </row>
    <row r="1623" spans="2:9" ht="15" customHeight="1" x14ac:dyDescent="0.25">
      <c r="B1623" s="37" t="s">
        <v>1836</v>
      </c>
      <c r="C1623" s="26">
        <v>6</v>
      </c>
      <c r="D1623" s="38" t="s">
        <v>2705</v>
      </c>
      <c r="E1623" s="59"/>
      <c r="F1623" s="59" t="str">
        <f>IF(INDEX(I.Gas.P3C1V1,6)="","",INDEX(I.Gas.P3C1V1,6))</f>
        <v/>
      </c>
      <c r="G1623" s="59"/>
      <c r="H1623" s="26" t="str">
        <f>IF(OR(I.Developer.P3=FALSE,I.Facility.StandardPart&lt;&gt;"Part 2"),"Complete",IF(I.Product.P3GasToPower="No","Complete",IF(AND(I.Gas.P3Count&gt;=6,F1623=""),"Incomplete","Complete")))</f>
        <v>Complete</v>
      </c>
      <c r="I1623" s="39" t="s">
        <v>1842</v>
      </c>
    </row>
    <row r="1624" spans="2:9" ht="15" customHeight="1" x14ac:dyDescent="0.25">
      <c r="B1624" s="37" t="s">
        <v>1836</v>
      </c>
      <c r="C1624" s="26">
        <v>7</v>
      </c>
      <c r="D1624" s="38" t="s">
        <v>2705</v>
      </c>
      <c r="E1624" s="59"/>
      <c r="F1624" s="59" t="str">
        <f>IF(INDEX(I.Gas.P3C1V1,7)="","",INDEX(I.Gas.P3C1V1,7))</f>
        <v/>
      </c>
      <c r="G1624" s="59"/>
      <c r="H1624" s="26" t="str">
        <f>IF(OR(I.Developer.P3=FALSE,I.Facility.StandardPart&lt;&gt;"Part 2"),"Complete",IF(I.Product.P3GasToPower="No","Complete",IF(AND(I.Gas.P3Count&gt;=7,F1624=""),"Incomplete","Complete")))</f>
        <v>Complete</v>
      </c>
      <c r="I1624" s="39" t="s">
        <v>1843</v>
      </c>
    </row>
    <row r="1625" spans="2:9" ht="15" customHeight="1" x14ac:dyDescent="0.25">
      <c r="B1625" s="37" t="s">
        <v>1836</v>
      </c>
      <c r="C1625" s="26">
        <v>8</v>
      </c>
      <c r="D1625" s="38" t="s">
        <v>2705</v>
      </c>
      <c r="E1625" s="59"/>
      <c r="F1625" s="59" t="str">
        <f>IF(INDEX(I.Gas.P3C1V1,8)="","",INDEX(I.Gas.P3C1V1,8))</f>
        <v/>
      </c>
      <c r="G1625" s="59"/>
      <c r="H1625" s="26" t="str">
        <f>IF(OR(I.Developer.P3=FALSE,I.Facility.StandardPart&lt;&gt;"Part 2"),"Complete",IF(I.Product.P3GasToPower="No","Complete",IF(AND(I.Gas.P3Count&gt;=8,F1625=""),"Incomplete","Complete")))</f>
        <v>Complete</v>
      </c>
      <c r="I1625" s="39" t="s">
        <v>1844</v>
      </c>
    </row>
    <row r="1626" spans="2:9" ht="15" customHeight="1" x14ac:dyDescent="0.25">
      <c r="B1626" s="37" t="s">
        <v>1836</v>
      </c>
      <c r="C1626" s="26">
        <v>9</v>
      </c>
      <c r="D1626" s="38" t="s">
        <v>2705</v>
      </c>
      <c r="E1626" s="59"/>
      <c r="F1626" s="59" t="str">
        <f>IF(INDEX(I.Gas.P3C1V1,9)="","",INDEX(I.Gas.P3C1V1,9))</f>
        <v/>
      </c>
      <c r="G1626" s="59"/>
      <c r="H1626" s="26" t="str">
        <f>IF(OR(I.Developer.P3=FALSE,I.Facility.StandardPart&lt;&gt;"Part 2"),"Complete",IF(I.Product.P3GasToPower="No","Complete",IF(AND(I.Gas.P3Count&gt;=9,F1626=""),"Incomplete","Complete")))</f>
        <v>Complete</v>
      </c>
      <c r="I1626" s="39" t="s">
        <v>1845</v>
      </c>
    </row>
    <row r="1627" spans="2:9" ht="15" customHeight="1" x14ac:dyDescent="0.25">
      <c r="B1627" s="37" t="s">
        <v>1836</v>
      </c>
      <c r="C1627" s="26">
        <v>10</v>
      </c>
      <c r="D1627" s="38" t="s">
        <v>2705</v>
      </c>
      <c r="E1627" s="59"/>
      <c r="F1627" s="59" t="str">
        <f>IF(INDEX(I.Gas.P3C1V1,10)="","",INDEX(I.Gas.P3C1V1,10))</f>
        <v/>
      </c>
      <c r="G1627" s="59"/>
      <c r="H1627" s="26" t="str">
        <f>IF(OR(I.Developer.P3=FALSE,I.Facility.StandardPart&lt;&gt;"Part 2"),"Complete",IF(I.Product.P3GasToPower="No","Complete",IF(AND(I.Gas.P3Count&gt;=10,F1627=""),"Incomplete","Complete")))</f>
        <v>Complete</v>
      </c>
      <c r="I1627" s="39" t="s">
        <v>1846</v>
      </c>
    </row>
    <row r="1628" spans="2:9" ht="15" customHeight="1" x14ac:dyDescent="0.25">
      <c r="B1628" s="37" t="s">
        <v>1836</v>
      </c>
      <c r="C1628" s="26">
        <v>11</v>
      </c>
      <c r="D1628" s="38" t="s">
        <v>2705</v>
      </c>
      <c r="E1628" s="59"/>
      <c r="F1628" s="59" t="str">
        <f>IF(INDEX(I.Gas.P3C1V1,11)="","",INDEX(I.Gas.P3C1V1,11))</f>
        <v/>
      </c>
      <c r="G1628" s="59"/>
      <c r="H1628" s="26" t="str">
        <f>IF(OR(I.Developer.P3=FALSE,I.Facility.StandardPart&lt;&gt;"Part 2"),"Complete",IF(I.Product.P3GasToPower="No","Complete",IF(AND(I.Gas.P3Count&gt;=11,F1628=""),"Incomplete","Complete")))</f>
        <v>Complete</v>
      </c>
      <c r="I1628" s="39" t="s">
        <v>1847</v>
      </c>
    </row>
    <row r="1629" spans="2:9" ht="15" customHeight="1" x14ac:dyDescent="0.25">
      <c r="B1629" s="37" t="s">
        <v>1836</v>
      </c>
      <c r="C1629" s="26">
        <v>12</v>
      </c>
      <c r="D1629" s="38" t="s">
        <v>2705</v>
      </c>
      <c r="E1629" s="59"/>
      <c r="F1629" s="59" t="str">
        <f>IF(INDEX(I.Gas.P3C1V1,12)="","",INDEX(I.Gas.P3C1V1,12))</f>
        <v/>
      </c>
      <c r="G1629" s="59"/>
      <c r="H1629" s="26" t="str">
        <f>IF(OR(I.Developer.P3=FALSE,I.Facility.StandardPart&lt;&gt;"Part 2"),"Complete",IF(I.Product.P3GasToPower="No","Complete",IF(AND(I.Gas.P3Count&gt;=12,F1629=""),"Incomplete","Complete")))</f>
        <v>Complete</v>
      </c>
      <c r="I1629" s="39" t="s">
        <v>1848</v>
      </c>
    </row>
    <row r="1630" spans="2:9" ht="15" customHeight="1" x14ac:dyDescent="0.25">
      <c r="B1630" s="37" t="s">
        <v>1836</v>
      </c>
      <c r="C1630" s="26">
        <v>13</v>
      </c>
      <c r="D1630" s="38" t="s">
        <v>2705</v>
      </c>
      <c r="E1630" s="59"/>
      <c r="F1630" s="59" t="str">
        <f>IF(INDEX(I.Gas.P3C1V1,13)="","",INDEX(I.Gas.P3C1V1,13))</f>
        <v/>
      </c>
      <c r="G1630" s="59"/>
      <c r="H1630" s="26" t="str">
        <f>IF(OR(I.Developer.P3=FALSE,I.Facility.StandardPart&lt;&gt;"Part 2"),"Complete",IF(I.Product.P3GasToPower="No","Complete",IF(AND(I.Gas.P3Count&gt;=13,F1630=""),"Incomplete","Complete")))</f>
        <v>Complete</v>
      </c>
      <c r="I1630" s="39" t="s">
        <v>1849</v>
      </c>
    </row>
    <row r="1631" spans="2:9" ht="15" customHeight="1" x14ac:dyDescent="0.25">
      <c r="B1631" s="37" t="s">
        <v>1836</v>
      </c>
      <c r="C1631" s="26">
        <v>14</v>
      </c>
      <c r="D1631" s="38" t="s">
        <v>2705</v>
      </c>
      <c r="E1631" s="59"/>
      <c r="F1631" s="59" t="str">
        <f>IF(INDEX(I.Gas.P3C1V1,14)="","",INDEX(I.Gas.P3C1V1,14))</f>
        <v/>
      </c>
      <c r="G1631" s="59"/>
      <c r="H1631" s="26" t="str">
        <f>IF(OR(I.Developer.P3=FALSE,I.Facility.StandardPart&lt;&gt;"Part 2"),"Complete",IF(I.Product.P3GasToPower="No","Complete",IF(AND(I.Gas.P3Count&gt;=14,F1631=""),"Incomplete","Complete")))</f>
        <v>Complete</v>
      </c>
      <c r="I1631" s="39" t="s">
        <v>1850</v>
      </c>
    </row>
    <row r="1632" spans="2:9" ht="15" customHeight="1" x14ac:dyDescent="0.25">
      <c r="B1632" s="37" t="s">
        <v>1836</v>
      </c>
      <c r="C1632" s="26">
        <v>15</v>
      </c>
      <c r="D1632" s="38" t="s">
        <v>2705</v>
      </c>
      <c r="E1632" s="59"/>
      <c r="F1632" s="59" t="str">
        <f>IF(INDEX(I.Gas.P3C1V1,15)="","",INDEX(I.Gas.P3C1V1,15))</f>
        <v/>
      </c>
      <c r="G1632" s="59"/>
      <c r="H1632" s="26" t="str">
        <f>IF(OR(I.Developer.P3=FALSE,I.Facility.StandardPart&lt;&gt;"Part 2"),"Complete",IF(I.Product.P3GasToPower="No","Complete",IF(AND(I.Gas.P3Count&gt;=15,F1632=""),"Incomplete","Complete")))</f>
        <v>Complete</v>
      </c>
      <c r="I1632" s="39" t="s">
        <v>1851</v>
      </c>
    </row>
    <row r="1633" spans="2:9" ht="15" customHeight="1" x14ac:dyDescent="0.25">
      <c r="B1633" s="37" t="s">
        <v>1836</v>
      </c>
      <c r="C1633" s="26">
        <v>16</v>
      </c>
      <c r="D1633" s="38" t="s">
        <v>2705</v>
      </c>
      <c r="E1633" s="59"/>
      <c r="F1633" s="59" t="str">
        <f>IF(INDEX(I.Gas.P3C1V1,16)="","",INDEX(I.Gas.P3C1V1,16))</f>
        <v/>
      </c>
      <c r="G1633" s="59"/>
      <c r="H1633" s="26" t="str">
        <f>IF(OR(I.Developer.P3=FALSE,I.Facility.StandardPart&lt;&gt;"Part 2"),"Complete",IF(I.Product.P3GasToPower="No","Complete",IF(AND(I.Gas.P3Count&gt;=16,F1633=""),"Incomplete","Complete")))</f>
        <v>Complete</v>
      </c>
      <c r="I1633" s="39" t="s">
        <v>1852</v>
      </c>
    </row>
    <row r="1634" spans="2:9" ht="15" customHeight="1" x14ac:dyDescent="0.25">
      <c r="B1634" s="37" t="s">
        <v>1836</v>
      </c>
      <c r="C1634" s="26">
        <v>17</v>
      </c>
      <c r="D1634" s="38" t="s">
        <v>2705</v>
      </c>
      <c r="E1634" s="59"/>
      <c r="F1634" s="59" t="str">
        <f>IF(INDEX(I.Gas.P3C1V1,17)="","",INDEX(I.Gas.P3C1V1,17))</f>
        <v/>
      </c>
      <c r="G1634" s="59"/>
      <c r="H1634" s="26" t="str">
        <f>IF(OR(I.Developer.P3=FALSE,I.Facility.StandardPart&lt;&gt;"Part 2"),"Complete",IF(I.Product.P3GasToPower="No","Complete",IF(AND(I.Gas.P3Count&gt;=17,F1634=""),"Incomplete","Complete")))</f>
        <v>Complete</v>
      </c>
      <c r="I1634" s="39" t="s">
        <v>1853</v>
      </c>
    </row>
    <row r="1635" spans="2:9" ht="15" customHeight="1" x14ac:dyDescent="0.25">
      <c r="B1635" s="37" t="s">
        <v>1836</v>
      </c>
      <c r="C1635" s="26">
        <v>18</v>
      </c>
      <c r="D1635" s="38" t="s">
        <v>2705</v>
      </c>
      <c r="E1635" s="59"/>
      <c r="F1635" s="59" t="str">
        <f>IF(INDEX(I.Gas.P3C1V1,18)="","",INDEX(I.Gas.P3C1V1,18))</f>
        <v/>
      </c>
      <c r="G1635" s="59"/>
      <c r="H1635" s="26" t="str">
        <f>IF(OR(I.Developer.P3=FALSE,I.Facility.StandardPart&lt;&gt;"Part 2"),"Complete",IF(I.Product.P3GasToPower="No","Complete",IF(AND(I.Gas.P3Count&gt;=18,F1635=""),"Incomplete","Complete")))</f>
        <v>Complete</v>
      </c>
      <c r="I1635" s="39" t="s">
        <v>1854</v>
      </c>
    </row>
    <row r="1636" spans="2:9" ht="15" customHeight="1" x14ac:dyDescent="0.25">
      <c r="B1636" s="37" t="s">
        <v>1836</v>
      </c>
      <c r="C1636" s="26">
        <v>19</v>
      </c>
      <c r="D1636" s="38" t="s">
        <v>2705</v>
      </c>
      <c r="E1636" s="59"/>
      <c r="F1636" s="59" t="str">
        <f>IF(INDEX(I.Gas.P3C1V1,19)="","",INDEX(I.Gas.P3C1V1,19))</f>
        <v/>
      </c>
      <c r="G1636" s="59"/>
      <c r="H1636" s="26" t="str">
        <f>IF(OR(I.Developer.P3=FALSE,I.Facility.StandardPart&lt;&gt;"Part 2"),"Complete",IF(I.Product.P3GasToPower="No","Complete",IF(AND(I.Gas.P3Count&gt;=19,F1636=""),"Incomplete","Complete")))</f>
        <v>Complete</v>
      </c>
      <c r="I1636" s="39" t="s">
        <v>1855</v>
      </c>
    </row>
    <row r="1637" spans="2:9" ht="15" customHeight="1" x14ac:dyDescent="0.25">
      <c r="B1637" s="37" t="s">
        <v>1836</v>
      </c>
      <c r="C1637" s="26">
        <v>20</v>
      </c>
      <c r="D1637" s="38" t="s">
        <v>2705</v>
      </c>
      <c r="E1637" s="59"/>
      <c r="F1637" s="59" t="str">
        <f>IF(INDEX(I.Gas.P3C1V1,20)="","",INDEX(I.Gas.P3C1V1,20))</f>
        <v/>
      </c>
      <c r="G1637" s="59"/>
      <c r="H1637" s="26" t="str">
        <f>IF(OR(I.Developer.P3=FALSE,I.Facility.StandardPart&lt;&gt;"Part 2"),"Complete",IF(I.Product.P3GasToPower="No","Complete",IF(AND(I.Gas.P3Count&gt;=20,F1637=""),"Incomplete","Complete")))</f>
        <v>Complete</v>
      </c>
      <c r="I1637" s="39" t="s">
        <v>1856</v>
      </c>
    </row>
    <row r="1638" spans="2:9" ht="15" customHeight="1" x14ac:dyDescent="0.25">
      <c r="B1638" s="37" t="s">
        <v>1836</v>
      </c>
      <c r="C1638" s="26">
        <v>21</v>
      </c>
      <c r="D1638" s="38" t="s">
        <v>2705</v>
      </c>
      <c r="E1638" s="59"/>
      <c r="F1638" s="59" t="str">
        <f>IF(INDEX(I.Gas.P3C1V1,21)="","",INDEX(I.Gas.P3C1V1,21))</f>
        <v/>
      </c>
      <c r="G1638" s="59"/>
      <c r="H1638" s="26" t="str">
        <f>IF(OR(I.Developer.P3=FALSE,I.Facility.StandardPart&lt;&gt;"Part 2"),"Complete",IF(I.Product.P3GasToPower="No","Complete",IF(AND(I.Gas.P3Count&gt;=21,F1638=""),"Incomplete","Complete")))</f>
        <v>Complete</v>
      </c>
      <c r="I1638" s="39" t="s">
        <v>1857</v>
      </c>
    </row>
    <row r="1639" spans="2:9" ht="15" customHeight="1" x14ac:dyDescent="0.25">
      <c r="B1639" s="37" t="s">
        <v>1836</v>
      </c>
      <c r="C1639" s="26">
        <v>22</v>
      </c>
      <c r="D1639" s="38" t="s">
        <v>2705</v>
      </c>
      <c r="E1639" s="59"/>
      <c r="F1639" s="59" t="str">
        <f>IF(INDEX(I.Gas.P3C1V1,22)="","",INDEX(I.Gas.P3C1V1,22))</f>
        <v/>
      </c>
      <c r="G1639" s="59"/>
      <c r="H1639" s="26" t="str">
        <f>IF(OR(I.Developer.P3=FALSE,I.Facility.StandardPart&lt;&gt;"Part 2"),"Complete",IF(I.Product.P3GasToPower="No","Complete",IF(AND(I.Gas.P3Count&gt;=22,F1639=""),"Incomplete","Complete")))</f>
        <v>Complete</v>
      </c>
      <c r="I1639" s="39" t="s">
        <v>1858</v>
      </c>
    </row>
    <row r="1640" spans="2:9" ht="15" customHeight="1" x14ac:dyDescent="0.25">
      <c r="B1640" s="37" t="s">
        <v>1836</v>
      </c>
      <c r="C1640" s="26">
        <v>23</v>
      </c>
      <c r="D1640" s="38" t="s">
        <v>2705</v>
      </c>
      <c r="E1640" s="59"/>
      <c r="F1640" s="59" t="str">
        <f>IF(INDEX(I.Gas.P3C1V1,23)="","",INDEX(I.Gas.P3C1V1,23))</f>
        <v/>
      </c>
      <c r="G1640" s="59"/>
      <c r="H1640" s="26" t="str">
        <f>IF(OR(I.Developer.P3=FALSE,I.Facility.StandardPart&lt;&gt;"Part 2"),"Complete",IF(I.Product.P3GasToPower="No","Complete",IF(AND(I.Gas.P3Count&gt;=23,F1640=""),"Incomplete","Complete")))</f>
        <v>Complete</v>
      </c>
      <c r="I1640" s="39" t="s">
        <v>1859</v>
      </c>
    </row>
    <row r="1641" spans="2:9" ht="15" customHeight="1" x14ac:dyDescent="0.25">
      <c r="B1641" s="37" t="s">
        <v>1836</v>
      </c>
      <c r="C1641" s="26">
        <v>24</v>
      </c>
      <c r="D1641" s="38" t="s">
        <v>2705</v>
      </c>
      <c r="E1641" s="59"/>
      <c r="F1641" s="59" t="str">
        <f>IF(INDEX(I.Gas.P3C1V1,24)="","",INDEX(I.Gas.P3C1V1,24))</f>
        <v/>
      </c>
      <c r="G1641" s="59"/>
      <c r="H1641" s="26" t="str">
        <f>IF(OR(I.Developer.P3=FALSE,I.Facility.StandardPart&lt;&gt;"Part 2"),"Complete",IF(I.Product.P3GasToPower="No","Complete",IF(AND(I.Gas.P3Count&gt;=24,F1641=""),"Incomplete","Complete")))</f>
        <v>Complete</v>
      </c>
      <c r="I1641" s="39" t="s">
        <v>1860</v>
      </c>
    </row>
    <row r="1642" spans="2:9" ht="15" customHeight="1" x14ac:dyDescent="0.25">
      <c r="B1642" s="37" t="s">
        <v>1836</v>
      </c>
      <c r="C1642" s="26">
        <v>25</v>
      </c>
      <c r="D1642" s="38" t="s">
        <v>2705</v>
      </c>
      <c r="E1642" s="59"/>
      <c r="F1642" s="59" t="str">
        <f>IF(INDEX(I.Gas.P3C1V1,25)="","",INDEX(I.Gas.P3C1V1,25))</f>
        <v/>
      </c>
      <c r="G1642" s="59"/>
      <c r="H1642" s="26" t="str">
        <f>IF(OR(I.Developer.P3=FALSE,I.Facility.StandardPart&lt;&gt;"Part 2"),"Complete",IF(I.Product.P3GasToPower="No","Complete",IF(AND(I.Gas.P3Count&gt;=25,F1642=""),"Incomplete","Complete")))</f>
        <v>Complete</v>
      </c>
      <c r="I1642" s="39" t="s">
        <v>1861</v>
      </c>
    </row>
    <row r="1643" spans="2:9" ht="15" customHeight="1" x14ac:dyDescent="0.25">
      <c r="B1643" s="37" t="s">
        <v>1836</v>
      </c>
      <c r="C1643" s="26">
        <v>26</v>
      </c>
      <c r="D1643" s="38" t="s">
        <v>2705</v>
      </c>
      <c r="E1643" s="59"/>
      <c r="F1643" s="59" t="str">
        <f>IF(INDEX(I.Gas.P3C1V1,26)="","",INDEX(I.Gas.P3C1V1,26))</f>
        <v/>
      </c>
      <c r="G1643" s="59"/>
      <c r="H1643" s="26" t="str">
        <f>IF(OR(I.Developer.P3=FALSE,I.Facility.StandardPart&lt;&gt;"Part 2"),"Complete",IF(I.Product.P3GasToPower="No","Complete",IF(AND(I.Gas.P3Count&gt;=26,F1643=""),"Incomplete","Complete")))</f>
        <v>Complete</v>
      </c>
      <c r="I1643" s="39" t="s">
        <v>1862</v>
      </c>
    </row>
    <row r="1644" spans="2:9" ht="15" customHeight="1" x14ac:dyDescent="0.25">
      <c r="B1644" s="37" t="s">
        <v>1836</v>
      </c>
      <c r="C1644" s="26">
        <v>27</v>
      </c>
      <c r="D1644" s="38" t="s">
        <v>2705</v>
      </c>
      <c r="E1644" s="59"/>
      <c r="F1644" s="59" t="str">
        <f>IF(INDEX(I.Gas.P3C1V1,27)="","",INDEX(I.Gas.P3C1V1,27))</f>
        <v/>
      </c>
      <c r="G1644" s="59"/>
      <c r="H1644" s="26" t="str">
        <f>IF(OR(I.Developer.P3=FALSE,I.Facility.StandardPart&lt;&gt;"Part 2"),"Complete",IF(I.Product.P3GasToPower="No","Complete",IF(AND(I.Gas.P3Count&gt;=27,F1644=""),"Incomplete","Complete")))</f>
        <v>Complete</v>
      </c>
      <c r="I1644" s="39" t="s">
        <v>1863</v>
      </c>
    </row>
    <row r="1645" spans="2:9" ht="15" customHeight="1" x14ac:dyDescent="0.25">
      <c r="B1645" s="37" t="s">
        <v>1836</v>
      </c>
      <c r="C1645" s="26">
        <v>28</v>
      </c>
      <c r="D1645" s="38" t="s">
        <v>2705</v>
      </c>
      <c r="E1645" s="59"/>
      <c r="F1645" s="59" t="str">
        <f>IF(INDEX(I.Gas.P3C1V1,28)="","",INDEX(I.Gas.P3C1V1,28))</f>
        <v/>
      </c>
      <c r="G1645" s="59"/>
      <c r="H1645" s="26" t="str">
        <f>IF(OR(I.Developer.P3=FALSE,I.Facility.StandardPart&lt;&gt;"Part 2"),"Complete",IF(I.Product.P3GasToPower="No","Complete",IF(AND(I.Gas.P3Count&gt;=28,F1645=""),"Incomplete","Complete")))</f>
        <v>Complete</v>
      </c>
      <c r="I1645" s="39" t="s">
        <v>1864</v>
      </c>
    </row>
    <row r="1646" spans="2:9" ht="15" customHeight="1" x14ac:dyDescent="0.25">
      <c r="B1646" s="37" t="s">
        <v>1836</v>
      </c>
      <c r="C1646" s="26">
        <v>29</v>
      </c>
      <c r="D1646" s="38" t="s">
        <v>2705</v>
      </c>
      <c r="E1646" s="59"/>
      <c r="F1646" s="59" t="str">
        <f>IF(INDEX(I.Gas.P3C1V1,29)="","",INDEX(I.Gas.P3C1V1,29))</f>
        <v/>
      </c>
      <c r="G1646" s="59"/>
      <c r="H1646" s="26" t="str">
        <f>IF(OR(I.Developer.P3=FALSE,I.Facility.StandardPart&lt;&gt;"Part 2"),"Complete",IF(I.Product.P3GasToPower="No","Complete",IF(AND(I.Gas.P3Count&gt;=29,F1646=""),"Incomplete","Complete")))</f>
        <v>Complete</v>
      </c>
      <c r="I1646" s="39" t="s">
        <v>1865</v>
      </c>
    </row>
    <row r="1647" spans="2:9" ht="15" customHeight="1" x14ac:dyDescent="0.25">
      <c r="B1647" s="37" t="s">
        <v>1836</v>
      </c>
      <c r="C1647" s="26">
        <v>30</v>
      </c>
      <c r="D1647" s="38" t="s">
        <v>2705</v>
      </c>
      <c r="E1647" s="59"/>
      <c r="F1647" s="59" t="str">
        <f>IF(INDEX(I.Gas.P3C1V1,30)="","",INDEX(I.Gas.P3C1V1,30))</f>
        <v/>
      </c>
      <c r="G1647" s="59"/>
      <c r="H1647" s="26" t="str">
        <f>IF(OR(I.Developer.P3=FALSE,I.Facility.StandardPart&lt;&gt;"Part 2"),"Complete",IF(I.Product.P3GasToPower="No","Complete",IF(AND(I.Gas.P3Count&gt;=30,F1647=""),"Incomplete","Complete")))</f>
        <v>Complete</v>
      </c>
      <c r="I1647" s="39" t="s">
        <v>1866</v>
      </c>
    </row>
    <row r="1648" spans="2:9" ht="15" customHeight="1" x14ac:dyDescent="0.25">
      <c r="B1648" s="37" t="s">
        <v>1836</v>
      </c>
      <c r="C1648" s="26">
        <v>31</v>
      </c>
      <c r="D1648" s="38" t="s">
        <v>2705</v>
      </c>
      <c r="E1648" s="59"/>
      <c r="F1648" s="59" t="str">
        <f>IF(INDEX(I.Gas.P3C1V1,31)="","",INDEX(I.Gas.P3C1V1,31))</f>
        <v/>
      </c>
      <c r="G1648" s="59"/>
      <c r="H1648" s="26" t="str">
        <f>IF(OR(I.Developer.P3=FALSE,I.Facility.StandardPart&lt;&gt;"Part 2"),"Complete",IF(I.Product.P3GasToPower="No","Complete",IF(AND(I.Gas.P3Count&gt;=31,F1648=""),"Incomplete","Complete")))</f>
        <v>Complete</v>
      </c>
      <c r="I1648" s="39" t="s">
        <v>1867</v>
      </c>
    </row>
    <row r="1649" spans="2:9" ht="15" customHeight="1" x14ac:dyDescent="0.25">
      <c r="B1649" s="37" t="s">
        <v>1836</v>
      </c>
      <c r="C1649" s="26">
        <v>32</v>
      </c>
      <c r="D1649" s="38" t="s">
        <v>2705</v>
      </c>
      <c r="E1649" s="59"/>
      <c r="F1649" s="59" t="str">
        <f>IF(INDEX(I.Gas.P3C1V1,32)="","",INDEX(I.Gas.P3C1V1,32))</f>
        <v/>
      </c>
      <c r="G1649" s="59"/>
      <c r="H1649" s="26" t="str">
        <f>IF(OR(I.Developer.P3=FALSE,I.Facility.StandardPart&lt;&gt;"Part 2"),"Complete",IF(I.Product.P3GasToPower="No","Complete",IF(AND(I.Gas.P3Count&gt;=32,F1649=""),"Incomplete","Complete")))</f>
        <v>Complete</v>
      </c>
      <c r="I1649" s="39" t="s">
        <v>1868</v>
      </c>
    </row>
    <row r="1650" spans="2:9" ht="15" customHeight="1" x14ac:dyDescent="0.25">
      <c r="B1650" s="37" t="s">
        <v>1836</v>
      </c>
      <c r="C1650" s="26">
        <v>33</v>
      </c>
      <c r="D1650" s="38" t="s">
        <v>2705</v>
      </c>
      <c r="E1650" s="59"/>
      <c r="F1650" s="59" t="str">
        <f>IF(INDEX(I.Gas.P3C1V1,33)="","",INDEX(I.Gas.P3C1V1,33))</f>
        <v/>
      </c>
      <c r="G1650" s="59"/>
      <c r="H1650" s="26" t="str">
        <f>IF(OR(I.Developer.P3=FALSE,I.Facility.StandardPart&lt;&gt;"Part 2"),"Complete",IF(I.Product.P3GasToPower="No","Complete",IF(AND(I.Gas.P3Count&gt;=33,F1650=""),"Incomplete","Complete")))</f>
        <v>Complete</v>
      </c>
      <c r="I1650" s="39" t="s">
        <v>1869</v>
      </c>
    </row>
    <row r="1651" spans="2:9" ht="15" customHeight="1" x14ac:dyDescent="0.25">
      <c r="B1651" s="37" t="s">
        <v>1836</v>
      </c>
      <c r="C1651" s="26">
        <v>34</v>
      </c>
      <c r="D1651" s="38" t="s">
        <v>2705</v>
      </c>
      <c r="E1651" s="59"/>
      <c r="F1651" s="59" t="str">
        <f>IF(INDEX(I.Gas.P3C1V1,34)="","",INDEX(I.Gas.P3C1V1,34))</f>
        <v/>
      </c>
      <c r="G1651" s="59"/>
      <c r="H1651" s="26" t="str">
        <f>IF(OR(I.Developer.P3=FALSE,I.Facility.StandardPart&lt;&gt;"Part 2"),"Complete",IF(I.Product.P3GasToPower="No","Complete",IF(AND(I.Gas.P3Count&gt;=34,F1651=""),"Incomplete","Complete")))</f>
        <v>Complete</v>
      </c>
      <c r="I1651" s="39" t="s">
        <v>1870</v>
      </c>
    </row>
    <row r="1652" spans="2:9" ht="15" customHeight="1" x14ac:dyDescent="0.25">
      <c r="B1652" s="37" t="s">
        <v>1836</v>
      </c>
      <c r="C1652" s="26">
        <v>35</v>
      </c>
      <c r="D1652" s="38" t="s">
        <v>2705</v>
      </c>
      <c r="E1652" s="59"/>
      <c r="F1652" s="59" t="str">
        <f>IF(INDEX(I.Gas.P3C1V1,35)="","",INDEX(I.Gas.P3C1V1,35))</f>
        <v/>
      </c>
      <c r="G1652" s="59"/>
      <c r="H1652" s="26" t="str">
        <f>IF(OR(I.Developer.P3=FALSE,I.Facility.StandardPart&lt;&gt;"Part 2"),"Complete",IF(I.Product.P3GasToPower="No","Complete",IF(AND(I.Gas.P3Count&gt;=35,F1652=""),"Incomplete","Complete")))</f>
        <v>Complete</v>
      </c>
      <c r="I1652" s="39" t="s">
        <v>1871</v>
      </c>
    </row>
    <row r="1653" spans="2:9" ht="15" customHeight="1" x14ac:dyDescent="0.25">
      <c r="B1653" s="37" t="s">
        <v>1836</v>
      </c>
      <c r="C1653" s="26">
        <v>36</v>
      </c>
      <c r="D1653" s="38" t="s">
        <v>2705</v>
      </c>
      <c r="E1653" s="59"/>
      <c r="F1653" s="59" t="str">
        <f>IF(INDEX(I.Gas.P3C1V1,36)="","",INDEX(I.Gas.P3C1V1,36))</f>
        <v/>
      </c>
      <c r="G1653" s="59"/>
      <c r="H1653" s="26" t="str">
        <f>IF(OR(I.Developer.P3=FALSE,I.Facility.StandardPart&lt;&gt;"Part 2"),"Complete",IF(I.Product.P3GasToPower="No","Complete",IF(AND(I.Gas.P3Count&gt;=36,F1653=""),"Incomplete","Complete")))</f>
        <v>Complete</v>
      </c>
      <c r="I1653" s="39" t="s">
        <v>1872</v>
      </c>
    </row>
    <row r="1654" spans="2:9" ht="15" customHeight="1" x14ac:dyDescent="0.25">
      <c r="B1654" s="37" t="s">
        <v>1836</v>
      </c>
      <c r="C1654" s="26">
        <v>37</v>
      </c>
      <c r="D1654" s="38" t="s">
        <v>2705</v>
      </c>
      <c r="E1654" s="59"/>
      <c r="F1654" s="59" t="str">
        <f>IF(INDEX(I.Gas.P3C1V1,37)="","",INDEX(I.Gas.P3C1V1,37))</f>
        <v/>
      </c>
      <c r="G1654" s="59"/>
      <c r="H1654" s="26" t="str">
        <f>IF(OR(I.Developer.P3=FALSE,I.Facility.StandardPart&lt;&gt;"Part 2"),"Complete",IF(I.Product.P3GasToPower="No","Complete",IF(AND(I.Gas.P3Count&gt;=37,F1654=""),"Incomplete","Complete")))</f>
        <v>Complete</v>
      </c>
      <c r="I1654" s="39" t="s">
        <v>1873</v>
      </c>
    </row>
    <row r="1655" spans="2:9" ht="15" customHeight="1" x14ac:dyDescent="0.25">
      <c r="B1655" s="37" t="s">
        <v>1836</v>
      </c>
      <c r="C1655" s="26">
        <v>38</v>
      </c>
      <c r="D1655" s="38" t="s">
        <v>2705</v>
      </c>
      <c r="E1655" s="59"/>
      <c r="F1655" s="59" t="str">
        <f>IF(INDEX(I.Gas.P3C1V1,38)="","",INDEX(I.Gas.P3C1V1,38))</f>
        <v/>
      </c>
      <c r="G1655" s="59"/>
      <c r="H1655" s="26" t="str">
        <f>IF(OR(I.Developer.P3=FALSE,I.Facility.StandardPart&lt;&gt;"Part 2"),"Complete",IF(I.Product.P3GasToPower="No","Complete",IF(AND(I.Gas.P3Count&gt;=38,F1655=""),"Incomplete","Complete")))</f>
        <v>Complete</v>
      </c>
      <c r="I1655" s="39" t="s">
        <v>1874</v>
      </c>
    </row>
    <row r="1656" spans="2:9" ht="15" customHeight="1" x14ac:dyDescent="0.25">
      <c r="B1656" s="37" t="s">
        <v>1836</v>
      </c>
      <c r="C1656" s="26">
        <v>39</v>
      </c>
      <c r="D1656" s="38" t="s">
        <v>2705</v>
      </c>
      <c r="E1656" s="59"/>
      <c r="F1656" s="59" t="str">
        <f>IF(INDEX(I.Gas.P3C1V1,39)="","",INDEX(I.Gas.P3C1V1,39))</f>
        <v/>
      </c>
      <c r="G1656" s="59"/>
      <c r="H1656" s="26" t="str">
        <f>IF(OR(I.Developer.P3=FALSE,I.Facility.StandardPart&lt;&gt;"Part 2"),"Complete",IF(I.Product.P3GasToPower="No","Complete",IF(AND(I.Gas.P3Count&gt;=39,F1656=""),"Incomplete","Complete")))</f>
        <v>Complete</v>
      </c>
      <c r="I1656" s="39" t="s">
        <v>1875</v>
      </c>
    </row>
    <row r="1657" spans="2:9" ht="15" customHeight="1" x14ac:dyDescent="0.25">
      <c r="B1657" s="37" t="s">
        <v>1836</v>
      </c>
      <c r="C1657" s="26">
        <v>40</v>
      </c>
      <c r="D1657" s="38" t="s">
        <v>2705</v>
      </c>
      <c r="E1657" s="59"/>
      <c r="F1657" s="59" t="str">
        <f>IF(INDEX(I.Gas.P3C1V1,40)="","",INDEX(I.Gas.P3C1V1,40))</f>
        <v/>
      </c>
      <c r="G1657" s="59"/>
      <c r="H1657" s="26" t="str">
        <f>IF(OR(I.Developer.P3=FALSE,I.Facility.StandardPart&lt;&gt;"Part 2"),"Complete",IF(I.Product.P3GasToPower="No","Complete",IF(AND(I.Gas.P3Count&gt;=40,F1657=""),"Incomplete","Complete")))</f>
        <v>Complete</v>
      </c>
      <c r="I1657" s="39" t="s">
        <v>1876</v>
      </c>
    </row>
    <row r="1658" spans="2:9" ht="15" customHeight="1" x14ac:dyDescent="0.25">
      <c r="B1658" s="37" t="s">
        <v>1836</v>
      </c>
      <c r="C1658" s="26">
        <v>41</v>
      </c>
      <c r="D1658" s="38" t="s">
        <v>2705</v>
      </c>
      <c r="E1658" s="59"/>
      <c r="F1658" s="59" t="str">
        <f>IF(INDEX(I.Gas.P3C1V1,41)="","",INDEX(I.Gas.P3C1V1,41))</f>
        <v/>
      </c>
      <c r="G1658" s="59"/>
      <c r="H1658" s="26" t="str">
        <f>IF(OR(I.Developer.P3=FALSE,I.Facility.StandardPart&lt;&gt;"Part 2"),"Complete",IF(I.Product.P3GasToPower="No","Complete",IF(AND(I.Gas.P3Count&gt;=41,F1658=""),"Incomplete","Complete")))</f>
        <v>Complete</v>
      </c>
      <c r="I1658" s="39" t="s">
        <v>1877</v>
      </c>
    </row>
    <row r="1659" spans="2:9" ht="15" customHeight="1" x14ac:dyDescent="0.25">
      <c r="B1659" s="37" t="s">
        <v>1836</v>
      </c>
      <c r="C1659" s="26">
        <v>42</v>
      </c>
      <c r="D1659" s="38" t="s">
        <v>2705</v>
      </c>
      <c r="E1659" s="59"/>
      <c r="F1659" s="59" t="str">
        <f>IF(INDEX(I.Gas.P3C1V1,42)="","",INDEX(I.Gas.P3C1V1,42))</f>
        <v/>
      </c>
      <c r="G1659" s="59"/>
      <c r="H1659" s="26" t="str">
        <f>IF(OR(I.Developer.P3=FALSE,I.Facility.StandardPart&lt;&gt;"Part 2"),"Complete",IF(I.Product.P3GasToPower="No","Complete",IF(AND(I.Gas.P3Count&gt;=42,F1659=""),"Incomplete","Complete")))</f>
        <v>Complete</v>
      </c>
      <c r="I1659" s="39" t="s">
        <v>1878</v>
      </c>
    </row>
    <row r="1660" spans="2:9" ht="15" customHeight="1" x14ac:dyDescent="0.25">
      <c r="B1660" s="37" t="s">
        <v>1836</v>
      </c>
      <c r="C1660" s="26">
        <v>43</v>
      </c>
      <c r="D1660" s="38" t="s">
        <v>2705</v>
      </c>
      <c r="E1660" s="59"/>
      <c r="F1660" s="59" t="str">
        <f>IF(INDEX(I.Gas.P3C1V1,43)="","",INDEX(I.Gas.P3C1V1,43))</f>
        <v/>
      </c>
      <c r="G1660" s="59"/>
      <c r="H1660" s="26" t="str">
        <f>IF(OR(I.Developer.P3=FALSE,I.Facility.StandardPart&lt;&gt;"Part 2"),"Complete",IF(I.Product.P3GasToPower="No","Complete",IF(AND(I.Gas.P3Count&gt;=43,F1660=""),"Incomplete","Complete")))</f>
        <v>Complete</v>
      </c>
      <c r="I1660" s="39" t="s">
        <v>1879</v>
      </c>
    </row>
    <row r="1661" spans="2:9" ht="15" customHeight="1" x14ac:dyDescent="0.25">
      <c r="B1661" s="37" t="s">
        <v>1836</v>
      </c>
      <c r="C1661" s="26">
        <v>44</v>
      </c>
      <c r="D1661" s="38" t="s">
        <v>2705</v>
      </c>
      <c r="E1661" s="59"/>
      <c r="F1661" s="59" t="str">
        <f>IF(INDEX(I.Gas.P3C1V1,44)="","",INDEX(I.Gas.P3C1V1,44))</f>
        <v/>
      </c>
      <c r="G1661" s="59"/>
      <c r="H1661" s="26" t="str">
        <f>IF(OR(I.Developer.P3=FALSE,I.Facility.StandardPart&lt;&gt;"Part 2"),"Complete",IF(I.Product.P3GasToPower="No","Complete",IF(AND(I.Gas.P3Count&gt;=44,F1661=""),"Incomplete","Complete")))</f>
        <v>Complete</v>
      </c>
      <c r="I1661" s="39" t="s">
        <v>1880</v>
      </c>
    </row>
    <row r="1662" spans="2:9" ht="15" customHeight="1" x14ac:dyDescent="0.25">
      <c r="B1662" s="37" t="s">
        <v>1836</v>
      </c>
      <c r="C1662" s="26">
        <v>45</v>
      </c>
      <c r="D1662" s="38" t="s">
        <v>2705</v>
      </c>
      <c r="E1662" s="59"/>
      <c r="F1662" s="59" t="str">
        <f>IF(INDEX(I.Gas.P3C1V1,45)="","",INDEX(I.Gas.P3C1V1,45))</f>
        <v/>
      </c>
      <c r="G1662" s="59"/>
      <c r="H1662" s="26" t="str">
        <f>IF(OR(I.Developer.P3=FALSE,I.Facility.StandardPart&lt;&gt;"Part 2"),"Complete",IF(I.Product.P3GasToPower="No","Complete",IF(AND(I.Gas.P3Count&gt;=45,F1662=""),"Incomplete","Complete")))</f>
        <v>Complete</v>
      </c>
      <c r="I1662" s="39" t="s">
        <v>1881</v>
      </c>
    </row>
    <row r="1663" spans="2:9" ht="15" customHeight="1" x14ac:dyDescent="0.25">
      <c r="B1663" s="37" t="s">
        <v>1836</v>
      </c>
      <c r="C1663" s="26">
        <v>46</v>
      </c>
      <c r="D1663" s="38" t="s">
        <v>2705</v>
      </c>
      <c r="E1663" s="59"/>
      <c r="F1663" s="59" t="str">
        <f>IF(INDEX(I.Gas.P3C1V1,46)="","",INDEX(I.Gas.P3C1V1,46))</f>
        <v/>
      </c>
      <c r="G1663" s="59"/>
      <c r="H1663" s="26" t="str">
        <f>IF(OR(I.Developer.P3=FALSE,I.Facility.StandardPart&lt;&gt;"Part 2"),"Complete",IF(I.Product.P3GasToPower="No","Complete",IF(AND(I.Gas.P3Count&gt;=46,F1663=""),"Incomplete","Complete")))</f>
        <v>Complete</v>
      </c>
      <c r="I1663" s="39" t="s">
        <v>1882</v>
      </c>
    </row>
    <row r="1664" spans="2:9" ht="15" customHeight="1" x14ac:dyDescent="0.25">
      <c r="B1664" s="37" t="s">
        <v>1836</v>
      </c>
      <c r="C1664" s="26">
        <v>47</v>
      </c>
      <c r="D1664" s="38" t="s">
        <v>2705</v>
      </c>
      <c r="E1664" s="59"/>
      <c r="F1664" s="59" t="str">
        <f>IF(INDEX(I.Gas.P3C1V1,47)="","",INDEX(I.Gas.P3C1V1,47))</f>
        <v/>
      </c>
      <c r="G1664" s="59"/>
      <c r="H1664" s="26" t="str">
        <f>IF(OR(I.Developer.P3=FALSE,I.Facility.StandardPart&lt;&gt;"Part 2"),"Complete",IF(I.Product.P3GasToPower="No","Complete",IF(AND(I.Gas.P3Count&gt;=47,F1664=""),"Incomplete","Complete")))</f>
        <v>Complete</v>
      </c>
      <c r="I1664" s="39" t="s">
        <v>1883</v>
      </c>
    </row>
    <row r="1665" spans="2:9" ht="15" customHeight="1" x14ac:dyDescent="0.25">
      <c r="B1665" s="37" t="s">
        <v>1836</v>
      </c>
      <c r="C1665" s="26">
        <v>48</v>
      </c>
      <c r="D1665" s="38" t="s">
        <v>2705</v>
      </c>
      <c r="E1665" s="59"/>
      <c r="F1665" s="59" t="str">
        <f>IF(INDEX(I.Gas.P3C1V1,48)="","",INDEX(I.Gas.P3C1V1,48))</f>
        <v/>
      </c>
      <c r="G1665" s="59"/>
      <c r="H1665" s="26" t="str">
        <f>IF(OR(I.Developer.P3=FALSE,I.Facility.StandardPart&lt;&gt;"Part 2"),"Complete",IF(I.Product.P3GasToPower="No","Complete",IF(AND(I.Gas.P3Count&gt;=48,F1665=""),"Incomplete","Complete")))</f>
        <v>Complete</v>
      </c>
      <c r="I1665" s="39" t="s">
        <v>1884</v>
      </c>
    </row>
    <row r="1666" spans="2:9" ht="15" customHeight="1" x14ac:dyDescent="0.25">
      <c r="B1666" s="37" t="s">
        <v>1836</v>
      </c>
      <c r="C1666" s="26">
        <v>49</v>
      </c>
      <c r="D1666" s="38" t="s">
        <v>2705</v>
      </c>
      <c r="E1666" s="59"/>
      <c r="F1666" s="59" t="str">
        <f>IF(INDEX(I.Gas.P3C1V1,49)="","",INDEX(I.Gas.P3C1V1,49))</f>
        <v/>
      </c>
      <c r="G1666" s="59"/>
      <c r="H1666" s="26" t="str">
        <f>IF(OR(I.Developer.P3=FALSE,I.Facility.StandardPart&lt;&gt;"Part 2"),"Complete",IF(I.Product.P3GasToPower="No","Complete",IF(AND(I.Gas.P3Count&gt;=49,F1666=""),"Incomplete","Complete")))</f>
        <v>Complete</v>
      </c>
      <c r="I1666" s="39" t="s">
        <v>1885</v>
      </c>
    </row>
    <row r="1667" spans="2:9" ht="15" customHeight="1" x14ac:dyDescent="0.25">
      <c r="B1667" s="40" t="s">
        <v>1836</v>
      </c>
      <c r="C1667" s="46">
        <v>50</v>
      </c>
      <c r="D1667" s="44" t="s">
        <v>2705</v>
      </c>
      <c r="E1667" s="63"/>
      <c r="F1667" s="63" t="str">
        <f>IF(INDEX(I.Gas.P3C1V1,50)="","",INDEX(I.Gas.P3C1V1,50))</f>
        <v/>
      </c>
      <c r="G1667" s="63"/>
      <c r="H1667" s="46" t="str">
        <f>IF(OR(I.Developer.P3=FALSE,I.Facility.StandardPart&lt;&gt;"Part 2"),"Complete",IF(I.Product.P3GasToPower="No","Complete",IF(AND(I.Gas.P3Count&gt;=50,F1667=""),"Incomplete","Complete")))</f>
        <v>Complete</v>
      </c>
      <c r="I1667" s="47" t="s">
        <v>1886</v>
      </c>
    </row>
    <row r="1668" spans="2:9" ht="15" customHeight="1" x14ac:dyDescent="0.25">
      <c r="B1668" s="37" t="s">
        <v>1887</v>
      </c>
      <c r="C1668" s="26">
        <v>1</v>
      </c>
      <c r="D1668" s="38" t="s">
        <v>2706</v>
      </c>
      <c r="E1668" s="59"/>
      <c r="F1668" s="59" t="str">
        <f>IF(INDEX(I.Gas.P3C1E1,1)="","",INDEX(I.Gas.P3C1E1,1))</f>
        <v/>
      </c>
      <c r="G1668" s="59"/>
      <c r="H1668" s="26" t="str">
        <f>IF(OR(I.Developer.P3=FALSE,I.Facility.StandardPart="Part 2"),"Complete",IF(I.Product.P3GasToPower="No","Complete",IF(AND(I.Gas.P3Count&gt;=1,F1668=""),"Incomplete","Complete")))</f>
        <v>Complete</v>
      </c>
      <c r="I1668" s="39" t="s">
        <v>1888</v>
      </c>
    </row>
    <row r="1669" spans="2:9" ht="15" customHeight="1" x14ac:dyDescent="0.25">
      <c r="B1669" s="37" t="s">
        <v>1887</v>
      </c>
      <c r="C1669" s="26">
        <v>2</v>
      </c>
      <c r="D1669" s="38" t="s">
        <v>2706</v>
      </c>
      <c r="E1669" s="59"/>
      <c r="F1669" s="59" t="str">
        <f>IF(INDEX(I.Gas.P3C1E1,2)="","",INDEX(I.Gas.P3C1E1,2))</f>
        <v/>
      </c>
      <c r="G1669" s="59"/>
      <c r="H1669" s="26" t="str">
        <f>IF(OR(I.Developer.P3=FALSE,I.Facility.StandardPart="Part 2"),"Complete",IF(I.Product.P3GasToPower="No","Complete",IF(AND(I.Gas.P3Count&gt;=2,F1669=""),"Incomplete","Complete")))</f>
        <v>Complete</v>
      </c>
      <c r="I1669" s="39" t="s">
        <v>1889</v>
      </c>
    </row>
    <row r="1670" spans="2:9" ht="15" customHeight="1" x14ac:dyDescent="0.25">
      <c r="B1670" s="37" t="s">
        <v>1887</v>
      </c>
      <c r="C1670" s="26">
        <v>3</v>
      </c>
      <c r="D1670" s="38" t="s">
        <v>2706</v>
      </c>
      <c r="E1670" s="59"/>
      <c r="F1670" s="59" t="str">
        <f>IF(INDEX(I.Gas.P3C1E1,3)="","",INDEX(I.Gas.P3C1E1,3))</f>
        <v/>
      </c>
      <c r="G1670" s="59"/>
      <c r="H1670" s="26" t="str">
        <f>IF(OR(I.Developer.P3=FALSE,I.Facility.StandardPart="Part 2"),"Complete",IF(I.Product.P3GasToPower="No","Complete",IF(AND(I.Gas.P3Count&gt;=3,F1670=""),"Incomplete","Complete")))</f>
        <v>Complete</v>
      </c>
      <c r="I1670" s="39" t="s">
        <v>1890</v>
      </c>
    </row>
    <row r="1671" spans="2:9" ht="15" customHeight="1" x14ac:dyDescent="0.25">
      <c r="B1671" s="37" t="s">
        <v>1887</v>
      </c>
      <c r="C1671" s="26">
        <v>4</v>
      </c>
      <c r="D1671" s="38" t="s">
        <v>2706</v>
      </c>
      <c r="E1671" s="59"/>
      <c r="F1671" s="59" t="str">
        <f>IF(INDEX(I.Gas.P3C1E1,4)="","",INDEX(I.Gas.P3C1E1,4))</f>
        <v/>
      </c>
      <c r="G1671" s="59"/>
      <c r="H1671" s="26" t="str">
        <f>IF(OR(I.Developer.P3=FALSE,I.Facility.StandardPart="Part 2"),"Complete",IF(I.Product.P3GasToPower="No","Complete",IF(AND(I.Gas.P3Count&gt;=4,F1671=""),"Incomplete","Complete")))</f>
        <v>Complete</v>
      </c>
      <c r="I1671" s="39" t="s">
        <v>1891</v>
      </c>
    </row>
    <row r="1672" spans="2:9" ht="15" customHeight="1" x14ac:dyDescent="0.25">
      <c r="B1672" s="37" t="s">
        <v>1887</v>
      </c>
      <c r="C1672" s="26">
        <v>5</v>
      </c>
      <c r="D1672" s="38" t="s">
        <v>2706</v>
      </c>
      <c r="E1672" s="59"/>
      <c r="F1672" s="59" t="str">
        <f>IF(INDEX(I.Gas.P3C1E1,5)="","",INDEX(I.Gas.P3C1E1,5))</f>
        <v/>
      </c>
      <c r="G1672" s="59"/>
      <c r="H1672" s="26" t="str">
        <f>IF(OR(I.Developer.P3=FALSE,I.Facility.StandardPart="Part 2"),"Complete",IF(I.Product.P3GasToPower="No","Complete",IF(AND(I.Gas.P3Count&gt;=5,F1672=""),"Incomplete","Complete")))</f>
        <v>Complete</v>
      </c>
      <c r="I1672" s="39" t="s">
        <v>1892</v>
      </c>
    </row>
    <row r="1673" spans="2:9" ht="15" customHeight="1" x14ac:dyDescent="0.25">
      <c r="B1673" s="37" t="s">
        <v>1887</v>
      </c>
      <c r="C1673" s="26">
        <v>6</v>
      </c>
      <c r="D1673" s="38" t="s">
        <v>2706</v>
      </c>
      <c r="E1673" s="59"/>
      <c r="F1673" s="59" t="str">
        <f>IF(INDEX(I.Gas.P3C1E1,6)="","",INDEX(I.Gas.P3C1E1,6))</f>
        <v/>
      </c>
      <c r="G1673" s="59"/>
      <c r="H1673" s="26" t="str">
        <f>IF(OR(I.Developer.P3=FALSE,I.Facility.StandardPart="Part 2"),"Complete",IF(I.Product.P3GasToPower="No","Complete",IF(AND(I.Gas.P3Count&gt;=6,F1673=""),"Incomplete","Complete")))</f>
        <v>Complete</v>
      </c>
      <c r="I1673" s="39" t="s">
        <v>1893</v>
      </c>
    </row>
    <row r="1674" spans="2:9" ht="15" customHeight="1" x14ac:dyDescent="0.25">
      <c r="B1674" s="37" t="s">
        <v>1887</v>
      </c>
      <c r="C1674" s="26">
        <v>7</v>
      </c>
      <c r="D1674" s="38" t="s">
        <v>2706</v>
      </c>
      <c r="E1674" s="59"/>
      <c r="F1674" s="59" t="str">
        <f>IF(INDEX(I.Gas.P3C1E1,7)="","",INDEX(I.Gas.P3C1E1,7))</f>
        <v/>
      </c>
      <c r="G1674" s="59"/>
      <c r="H1674" s="26" t="str">
        <f>IF(OR(I.Developer.P3=FALSE,I.Facility.StandardPart="Part 2"),"Complete",IF(I.Product.P3GasToPower="No","Complete",IF(AND(I.Gas.P3Count&gt;=7,F1674=""),"Incomplete","Complete")))</f>
        <v>Complete</v>
      </c>
      <c r="I1674" s="39" t="s">
        <v>1894</v>
      </c>
    </row>
    <row r="1675" spans="2:9" ht="15" customHeight="1" x14ac:dyDescent="0.25">
      <c r="B1675" s="37" t="s">
        <v>1887</v>
      </c>
      <c r="C1675" s="26">
        <v>8</v>
      </c>
      <c r="D1675" s="38" t="s">
        <v>2706</v>
      </c>
      <c r="E1675" s="59"/>
      <c r="F1675" s="59" t="str">
        <f>IF(INDEX(I.Gas.P3C1E1,8)="","",INDEX(I.Gas.P3C1E1,8))</f>
        <v/>
      </c>
      <c r="G1675" s="59"/>
      <c r="H1675" s="26" t="str">
        <f>IF(OR(I.Developer.P3=FALSE,I.Facility.StandardPart="Part 2"),"Complete",IF(I.Product.P3GasToPower="No","Complete",IF(AND(I.Gas.P3Count&gt;=8,F1675=""),"Incomplete","Complete")))</f>
        <v>Complete</v>
      </c>
      <c r="I1675" s="39" t="s">
        <v>1895</v>
      </c>
    </row>
    <row r="1676" spans="2:9" ht="15" customHeight="1" x14ac:dyDescent="0.25">
      <c r="B1676" s="37" t="s">
        <v>1887</v>
      </c>
      <c r="C1676" s="26">
        <v>9</v>
      </c>
      <c r="D1676" s="38" t="s">
        <v>2706</v>
      </c>
      <c r="E1676" s="59"/>
      <c r="F1676" s="59" t="str">
        <f>IF(INDEX(I.Gas.P3C1E1,9)="","",INDEX(I.Gas.P3C1E1,9))</f>
        <v/>
      </c>
      <c r="G1676" s="59"/>
      <c r="H1676" s="26" t="str">
        <f>IF(OR(I.Developer.P3=FALSE,I.Facility.StandardPart="Part 2"),"Complete",IF(I.Product.P3GasToPower="No","Complete",IF(AND(I.Gas.P3Count&gt;=9,F1676=""),"Incomplete","Complete")))</f>
        <v>Complete</v>
      </c>
      <c r="I1676" s="39" t="s">
        <v>1896</v>
      </c>
    </row>
    <row r="1677" spans="2:9" ht="15" customHeight="1" x14ac:dyDescent="0.25">
      <c r="B1677" s="37" t="s">
        <v>1887</v>
      </c>
      <c r="C1677" s="26">
        <v>10</v>
      </c>
      <c r="D1677" s="38" t="s">
        <v>2706</v>
      </c>
      <c r="E1677" s="59"/>
      <c r="F1677" s="59" t="str">
        <f>IF(INDEX(I.Gas.P3C1E1,10)="","",INDEX(I.Gas.P3C1E1,10))</f>
        <v/>
      </c>
      <c r="G1677" s="59"/>
      <c r="H1677" s="26" t="str">
        <f>IF(OR(I.Developer.P3=FALSE,I.Facility.StandardPart="Part 2"),"Complete",IF(I.Product.P3GasToPower="No","Complete",IF(AND(I.Gas.P3Count&gt;=10,F1677=""),"Incomplete","Complete")))</f>
        <v>Complete</v>
      </c>
      <c r="I1677" s="39" t="s">
        <v>1897</v>
      </c>
    </row>
    <row r="1678" spans="2:9" ht="15" customHeight="1" x14ac:dyDescent="0.25">
      <c r="B1678" s="37" t="s">
        <v>1887</v>
      </c>
      <c r="C1678" s="26">
        <v>11</v>
      </c>
      <c r="D1678" s="38" t="s">
        <v>2706</v>
      </c>
      <c r="E1678" s="59"/>
      <c r="F1678" s="59" t="str">
        <f>IF(INDEX(I.Gas.P3C1E1,11)="","",INDEX(I.Gas.P3C1E1,11))</f>
        <v/>
      </c>
      <c r="G1678" s="59"/>
      <c r="H1678" s="26" t="str">
        <f>IF(OR(I.Developer.P3=FALSE,I.Facility.StandardPart="Part 2"),"Complete",IF(I.Product.P3GasToPower="No","Complete",IF(AND(I.Gas.P3Count&gt;=11,F1678=""),"Incomplete","Complete")))</f>
        <v>Complete</v>
      </c>
      <c r="I1678" s="39" t="s">
        <v>1898</v>
      </c>
    </row>
    <row r="1679" spans="2:9" ht="15" customHeight="1" x14ac:dyDescent="0.25">
      <c r="B1679" s="37" t="s">
        <v>1887</v>
      </c>
      <c r="C1679" s="26">
        <v>12</v>
      </c>
      <c r="D1679" s="38" t="s">
        <v>2706</v>
      </c>
      <c r="E1679" s="59"/>
      <c r="F1679" s="59" t="str">
        <f>IF(INDEX(I.Gas.P3C1E1,12)="","",INDEX(I.Gas.P3C1E1,12))</f>
        <v/>
      </c>
      <c r="G1679" s="59"/>
      <c r="H1679" s="26" t="str">
        <f>IF(OR(I.Developer.P3=FALSE,I.Facility.StandardPart="Part 2"),"Complete",IF(I.Product.P3GasToPower="No","Complete",IF(AND(I.Gas.P3Count&gt;=12,F1679=""),"Incomplete","Complete")))</f>
        <v>Complete</v>
      </c>
      <c r="I1679" s="39" t="s">
        <v>1899</v>
      </c>
    </row>
    <row r="1680" spans="2:9" ht="15" customHeight="1" x14ac:dyDescent="0.25">
      <c r="B1680" s="37" t="s">
        <v>1887</v>
      </c>
      <c r="C1680" s="26">
        <v>13</v>
      </c>
      <c r="D1680" s="38" t="s">
        <v>2706</v>
      </c>
      <c r="E1680" s="59"/>
      <c r="F1680" s="59" t="str">
        <f>IF(INDEX(I.Gas.P3C1E1,13)="","",INDEX(I.Gas.P3C1E1,13))</f>
        <v/>
      </c>
      <c r="G1680" s="59"/>
      <c r="H1680" s="26" t="str">
        <f>IF(OR(I.Developer.P3=FALSE,I.Facility.StandardPart="Part 2"),"Complete",IF(I.Product.P3GasToPower="No","Complete",IF(AND(I.Gas.P3Count&gt;=13,F1680=""),"Incomplete","Complete")))</f>
        <v>Complete</v>
      </c>
      <c r="I1680" s="39" t="s">
        <v>1900</v>
      </c>
    </row>
    <row r="1681" spans="2:9" ht="15" customHeight="1" x14ac:dyDescent="0.25">
      <c r="B1681" s="37" t="s">
        <v>1887</v>
      </c>
      <c r="C1681" s="26">
        <v>14</v>
      </c>
      <c r="D1681" s="38" t="s">
        <v>2706</v>
      </c>
      <c r="E1681" s="59"/>
      <c r="F1681" s="59" t="str">
        <f>IF(INDEX(I.Gas.P3C1E1,14)="","",INDEX(I.Gas.P3C1E1,14))</f>
        <v/>
      </c>
      <c r="G1681" s="59"/>
      <c r="H1681" s="26" t="str">
        <f>IF(OR(I.Developer.P3=FALSE,I.Facility.StandardPart="Part 2"),"Complete",IF(I.Product.P3GasToPower="No","Complete",IF(AND(I.Gas.P3Count&gt;=14,F1681=""),"Incomplete","Complete")))</f>
        <v>Complete</v>
      </c>
      <c r="I1681" s="39" t="s">
        <v>1901</v>
      </c>
    </row>
    <row r="1682" spans="2:9" ht="15" customHeight="1" x14ac:dyDescent="0.25">
      <c r="B1682" s="37" t="s">
        <v>1887</v>
      </c>
      <c r="C1682" s="26">
        <v>15</v>
      </c>
      <c r="D1682" s="38" t="s">
        <v>2706</v>
      </c>
      <c r="E1682" s="59"/>
      <c r="F1682" s="59" t="str">
        <f>IF(INDEX(I.Gas.P3C1E1,15)="","",INDEX(I.Gas.P3C1E1,15))</f>
        <v/>
      </c>
      <c r="G1682" s="59"/>
      <c r="H1682" s="26" t="str">
        <f>IF(OR(I.Developer.P3=FALSE,I.Facility.StandardPart="Part 2"),"Complete",IF(I.Product.P3GasToPower="No","Complete",IF(AND(I.Gas.P3Count&gt;=15,F1682=""),"Incomplete","Complete")))</f>
        <v>Complete</v>
      </c>
      <c r="I1682" s="39" t="s">
        <v>1902</v>
      </c>
    </row>
    <row r="1683" spans="2:9" ht="15" customHeight="1" x14ac:dyDescent="0.25">
      <c r="B1683" s="37" t="s">
        <v>1887</v>
      </c>
      <c r="C1683" s="26">
        <v>16</v>
      </c>
      <c r="D1683" s="38" t="s">
        <v>2706</v>
      </c>
      <c r="E1683" s="59"/>
      <c r="F1683" s="59" t="str">
        <f>IF(INDEX(I.Gas.P3C1E1,16)="","",INDEX(I.Gas.P3C1E1,16))</f>
        <v/>
      </c>
      <c r="G1683" s="59"/>
      <c r="H1683" s="26" t="str">
        <f>IF(OR(I.Developer.P3=FALSE,I.Facility.StandardPart="Part 2"),"Complete",IF(I.Product.P3GasToPower="No","Complete",IF(AND(I.Gas.P3Count&gt;=16,F1683=""),"Incomplete","Complete")))</f>
        <v>Complete</v>
      </c>
      <c r="I1683" s="39" t="s">
        <v>1903</v>
      </c>
    </row>
    <row r="1684" spans="2:9" ht="15" customHeight="1" x14ac:dyDescent="0.25">
      <c r="B1684" s="37" t="s">
        <v>1887</v>
      </c>
      <c r="C1684" s="26">
        <v>17</v>
      </c>
      <c r="D1684" s="38" t="s">
        <v>2706</v>
      </c>
      <c r="E1684" s="59"/>
      <c r="F1684" s="59" t="str">
        <f>IF(INDEX(I.Gas.P3C1E1,17)="","",INDEX(I.Gas.P3C1E1,17))</f>
        <v/>
      </c>
      <c r="G1684" s="59"/>
      <c r="H1684" s="26" t="str">
        <f>IF(OR(I.Developer.P3=FALSE,I.Facility.StandardPart="Part 2"),"Complete",IF(I.Product.P3GasToPower="No","Complete",IF(AND(I.Gas.P3Count&gt;=17,F1684=""),"Incomplete","Complete")))</f>
        <v>Complete</v>
      </c>
      <c r="I1684" s="39" t="s">
        <v>1904</v>
      </c>
    </row>
    <row r="1685" spans="2:9" ht="15" customHeight="1" x14ac:dyDescent="0.25">
      <c r="B1685" s="37" t="s">
        <v>1887</v>
      </c>
      <c r="C1685" s="26">
        <v>18</v>
      </c>
      <c r="D1685" s="38" t="s">
        <v>2706</v>
      </c>
      <c r="E1685" s="59"/>
      <c r="F1685" s="59" t="str">
        <f>IF(INDEX(I.Gas.P3C1E1,18)="","",INDEX(I.Gas.P3C1E1,18))</f>
        <v/>
      </c>
      <c r="G1685" s="59"/>
      <c r="H1685" s="26" t="str">
        <f>IF(OR(I.Developer.P3=FALSE,I.Facility.StandardPart="Part 2"),"Complete",IF(I.Product.P3GasToPower="No","Complete",IF(AND(I.Gas.P3Count&gt;=18,F1685=""),"Incomplete","Complete")))</f>
        <v>Complete</v>
      </c>
      <c r="I1685" s="39" t="s">
        <v>1905</v>
      </c>
    </row>
    <row r="1686" spans="2:9" ht="15" customHeight="1" x14ac:dyDescent="0.25">
      <c r="B1686" s="37" t="s">
        <v>1887</v>
      </c>
      <c r="C1686" s="26">
        <v>19</v>
      </c>
      <c r="D1686" s="38" t="s">
        <v>2706</v>
      </c>
      <c r="E1686" s="59"/>
      <c r="F1686" s="59" t="str">
        <f>IF(INDEX(I.Gas.P3C1E1,19)="","",INDEX(I.Gas.P3C1E1,19))</f>
        <v/>
      </c>
      <c r="G1686" s="59"/>
      <c r="H1686" s="26" t="str">
        <f>IF(OR(I.Developer.P3=FALSE,I.Facility.StandardPart="Part 2"),"Complete",IF(I.Product.P3GasToPower="No","Complete",IF(AND(I.Gas.P3Count&gt;=19,F1686=""),"Incomplete","Complete")))</f>
        <v>Complete</v>
      </c>
      <c r="I1686" s="39" t="s">
        <v>1906</v>
      </c>
    </row>
    <row r="1687" spans="2:9" ht="15" customHeight="1" x14ac:dyDescent="0.25">
      <c r="B1687" s="37" t="s">
        <v>1887</v>
      </c>
      <c r="C1687" s="26">
        <v>20</v>
      </c>
      <c r="D1687" s="38" t="s">
        <v>2706</v>
      </c>
      <c r="E1687" s="59"/>
      <c r="F1687" s="59" t="str">
        <f>IF(INDEX(I.Gas.P3C1E1,20)="","",INDEX(I.Gas.P3C1E1,20))</f>
        <v/>
      </c>
      <c r="G1687" s="59"/>
      <c r="H1687" s="26" t="str">
        <f>IF(OR(I.Developer.P3=FALSE,I.Facility.StandardPart="Part 2"),"Complete",IF(I.Product.P3GasToPower="No","Complete",IF(AND(I.Gas.P3Count&gt;=20,F1687=""),"Incomplete","Complete")))</f>
        <v>Complete</v>
      </c>
      <c r="I1687" s="39" t="s">
        <v>1907</v>
      </c>
    </row>
    <row r="1688" spans="2:9" ht="15" customHeight="1" x14ac:dyDescent="0.25">
      <c r="B1688" s="37" t="s">
        <v>1887</v>
      </c>
      <c r="C1688" s="26">
        <v>21</v>
      </c>
      <c r="D1688" s="38" t="s">
        <v>2706</v>
      </c>
      <c r="E1688" s="59"/>
      <c r="F1688" s="59" t="str">
        <f>IF(INDEX(I.Gas.P3C1E1,21)="","",INDEX(I.Gas.P3C1E1,21))</f>
        <v/>
      </c>
      <c r="G1688" s="59"/>
      <c r="H1688" s="26" t="str">
        <f>IF(OR(I.Developer.P3=FALSE,I.Facility.StandardPart="Part 2"),"Complete",IF(I.Product.P3GasToPower="No","Complete",IF(AND(I.Gas.P3Count&gt;=21,F1688=""),"Incomplete","Complete")))</f>
        <v>Complete</v>
      </c>
      <c r="I1688" s="39" t="s">
        <v>1908</v>
      </c>
    </row>
    <row r="1689" spans="2:9" ht="15" customHeight="1" x14ac:dyDescent="0.25">
      <c r="B1689" s="37" t="s">
        <v>1887</v>
      </c>
      <c r="C1689" s="26">
        <v>22</v>
      </c>
      <c r="D1689" s="38" t="s">
        <v>2706</v>
      </c>
      <c r="E1689" s="59"/>
      <c r="F1689" s="59" t="str">
        <f>IF(INDEX(I.Gas.P3C1E1,22)="","",INDEX(I.Gas.P3C1E1,22))</f>
        <v/>
      </c>
      <c r="G1689" s="59"/>
      <c r="H1689" s="26" t="str">
        <f>IF(OR(I.Developer.P3=FALSE,I.Facility.StandardPart="Part 2"),"Complete",IF(I.Product.P3GasToPower="No","Complete",IF(AND(I.Gas.P3Count&gt;=22,F1689=""),"Incomplete","Complete")))</f>
        <v>Complete</v>
      </c>
      <c r="I1689" s="39" t="s">
        <v>1909</v>
      </c>
    </row>
    <row r="1690" spans="2:9" ht="15" customHeight="1" x14ac:dyDescent="0.25">
      <c r="B1690" s="37" t="s">
        <v>1887</v>
      </c>
      <c r="C1690" s="26">
        <v>23</v>
      </c>
      <c r="D1690" s="38" t="s">
        <v>2706</v>
      </c>
      <c r="E1690" s="59"/>
      <c r="F1690" s="59" t="str">
        <f>IF(INDEX(I.Gas.P3C1E1,23)="","",INDEX(I.Gas.P3C1E1,23))</f>
        <v/>
      </c>
      <c r="G1690" s="59"/>
      <c r="H1690" s="26" t="str">
        <f>IF(OR(I.Developer.P3=FALSE,I.Facility.StandardPart="Part 2"),"Complete",IF(I.Product.P3GasToPower="No","Complete",IF(AND(I.Gas.P3Count&gt;=23,F1690=""),"Incomplete","Complete")))</f>
        <v>Complete</v>
      </c>
      <c r="I1690" s="39" t="s">
        <v>1910</v>
      </c>
    </row>
    <row r="1691" spans="2:9" ht="15" customHeight="1" x14ac:dyDescent="0.25">
      <c r="B1691" s="37" t="s">
        <v>1887</v>
      </c>
      <c r="C1691" s="26">
        <v>24</v>
      </c>
      <c r="D1691" s="38" t="s">
        <v>2706</v>
      </c>
      <c r="E1691" s="59"/>
      <c r="F1691" s="59" t="str">
        <f>IF(INDEX(I.Gas.P3C1E1,24)="","",INDEX(I.Gas.P3C1E1,24))</f>
        <v/>
      </c>
      <c r="G1691" s="59"/>
      <c r="H1691" s="26" t="str">
        <f>IF(OR(I.Developer.P3=FALSE,I.Facility.StandardPart="Part 2"),"Complete",IF(I.Product.P3GasToPower="No","Complete",IF(AND(I.Gas.P3Count&gt;=24,F1691=""),"Incomplete","Complete")))</f>
        <v>Complete</v>
      </c>
      <c r="I1691" s="39" t="s">
        <v>1911</v>
      </c>
    </row>
    <row r="1692" spans="2:9" ht="15" customHeight="1" x14ac:dyDescent="0.25">
      <c r="B1692" s="37" t="s">
        <v>1887</v>
      </c>
      <c r="C1692" s="26">
        <v>25</v>
      </c>
      <c r="D1692" s="38" t="s">
        <v>2706</v>
      </c>
      <c r="E1692" s="59"/>
      <c r="F1692" s="59" t="str">
        <f>IF(INDEX(I.Gas.P3C1E1,25)="","",INDEX(I.Gas.P3C1E1,25))</f>
        <v/>
      </c>
      <c r="G1692" s="59"/>
      <c r="H1692" s="26" t="str">
        <f>IF(OR(I.Developer.P3=FALSE,I.Facility.StandardPart="Part 2"),"Complete",IF(I.Product.P3GasToPower="No","Complete",IF(AND(I.Gas.P3Count&gt;=25,F1692=""),"Incomplete","Complete")))</f>
        <v>Complete</v>
      </c>
      <c r="I1692" s="39" t="s">
        <v>1912</v>
      </c>
    </row>
    <row r="1693" spans="2:9" ht="15" customHeight="1" x14ac:dyDescent="0.25">
      <c r="B1693" s="37" t="s">
        <v>1887</v>
      </c>
      <c r="C1693" s="26">
        <v>26</v>
      </c>
      <c r="D1693" s="38" t="s">
        <v>2706</v>
      </c>
      <c r="E1693" s="59"/>
      <c r="F1693" s="59" t="str">
        <f>IF(INDEX(I.Gas.P3C1E1,26)="","",INDEX(I.Gas.P3C1E1,26))</f>
        <v/>
      </c>
      <c r="G1693" s="59"/>
      <c r="H1693" s="26" t="str">
        <f>IF(OR(I.Developer.P3=FALSE,I.Facility.StandardPart="Part 2"),"Complete",IF(I.Product.P3GasToPower="No","Complete",IF(AND(I.Gas.P3Count&gt;=26,F1693=""),"Incomplete","Complete")))</f>
        <v>Complete</v>
      </c>
      <c r="I1693" s="39" t="s">
        <v>1913</v>
      </c>
    </row>
    <row r="1694" spans="2:9" ht="15" customHeight="1" x14ac:dyDescent="0.25">
      <c r="B1694" s="37" t="s">
        <v>1887</v>
      </c>
      <c r="C1694" s="26">
        <v>27</v>
      </c>
      <c r="D1694" s="38" t="s">
        <v>2706</v>
      </c>
      <c r="E1694" s="59"/>
      <c r="F1694" s="59" t="str">
        <f>IF(INDEX(I.Gas.P3C1E1,27)="","",INDEX(I.Gas.P3C1E1,27))</f>
        <v/>
      </c>
      <c r="G1694" s="59"/>
      <c r="H1694" s="26" t="str">
        <f>IF(OR(I.Developer.P3=FALSE,I.Facility.StandardPart="Part 2"),"Complete",IF(I.Product.P3GasToPower="No","Complete",IF(AND(I.Gas.P3Count&gt;=27,F1694=""),"Incomplete","Complete")))</f>
        <v>Complete</v>
      </c>
      <c r="I1694" s="39" t="s">
        <v>1914</v>
      </c>
    </row>
    <row r="1695" spans="2:9" ht="15" customHeight="1" x14ac:dyDescent="0.25">
      <c r="B1695" s="37" t="s">
        <v>1887</v>
      </c>
      <c r="C1695" s="26">
        <v>28</v>
      </c>
      <c r="D1695" s="38" t="s">
        <v>2706</v>
      </c>
      <c r="E1695" s="59"/>
      <c r="F1695" s="59" t="str">
        <f>IF(INDEX(I.Gas.P3C1E1,28)="","",INDEX(I.Gas.P3C1E1,28))</f>
        <v/>
      </c>
      <c r="G1695" s="59"/>
      <c r="H1695" s="26" t="str">
        <f>IF(OR(I.Developer.P3=FALSE,I.Facility.StandardPart="Part 2"),"Complete",IF(I.Product.P3GasToPower="No","Complete",IF(AND(I.Gas.P3Count&gt;=28,F1695=""),"Incomplete","Complete")))</f>
        <v>Complete</v>
      </c>
      <c r="I1695" s="39" t="s">
        <v>1915</v>
      </c>
    </row>
    <row r="1696" spans="2:9" ht="15" customHeight="1" x14ac:dyDescent="0.25">
      <c r="B1696" s="37" t="s">
        <v>1887</v>
      </c>
      <c r="C1696" s="26">
        <v>29</v>
      </c>
      <c r="D1696" s="38" t="s">
        <v>2706</v>
      </c>
      <c r="E1696" s="59"/>
      <c r="F1696" s="59" t="str">
        <f>IF(INDEX(I.Gas.P3C1E1,29)="","",INDEX(I.Gas.P3C1E1,29))</f>
        <v/>
      </c>
      <c r="G1696" s="59"/>
      <c r="H1696" s="26" t="str">
        <f>IF(OR(I.Developer.P3=FALSE,I.Facility.StandardPart="Part 2"),"Complete",IF(I.Product.P3GasToPower="No","Complete",IF(AND(I.Gas.P3Count&gt;=29,F1696=""),"Incomplete","Complete")))</f>
        <v>Complete</v>
      </c>
      <c r="I1696" s="39" t="s">
        <v>1916</v>
      </c>
    </row>
    <row r="1697" spans="2:9" ht="15" customHeight="1" x14ac:dyDescent="0.25">
      <c r="B1697" s="37" t="s">
        <v>1887</v>
      </c>
      <c r="C1697" s="26">
        <v>30</v>
      </c>
      <c r="D1697" s="38" t="s">
        <v>2706</v>
      </c>
      <c r="E1697" s="59"/>
      <c r="F1697" s="59" t="str">
        <f>IF(INDEX(I.Gas.P3C1E1,30)="","",INDEX(I.Gas.P3C1E1,30))</f>
        <v/>
      </c>
      <c r="G1697" s="59"/>
      <c r="H1697" s="26" t="str">
        <f>IF(OR(I.Developer.P3=FALSE,I.Facility.StandardPart="Part 2"),"Complete",IF(I.Product.P3GasToPower="No","Complete",IF(AND(I.Gas.P3Count&gt;=30,F1697=""),"Incomplete","Complete")))</f>
        <v>Complete</v>
      </c>
      <c r="I1697" s="39" t="s">
        <v>1917</v>
      </c>
    </row>
    <row r="1698" spans="2:9" ht="15" customHeight="1" x14ac:dyDescent="0.25">
      <c r="B1698" s="37" t="s">
        <v>1887</v>
      </c>
      <c r="C1698" s="26">
        <v>31</v>
      </c>
      <c r="D1698" s="38" t="s">
        <v>2706</v>
      </c>
      <c r="E1698" s="59"/>
      <c r="F1698" s="59" t="str">
        <f>IF(INDEX(I.Gas.P3C1E1,31)="","",INDEX(I.Gas.P3C1E1,31))</f>
        <v/>
      </c>
      <c r="G1698" s="59"/>
      <c r="H1698" s="26" t="str">
        <f>IF(OR(I.Developer.P3=FALSE,I.Facility.StandardPart="Part 2"),"Complete",IF(I.Product.P3GasToPower="No","Complete",IF(AND(I.Gas.P3Count&gt;=31,F1698=""),"Incomplete","Complete")))</f>
        <v>Complete</v>
      </c>
      <c r="I1698" s="39" t="s">
        <v>1918</v>
      </c>
    </row>
    <row r="1699" spans="2:9" ht="15" customHeight="1" x14ac:dyDescent="0.25">
      <c r="B1699" s="37" t="s">
        <v>1887</v>
      </c>
      <c r="C1699" s="26">
        <v>32</v>
      </c>
      <c r="D1699" s="38" t="s">
        <v>2706</v>
      </c>
      <c r="E1699" s="59"/>
      <c r="F1699" s="59" t="str">
        <f>IF(INDEX(I.Gas.P3C1E1,32)="","",INDEX(I.Gas.P3C1E1,32))</f>
        <v/>
      </c>
      <c r="G1699" s="59"/>
      <c r="H1699" s="26" t="str">
        <f>IF(OR(I.Developer.P3=FALSE,I.Facility.StandardPart="Part 2"),"Complete",IF(I.Product.P3GasToPower="No","Complete",IF(AND(I.Gas.P3Count&gt;=32,F1699=""),"Incomplete","Complete")))</f>
        <v>Complete</v>
      </c>
      <c r="I1699" s="39" t="s">
        <v>1919</v>
      </c>
    </row>
    <row r="1700" spans="2:9" ht="15" customHeight="1" x14ac:dyDescent="0.25">
      <c r="B1700" s="37" t="s">
        <v>1887</v>
      </c>
      <c r="C1700" s="26">
        <v>33</v>
      </c>
      <c r="D1700" s="38" t="s">
        <v>2706</v>
      </c>
      <c r="E1700" s="59"/>
      <c r="F1700" s="59" t="str">
        <f>IF(INDEX(I.Gas.P3C1E1,33)="","",INDEX(I.Gas.P3C1E1,33))</f>
        <v/>
      </c>
      <c r="G1700" s="59"/>
      <c r="H1700" s="26" t="str">
        <f>IF(OR(I.Developer.P3=FALSE,I.Facility.StandardPart="Part 2"),"Complete",IF(I.Product.P3GasToPower="No","Complete",IF(AND(I.Gas.P3Count&gt;=33,F1700=""),"Incomplete","Complete")))</f>
        <v>Complete</v>
      </c>
      <c r="I1700" s="39" t="s">
        <v>1920</v>
      </c>
    </row>
    <row r="1701" spans="2:9" ht="15" customHeight="1" x14ac:dyDescent="0.25">
      <c r="B1701" s="37" t="s">
        <v>1887</v>
      </c>
      <c r="C1701" s="26">
        <v>34</v>
      </c>
      <c r="D1701" s="38" t="s">
        <v>2706</v>
      </c>
      <c r="E1701" s="59"/>
      <c r="F1701" s="59" t="str">
        <f>IF(INDEX(I.Gas.P3C1E1,34)="","",INDEX(I.Gas.P3C1E1,34))</f>
        <v/>
      </c>
      <c r="G1701" s="59"/>
      <c r="H1701" s="26" t="str">
        <f>IF(OR(I.Developer.P3=FALSE,I.Facility.StandardPart="Part 2"),"Complete",IF(I.Product.P3GasToPower="No","Complete",IF(AND(I.Gas.P3Count&gt;=34,F1701=""),"Incomplete","Complete")))</f>
        <v>Complete</v>
      </c>
      <c r="I1701" s="39" t="s">
        <v>1921</v>
      </c>
    </row>
    <row r="1702" spans="2:9" ht="15" customHeight="1" x14ac:dyDescent="0.25">
      <c r="B1702" s="37" t="s">
        <v>1887</v>
      </c>
      <c r="C1702" s="26">
        <v>35</v>
      </c>
      <c r="D1702" s="38" t="s">
        <v>2706</v>
      </c>
      <c r="E1702" s="59"/>
      <c r="F1702" s="59" t="str">
        <f>IF(INDEX(I.Gas.P3C1E1,35)="","",INDEX(I.Gas.P3C1E1,35))</f>
        <v/>
      </c>
      <c r="G1702" s="59"/>
      <c r="H1702" s="26" t="str">
        <f>IF(OR(I.Developer.P3=FALSE,I.Facility.StandardPart="Part 2"),"Complete",IF(I.Product.P3GasToPower="No","Complete",IF(AND(I.Gas.P3Count&gt;=35,F1702=""),"Incomplete","Complete")))</f>
        <v>Complete</v>
      </c>
      <c r="I1702" s="39" t="s">
        <v>1922</v>
      </c>
    </row>
    <row r="1703" spans="2:9" ht="15" customHeight="1" x14ac:dyDescent="0.25">
      <c r="B1703" s="37" t="s">
        <v>1887</v>
      </c>
      <c r="C1703" s="26">
        <v>36</v>
      </c>
      <c r="D1703" s="38" t="s">
        <v>2706</v>
      </c>
      <c r="E1703" s="59"/>
      <c r="F1703" s="59" t="str">
        <f>IF(INDEX(I.Gas.P3C1E1,36)="","",INDEX(I.Gas.P3C1E1,36))</f>
        <v/>
      </c>
      <c r="G1703" s="59"/>
      <c r="H1703" s="26" t="str">
        <f>IF(OR(I.Developer.P3=FALSE,I.Facility.StandardPart="Part 2"),"Complete",IF(I.Product.P3GasToPower="No","Complete",IF(AND(I.Gas.P3Count&gt;=36,F1703=""),"Incomplete","Complete")))</f>
        <v>Complete</v>
      </c>
      <c r="I1703" s="39" t="s">
        <v>1923</v>
      </c>
    </row>
    <row r="1704" spans="2:9" ht="15" customHeight="1" x14ac:dyDescent="0.25">
      <c r="B1704" s="37" t="s">
        <v>1887</v>
      </c>
      <c r="C1704" s="26">
        <v>37</v>
      </c>
      <c r="D1704" s="38" t="s">
        <v>2706</v>
      </c>
      <c r="E1704" s="59"/>
      <c r="F1704" s="59" t="str">
        <f>IF(INDEX(I.Gas.P3C1E1,37)="","",INDEX(I.Gas.P3C1E1,37))</f>
        <v/>
      </c>
      <c r="G1704" s="59"/>
      <c r="H1704" s="26" t="str">
        <f>IF(OR(I.Developer.P3=FALSE,I.Facility.StandardPart="Part 2"),"Complete",IF(I.Product.P3GasToPower="No","Complete",IF(AND(I.Gas.P3Count&gt;=37,F1704=""),"Incomplete","Complete")))</f>
        <v>Complete</v>
      </c>
      <c r="I1704" s="39" t="s">
        <v>1924</v>
      </c>
    </row>
    <row r="1705" spans="2:9" ht="15" customHeight="1" x14ac:dyDescent="0.25">
      <c r="B1705" s="37" t="s">
        <v>1887</v>
      </c>
      <c r="C1705" s="26">
        <v>38</v>
      </c>
      <c r="D1705" s="38" t="s">
        <v>2706</v>
      </c>
      <c r="E1705" s="59"/>
      <c r="F1705" s="59" t="str">
        <f>IF(INDEX(I.Gas.P3C1E1,38)="","",INDEX(I.Gas.P3C1E1,38))</f>
        <v/>
      </c>
      <c r="G1705" s="59"/>
      <c r="H1705" s="26" t="str">
        <f>IF(OR(I.Developer.P3=FALSE,I.Facility.StandardPart="Part 2"),"Complete",IF(I.Product.P3GasToPower="No","Complete",IF(AND(I.Gas.P3Count&gt;=38,F1705=""),"Incomplete","Complete")))</f>
        <v>Complete</v>
      </c>
      <c r="I1705" s="39" t="s">
        <v>1925</v>
      </c>
    </row>
    <row r="1706" spans="2:9" ht="15" customHeight="1" x14ac:dyDescent="0.25">
      <c r="B1706" s="37" t="s">
        <v>1887</v>
      </c>
      <c r="C1706" s="26">
        <v>39</v>
      </c>
      <c r="D1706" s="38" t="s">
        <v>2706</v>
      </c>
      <c r="E1706" s="59"/>
      <c r="F1706" s="59" t="str">
        <f>IF(INDEX(I.Gas.P3C1E1,39)="","",INDEX(I.Gas.P3C1E1,39))</f>
        <v/>
      </c>
      <c r="G1706" s="59"/>
      <c r="H1706" s="26" t="str">
        <f>IF(OR(I.Developer.P3=FALSE,I.Facility.StandardPart="Part 2"),"Complete",IF(I.Product.P3GasToPower="No","Complete",IF(AND(I.Gas.P3Count&gt;=39,F1706=""),"Incomplete","Complete")))</f>
        <v>Complete</v>
      </c>
      <c r="I1706" s="39" t="s">
        <v>1926</v>
      </c>
    </row>
    <row r="1707" spans="2:9" ht="15" customHeight="1" x14ac:dyDescent="0.25">
      <c r="B1707" s="37" t="s">
        <v>1887</v>
      </c>
      <c r="C1707" s="26">
        <v>40</v>
      </c>
      <c r="D1707" s="38" t="s">
        <v>2706</v>
      </c>
      <c r="E1707" s="59"/>
      <c r="F1707" s="59" t="str">
        <f>IF(INDEX(I.Gas.P3C1E1,40)="","",INDEX(I.Gas.P3C1E1,40))</f>
        <v/>
      </c>
      <c r="G1707" s="59"/>
      <c r="H1707" s="26" t="str">
        <f>IF(OR(I.Developer.P3=FALSE,I.Facility.StandardPart="Part 2"),"Complete",IF(I.Product.P3GasToPower="No","Complete",IF(AND(I.Gas.P3Count&gt;=40,F1707=""),"Incomplete","Complete")))</f>
        <v>Complete</v>
      </c>
      <c r="I1707" s="39" t="s">
        <v>1927</v>
      </c>
    </row>
    <row r="1708" spans="2:9" ht="15" customHeight="1" x14ac:dyDescent="0.25">
      <c r="B1708" s="37" t="s">
        <v>1887</v>
      </c>
      <c r="C1708" s="26">
        <v>41</v>
      </c>
      <c r="D1708" s="38" t="s">
        <v>2706</v>
      </c>
      <c r="E1708" s="59"/>
      <c r="F1708" s="59" t="str">
        <f>IF(INDEX(I.Gas.P3C1E1,41)="","",INDEX(I.Gas.P3C1E1,41))</f>
        <v/>
      </c>
      <c r="G1708" s="59"/>
      <c r="H1708" s="26" t="str">
        <f>IF(OR(I.Developer.P3=FALSE,I.Facility.StandardPart="Part 2"),"Complete",IF(I.Product.P3GasToPower="No","Complete",IF(AND(I.Gas.P3Count&gt;=41,F1708=""),"Incomplete","Complete")))</f>
        <v>Complete</v>
      </c>
      <c r="I1708" s="39" t="s">
        <v>1928</v>
      </c>
    </row>
    <row r="1709" spans="2:9" ht="15" customHeight="1" x14ac:dyDescent="0.25">
      <c r="B1709" s="37" t="s">
        <v>1887</v>
      </c>
      <c r="C1709" s="26">
        <v>42</v>
      </c>
      <c r="D1709" s="38" t="s">
        <v>2706</v>
      </c>
      <c r="E1709" s="59"/>
      <c r="F1709" s="59" t="str">
        <f>IF(INDEX(I.Gas.P3C1E1,42)="","",INDEX(I.Gas.P3C1E1,42))</f>
        <v/>
      </c>
      <c r="G1709" s="59"/>
      <c r="H1709" s="26" t="str">
        <f>IF(OR(I.Developer.P3=FALSE,I.Facility.StandardPart="Part 2"),"Complete",IF(I.Product.P3GasToPower="No","Complete",IF(AND(I.Gas.P3Count&gt;=42,F1709=""),"Incomplete","Complete")))</f>
        <v>Complete</v>
      </c>
      <c r="I1709" s="39" t="s">
        <v>1929</v>
      </c>
    </row>
    <row r="1710" spans="2:9" ht="15" customHeight="1" x14ac:dyDescent="0.25">
      <c r="B1710" s="37" t="s">
        <v>1887</v>
      </c>
      <c r="C1710" s="26">
        <v>43</v>
      </c>
      <c r="D1710" s="38" t="s">
        <v>2706</v>
      </c>
      <c r="E1710" s="59"/>
      <c r="F1710" s="59" t="str">
        <f>IF(INDEX(I.Gas.P3C1E1,43)="","",INDEX(I.Gas.P3C1E1,43))</f>
        <v/>
      </c>
      <c r="G1710" s="59"/>
      <c r="H1710" s="26" t="str">
        <f>IF(OR(I.Developer.P3=FALSE,I.Facility.StandardPart="Part 2"),"Complete",IF(I.Product.P3GasToPower="No","Complete",IF(AND(I.Gas.P3Count&gt;=43,F1710=""),"Incomplete","Complete")))</f>
        <v>Complete</v>
      </c>
      <c r="I1710" s="39" t="s">
        <v>1930</v>
      </c>
    </row>
    <row r="1711" spans="2:9" ht="15" customHeight="1" x14ac:dyDescent="0.25">
      <c r="B1711" s="37" t="s">
        <v>1887</v>
      </c>
      <c r="C1711" s="26">
        <v>44</v>
      </c>
      <c r="D1711" s="38" t="s">
        <v>2706</v>
      </c>
      <c r="E1711" s="59"/>
      <c r="F1711" s="59" t="str">
        <f>IF(INDEX(I.Gas.P3C1E1,44)="","",INDEX(I.Gas.P3C1E1,44))</f>
        <v/>
      </c>
      <c r="G1711" s="59"/>
      <c r="H1711" s="26" t="str">
        <f>IF(OR(I.Developer.P3=FALSE,I.Facility.StandardPart="Part 2"),"Complete",IF(I.Product.P3GasToPower="No","Complete",IF(AND(I.Gas.P3Count&gt;=44,F1711=""),"Incomplete","Complete")))</f>
        <v>Complete</v>
      </c>
      <c r="I1711" s="39" t="s">
        <v>1931</v>
      </c>
    </row>
    <row r="1712" spans="2:9" ht="15" customHeight="1" x14ac:dyDescent="0.25">
      <c r="B1712" s="37" t="s">
        <v>1887</v>
      </c>
      <c r="C1712" s="26">
        <v>45</v>
      </c>
      <c r="D1712" s="38" t="s">
        <v>2706</v>
      </c>
      <c r="E1712" s="59"/>
      <c r="F1712" s="59" t="str">
        <f>IF(INDEX(I.Gas.P3C1E1,45)="","",INDEX(I.Gas.P3C1E1,45))</f>
        <v/>
      </c>
      <c r="G1712" s="59"/>
      <c r="H1712" s="26" t="str">
        <f>IF(OR(I.Developer.P3=FALSE,I.Facility.StandardPart="Part 2"),"Complete",IF(I.Product.P3GasToPower="No","Complete",IF(AND(I.Gas.P3Count&gt;=45,F1712=""),"Incomplete","Complete")))</f>
        <v>Complete</v>
      </c>
      <c r="I1712" s="39" t="s">
        <v>1932</v>
      </c>
    </row>
    <row r="1713" spans="2:9" ht="15" customHeight="1" x14ac:dyDescent="0.25">
      <c r="B1713" s="37" t="s">
        <v>1887</v>
      </c>
      <c r="C1713" s="26">
        <v>46</v>
      </c>
      <c r="D1713" s="38" t="s">
        <v>2706</v>
      </c>
      <c r="E1713" s="59"/>
      <c r="F1713" s="59" t="str">
        <f>IF(INDEX(I.Gas.P3C1E1,46)="","",INDEX(I.Gas.P3C1E1,46))</f>
        <v/>
      </c>
      <c r="G1713" s="59"/>
      <c r="H1713" s="26" t="str">
        <f>IF(OR(I.Developer.P3=FALSE,I.Facility.StandardPart="Part 2"),"Complete",IF(I.Product.P3GasToPower="No","Complete",IF(AND(I.Gas.P3Count&gt;=46,F1713=""),"Incomplete","Complete")))</f>
        <v>Complete</v>
      </c>
      <c r="I1713" s="39" t="s">
        <v>1933</v>
      </c>
    </row>
    <row r="1714" spans="2:9" ht="15" customHeight="1" x14ac:dyDescent="0.25">
      <c r="B1714" s="37" t="s">
        <v>1887</v>
      </c>
      <c r="C1714" s="26">
        <v>47</v>
      </c>
      <c r="D1714" s="38" t="s">
        <v>2706</v>
      </c>
      <c r="E1714" s="59"/>
      <c r="F1714" s="59" t="str">
        <f>IF(INDEX(I.Gas.P3C1E1,47)="","",INDEX(I.Gas.P3C1E1,47))</f>
        <v/>
      </c>
      <c r="G1714" s="59"/>
      <c r="H1714" s="26" t="str">
        <f>IF(OR(I.Developer.P3=FALSE,I.Facility.StandardPart="Part 2"),"Complete",IF(I.Product.P3GasToPower="No","Complete",IF(AND(I.Gas.P3Count&gt;=47,F1714=""),"Incomplete","Complete")))</f>
        <v>Complete</v>
      </c>
      <c r="I1714" s="39" t="s">
        <v>1934</v>
      </c>
    </row>
    <row r="1715" spans="2:9" ht="15" customHeight="1" x14ac:dyDescent="0.25">
      <c r="B1715" s="37" t="s">
        <v>1887</v>
      </c>
      <c r="C1715" s="26">
        <v>48</v>
      </c>
      <c r="D1715" s="38" t="s">
        <v>2706</v>
      </c>
      <c r="E1715" s="59"/>
      <c r="F1715" s="59" t="str">
        <f>IF(INDEX(I.Gas.P3C1E1,48)="","",INDEX(I.Gas.P3C1E1,48))</f>
        <v/>
      </c>
      <c r="G1715" s="59"/>
      <c r="H1715" s="26" t="str">
        <f>IF(OR(I.Developer.P3=FALSE,I.Facility.StandardPart="Part 2"),"Complete",IF(I.Product.P3GasToPower="No","Complete",IF(AND(I.Gas.P3Count&gt;=48,F1715=""),"Incomplete","Complete")))</f>
        <v>Complete</v>
      </c>
      <c r="I1715" s="39" t="s">
        <v>1935</v>
      </c>
    </row>
    <row r="1716" spans="2:9" ht="15" customHeight="1" x14ac:dyDescent="0.25">
      <c r="B1716" s="37" t="s">
        <v>1887</v>
      </c>
      <c r="C1716" s="26">
        <v>49</v>
      </c>
      <c r="D1716" s="38" t="s">
        <v>2706</v>
      </c>
      <c r="E1716" s="59"/>
      <c r="F1716" s="59" t="str">
        <f>IF(INDEX(I.Gas.P3C1E1,49)="","",INDEX(I.Gas.P3C1E1,49))</f>
        <v/>
      </c>
      <c r="G1716" s="59"/>
      <c r="H1716" s="26" t="str">
        <f>IF(OR(I.Developer.P3=FALSE,I.Facility.StandardPart="Part 2"),"Complete",IF(I.Product.P3GasToPower="No","Complete",IF(AND(I.Gas.P3Count&gt;=49,F1716=""),"Incomplete","Complete")))</f>
        <v>Complete</v>
      </c>
      <c r="I1716" s="39" t="s">
        <v>1936</v>
      </c>
    </row>
    <row r="1717" spans="2:9" ht="15" customHeight="1" x14ac:dyDescent="0.25">
      <c r="B1717" s="40" t="s">
        <v>1887</v>
      </c>
      <c r="C1717" s="46">
        <v>50</v>
      </c>
      <c r="D1717" s="44" t="s">
        <v>2706</v>
      </c>
      <c r="E1717" s="63"/>
      <c r="F1717" s="63" t="str">
        <f>IF(INDEX(I.Gas.P3C1E1,50)="","",INDEX(I.Gas.P3C1E1,50))</f>
        <v/>
      </c>
      <c r="G1717" s="63"/>
      <c r="H1717" s="46" t="str">
        <f>IF(OR(I.Developer.P3=FALSE,I.Facility.StandardPart="Part 2"),"Complete",IF(I.Product.P3GasToPower="No","Complete",IF(AND(I.Gas.P3Count&gt;=50,F1717=""),"Incomplete","Complete")))</f>
        <v>Complete</v>
      </c>
      <c r="I1717" s="47" t="s">
        <v>1937</v>
      </c>
    </row>
    <row r="1718" spans="2:9" ht="15" customHeight="1" x14ac:dyDescent="0.25">
      <c r="B1718" s="37" t="s">
        <v>1938</v>
      </c>
      <c r="C1718" s="26">
        <v>1</v>
      </c>
      <c r="D1718" s="38" t="s">
        <v>2707</v>
      </c>
      <c r="E1718" s="59"/>
      <c r="F1718" s="59" t="str">
        <f>IF(INDEX(I.Gas.P3C1E2,1)="","",INDEX(I.Gas.P3C1E2,1))</f>
        <v/>
      </c>
      <c r="G1718" s="59"/>
      <c r="H1718" s="26" t="str">
        <f>IF(OR(I.Developer.P3=FALSE,I.Facility.StandardPart="Part 2"),"Complete",IF(I.Product.P3GasToPower="No","Complete",IF(AND(I.Gas.P3Count&gt;=1,F1718=""),"Incomplete","Complete")))</f>
        <v>Complete</v>
      </c>
      <c r="I1718" s="39" t="s">
        <v>1939</v>
      </c>
    </row>
    <row r="1719" spans="2:9" ht="15" customHeight="1" x14ac:dyDescent="0.25">
      <c r="B1719" s="37" t="s">
        <v>1938</v>
      </c>
      <c r="C1719" s="26">
        <v>2</v>
      </c>
      <c r="D1719" s="38" t="s">
        <v>2707</v>
      </c>
      <c r="E1719" s="59"/>
      <c r="F1719" s="59" t="str">
        <f>IF(INDEX(I.Gas.P3C1E2,2)="","",INDEX(I.Gas.P3C1E2,2))</f>
        <v/>
      </c>
      <c r="G1719" s="59"/>
      <c r="H1719" s="26" t="str">
        <f>IF(OR(I.Developer.P3=FALSE,I.Facility.StandardPart="Part 2"),"Complete",IF(I.Product.P3GasToPower="No","Complete",IF(AND(I.Gas.P3Count&gt;=2,F1719=""),"Incomplete","Complete")))</f>
        <v>Complete</v>
      </c>
      <c r="I1719" s="39" t="s">
        <v>1940</v>
      </c>
    </row>
    <row r="1720" spans="2:9" ht="15" customHeight="1" x14ac:dyDescent="0.25">
      <c r="B1720" s="37" t="s">
        <v>1938</v>
      </c>
      <c r="C1720" s="26">
        <v>3</v>
      </c>
      <c r="D1720" s="38" t="s">
        <v>2707</v>
      </c>
      <c r="E1720" s="59"/>
      <c r="F1720" s="59" t="str">
        <f>IF(INDEX(I.Gas.P3C1E2,3)="","",INDEX(I.Gas.P3C1E2,3))</f>
        <v/>
      </c>
      <c r="G1720" s="59"/>
      <c r="H1720" s="26" t="str">
        <f>IF(OR(I.Developer.P3=FALSE,I.Facility.StandardPart="Part 2"),"Complete",IF(I.Product.P3GasToPower="No","Complete",IF(AND(I.Gas.P3Count&gt;=3,F1720=""),"Incomplete","Complete")))</f>
        <v>Complete</v>
      </c>
      <c r="I1720" s="39" t="s">
        <v>1941</v>
      </c>
    </row>
    <row r="1721" spans="2:9" ht="15" customHeight="1" x14ac:dyDescent="0.25">
      <c r="B1721" s="37" t="s">
        <v>1938</v>
      </c>
      <c r="C1721" s="26">
        <v>4</v>
      </c>
      <c r="D1721" s="38" t="s">
        <v>2707</v>
      </c>
      <c r="E1721" s="59"/>
      <c r="F1721" s="59" t="str">
        <f>IF(INDEX(I.Gas.P3C1E2,4)="","",INDEX(I.Gas.P3C1E2,4))</f>
        <v/>
      </c>
      <c r="G1721" s="59"/>
      <c r="H1721" s="26" t="str">
        <f>IF(OR(I.Developer.P3=FALSE,I.Facility.StandardPart="Part 2"),"Complete",IF(I.Product.P3GasToPower="No","Complete",IF(AND(I.Gas.P3Count&gt;=4,F1721=""),"Incomplete","Complete")))</f>
        <v>Complete</v>
      </c>
      <c r="I1721" s="39" t="s">
        <v>1942</v>
      </c>
    </row>
    <row r="1722" spans="2:9" ht="15" customHeight="1" x14ac:dyDescent="0.25">
      <c r="B1722" s="37" t="s">
        <v>1938</v>
      </c>
      <c r="C1722" s="26">
        <v>5</v>
      </c>
      <c r="D1722" s="38" t="s">
        <v>2707</v>
      </c>
      <c r="E1722" s="59"/>
      <c r="F1722" s="59" t="str">
        <f>IF(INDEX(I.Gas.P3C1E2,5)="","",INDEX(I.Gas.P3C1E2,5))</f>
        <v/>
      </c>
      <c r="G1722" s="59"/>
      <c r="H1722" s="26" t="str">
        <f>IF(OR(I.Developer.P3=FALSE,I.Facility.StandardPart="Part 2"),"Complete",IF(I.Product.P3GasToPower="No","Complete",IF(AND(I.Gas.P3Count&gt;=5,F1722=""),"Incomplete","Complete")))</f>
        <v>Complete</v>
      </c>
      <c r="I1722" s="39" t="s">
        <v>1943</v>
      </c>
    </row>
    <row r="1723" spans="2:9" ht="15" customHeight="1" x14ac:dyDescent="0.25">
      <c r="B1723" s="37" t="s">
        <v>1938</v>
      </c>
      <c r="C1723" s="26">
        <v>6</v>
      </c>
      <c r="D1723" s="38" t="s">
        <v>2707</v>
      </c>
      <c r="E1723" s="59"/>
      <c r="F1723" s="59" t="str">
        <f>IF(INDEX(I.Gas.P3C1E2,6)="","",INDEX(I.Gas.P3C1E2,6))</f>
        <v/>
      </c>
      <c r="G1723" s="59"/>
      <c r="H1723" s="26" t="str">
        <f>IF(OR(I.Developer.P3=FALSE,I.Facility.StandardPart="Part 2"),"Complete",IF(I.Product.P3GasToPower="No","Complete",IF(AND(I.Gas.P3Count&gt;=6,F1723=""),"Incomplete","Complete")))</f>
        <v>Complete</v>
      </c>
      <c r="I1723" s="39" t="s">
        <v>1944</v>
      </c>
    </row>
    <row r="1724" spans="2:9" ht="15" customHeight="1" x14ac:dyDescent="0.25">
      <c r="B1724" s="37" t="s">
        <v>1938</v>
      </c>
      <c r="C1724" s="26">
        <v>7</v>
      </c>
      <c r="D1724" s="38" t="s">
        <v>2707</v>
      </c>
      <c r="E1724" s="59"/>
      <c r="F1724" s="59" t="str">
        <f>IF(INDEX(I.Gas.P3C1E2,7)="","",INDEX(I.Gas.P3C1E2,7))</f>
        <v/>
      </c>
      <c r="G1724" s="59"/>
      <c r="H1724" s="26" t="str">
        <f>IF(OR(I.Developer.P3=FALSE,I.Facility.StandardPart="Part 2"),"Complete",IF(I.Product.P3GasToPower="No","Complete",IF(AND(I.Gas.P3Count&gt;=7,F1724=""),"Incomplete","Complete")))</f>
        <v>Complete</v>
      </c>
      <c r="I1724" s="39" t="s">
        <v>1945</v>
      </c>
    </row>
    <row r="1725" spans="2:9" ht="15" customHeight="1" x14ac:dyDescent="0.25">
      <c r="B1725" s="37" t="s">
        <v>1938</v>
      </c>
      <c r="C1725" s="26">
        <v>8</v>
      </c>
      <c r="D1725" s="38" t="s">
        <v>2707</v>
      </c>
      <c r="E1725" s="59"/>
      <c r="F1725" s="59" t="str">
        <f>IF(INDEX(I.Gas.P3C1E2,8)="","",INDEX(I.Gas.P3C1E2,8))</f>
        <v/>
      </c>
      <c r="G1725" s="59"/>
      <c r="H1725" s="26" t="str">
        <f>IF(OR(I.Developer.P3=FALSE,I.Facility.StandardPart="Part 2"),"Complete",IF(I.Product.P3GasToPower="No","Complete",IF(AND(I.Gas.P3Count&gt;=8,F1725=""),"Incomplete","Complete")))</f>
        <v>Complete</v>
      </c>
      <c r="I1725" s="39" t="s">
        <v>1946</v>
      </c>
    </row>
    <row r="1726" spans="2:9" ht="15" customHeight="1" x14ac:dyDescent="0.25">
      <c r="B1726" s="37" t="s">
        <v>1938</v>
      </c>
      <c r="C1726" s="26">
        <v>9</v>
      </c>
      <c r="D1726" s="38" t="s">
        <v>2707</v>
      </c>
      <c r="E1726" s="59"/>
      <c r="F1726" s="59" t="str">
        <f>IF(INDEX(I.Gas.P3C1E2,9)="","",INDEX(I.Gas.P3C1E2,9))</f>
        <v/>
      </c>
      <c r="G1726" s="59"/>
      <c r="H1726" s="26" t="str">
        <f>IF(OR(I.Developer.P3=FALSE,I.Facility.StandardPart="Part 2"),"Complete",IF(I.Product.P3GasToPower="No","Complete",IF(AND(I.Gas.P3Count&gt;=9,F1726=""),"Incomplete","Complete")))</f>
        <v>Complete</v>
      </c>
      <c r="I1726" s="39" t="s">
        <v>1947</v>
      </c>
    </row>
    <row r="1727" spans="2:9" ht="15" customHeight="1" x14ac:dyDescent="0.25">
      <c r="B1727" s="37" t="s">
        <v>1938</v>
      </c>
      <c r="C1727" s="26">
        <v>10</v>
      </c>
      <c r="D1727" s="38" t="s">
        <v>2707</v>
      </c>
      <c r="E1727" s="59"/>
      <c r="F1727" s="59" t="str">
        <f>IF(INDEX(I.Gas.P3C1E2,10)="","",INDEX(I.Gas.P3C1E2,10))</f>
        <v/>
      </c>
      <c r="G1727" s="59"/>
      <c r="H1727" s="26" t="str">
        <f>IF(OR(I.Developer.P3=FALSE,I.Facility.StandardPart="Part 2"),"Complete",IF(I.Product.P3GasToPower="No","Complete",IF(AND(I.Gas.P3Count&gt;=10,F1727=""),"Incomplete","Complete")))</f>
        <v>Complete</v>
      </c>
      <c r="I1727" s="39" t="s">
        <v>1948</v>
      </c>
    </row>
    <row r="1728" spans="2:9" ht="15" customHeight="1" x14ac:dyDescent="0.25">
      <c r="B1728" s="37" t="s">
        <v>1938</v>
      </c>
      <c r="C1728" s="26">
        <v>11</v>
      </c>
      <c r="D1728" s="38" t="s">
        <v>2707</v>
      </c>
      <c r="E1728" s="59"/>
      <c r="F1728" s="59" t="str">
        <f>IF(INDEX(I.Gas.P3C1E2,11)="","",INDEX(I.Gas.P3C1E2,11))</f>
        <v/>
      </c>
      <c r="G1728" s="59"/>
      <c r="H1728" s="26" t="str">
        <f>IF(OR(I.Developer.P3=FALSE,I.Facility.StandardPart="Part 2"),"Complete",IF(I.Product.P3GasToPower="No","Complete",IF(AND(I.Gas.P3Count&gt;=11,F1728=""),"Incomplete","Complete")))</f>
        <v>Complete</v>
      </c>
      <c r="I1728" s="39" t="s">
        <v>1949</v>
      </c>
    </row>
    <row r="1729" spans="2:9" ht="15" customHeight="1" x14ac:dyDescent="0.25">
      <c r="B1729" s="37" t="s">
        <v>1938</v>
      </c>
      <c r="C1729" s="26">
        <v>12</v>
      </c>
      <c r="D1729" s="38" t="s">
        <v>2707</v>
      </c>
      <c r="E1729" s="59"/>
      <c r="F1729" s="59" t="str">
        <f>IF(INDEX(I.Gas.P3C1E2,12)="","",INDEX(I.Gas.P3C1E2,12))</f>
        <v/>
      </c>
      <c r="G1729" s="59"/>
      <c r="H1729" s="26" t="str">
        <f>IF(OR(I.Developer.P3=FALSE,I.Facility.StandardPart="Part 2"),"Complete",IF(I.Product.P3GasToPower="No","Complete",IF(AND(I.Gas.P3Count&gt;=12,F1729=""),"Incomplete","Complete")))</f>
        <v>Complete</v>
      </c>
      <c r="I1729" s="39" t="s">
        <v>1950</v>
      </c>
    </row>
    <row r="1730" spans="2:9" ht="15" customHeight="1" x14ac:dyDescent="0.25">
      <c r="B1730" s="37" t="s">
        <v>1938</v>
      </c>
      <c r="C1730" s="26">
        <v>13</v>
      </c>
      <c r="D1730" s="38" t="s">
        <v>2707</v>
      </c>
      <c r="E1730" s="59"/>
      <c r="F1730" s="59" t="str">
        <f>IF(INDEX(I.Gas.P3C1E2,13)="","",INDEX(I.Gas.P3C1E2,13))</f>
        <v/>
      </c>
      <c r="G1730" s="59"/>
      <c r="H1730" s="26" t="str">
        <f>IF(OR(I.Developer.P3=FALSE,I.Facility.StandardPart="Part 2"),"Complete",IF(I.Product.P3GasToPower="No","Complete",IF(AND(I.Gas.P3Count&gt;=13,F1730=""),"Incomplete","Complete")))</f>
        <v>Complete</v>
      </c>
      <c r="I1730" s="39" t="s">
        <v>1951</v>
      </c>
    </row>
    <row r="1731" spans="2:9" ht="15" customHeight="1" x14ac:dyDescent="0.25">
      <c r="B1731" s="37" t="s">
        <v>1938</v>
      </c>
      <c r="C1731" s="26">
        <v>14</v>
      </c>
      <c r="D1731" s="38" t="s">
        <v>2707</v>
      </c>
      <c r="E1731" s="59"/>
      <c r="F1731" s="59" t="str">
        <f>IF(INDEX(I.Gas.P3C1E2,14)="","",INDEX(I.Gas.P3C1E2,14))</f>
        <v/>
      </c>
      <c r="G1731" s="59"/>
      <c r="H1731" s="26" t="str">
        <f>IF(OR(I.Developer.P3=FALSE,I.Facility.StandardPart="Part 2"),"Complete",IF(I.Product.P3GasToPower="No","Complete",IF(AND(I.Gas.P3Count&gt;=14,F1731=""),"Incomplete","Complete")))</f>
        <v>Complete</v>
      </c>
      <c r="I1731" s="39" t="s">
        <v>1952</v>
      </c>
    </row>
    <row r="1732" spans="2:9" ht="15" customHeight="1" x14ac:dyDescent="0.25">
      <c r="B1732" s="37" t="s">
        <v>1938</v>
      </c>
      <c r="C1732" s="26">
        <v>15</v>
      </c>
      <c r="D1732" s="38" t="s">
        <v>2707</v>
      </c>
      <c r="E1732" s="59"/>
      <c r="F1732" s="59" t="str">
        <f>IF(INDEX(I.Gas.P3C1E2,15)="","",INDEX(I.Gas.P3C1E2,15))</f>
        <v/>
      </c>
      <c r="G1732" s="59"/>
      <c r="H1732" s="26" t="str">
        <f>IF(OR(I.Developer.P3=FALSE,I.Facility.StandardPart="Part 2"),"Complete",IF(I.Product.P3GasToPower="No","Complete",IF(AND(I.Gas.P3Count&gt;=15,F1732=""),"Incomplete","Complete")))</f>
        <v>Complete</v>
      </c>
      <c r="I1732" s="39" t="s">
        <v>1953</v>
      </c>
    </row>
    <row r="1733" spans="2:9" ht="15" customHeight="1" x14ac:dyDescent="0.25">
      <c r="B1733" s="37" t="s">
        <v>1938</v>
      </c>
      <c r="C1733" s="26">
        <v>16</v>
      </c>
      <c r="D1733" s="38" t="s">
        <v>2707</v>
      </c>
      <c r="E1733" s="59"/>
      <c r="F1733" s="59" t="str">
        <f>IF(INDEX(I.Gas.P3C1E2,16)="","",INDEX(I.Gas.P3C1E2,16))</f>
        <v/>
      </c>
      <c r="G1733" s="59"/>
      <c r="H1733" s="26" t="str">
        <f>IF(OR(I.Developer.P3=FALSE,I.Facility.StandardPart="Part 2"),"Complete",IF(I.Product.P3GasToPower="No","Complete",IF(AND(I.Gas.P3Count&gt;=16,F1733=""),"Incomplete","Complete")))</f>
        <v>Complete</v>
      </c>
      <c r="I1733" s="39" t="s">
        <v>1954</v>
      </c>
    </row>
    <row r="1734" spans="2:9" ht="15" customHeight="1" x14ac:dyDescent="0.25">
      <c r="B1734" s="37" t="s">
        <v>1938</v>
      </c>
      <c r="C1734" s="26">
        <v>17</v>
      </c>
      <c r="D1734" s="38" t="s">
        <v>2707</v>
      </c>
      <c r="E1734" s="59"/>
      <c r="F1734" s="59" t="str">
        <f>IF(INDEX(I.Gas.P3C1E2,17)="","",INDEX(I.Gas.P3C1E2,17))</f>
        <v/>
      </c>
      <c r="G1734" s="59"/>
      <c r="H1734" s="26" t="str">
        <f>IF(OR(I.Developer.P3=FALSE,I.Facility.StandardPart="Part 2"),"Complete",IF(I.Product.P3GasToPower="No","Complete",IF(AND(I.Gas.P3Count&gt;=17,F1734=""),"Incomplete","Complete")))</f>
        <v>Complete</v>
      </c>
      <c r="I1734" s="39" t="s">
        <v>1955</v>
      </c>
    </row>
    <row r="1735" spans="2:9" ht="15" customHeight="1" x14ac:dyDescent="0.25">
      <c r="B1735" s="37" t="s">
        <v>1938</v>
      </c>
      <c r="C1735" s="26">
        <v>18</v>
      </c>
      <c r="D1735" s="38" t="s">
        <v>2707</v>
      </c>
      <c r="E1735" s="59"/>
      <c r="F1735" s="59" t="str">
        <f>IF(INDEX(I.Gas.P3C1E2,18)="","",INDEX(I.Gas.P3C1E2,18))</f>
        <v/>
      </c>
      <c r="G1735" s="59"/>
      <c r="H1735" s="26" t="str">
        <f>IF(OR(I.Developer.P3=FALSE,I.Facility.StandardPart="Part 2"),"Complete",IF(I.Product.P3GasToPower="No","Complete",IF(AND(I.Gas.P3Count&gt;=18,F1735=""),"Incomplete","Complete")))</f>
        <v>Complete</v>
      </c>
      <c r="I1735" s="39" t="s">
        <v>1956</v>
      </c>
    </row>
    <row r="1736" spans="2:9" ht="15" customHeight="1" x14ac:dyDescent="0.25">
      <c r="B1736" s="37" t="s">
        <v>1938</v>
      </c>
      <c r="C1736" s="26">
        <v>19</v>
      </c>
      <c r="D1736" s="38" t="s">
        <v>2707</v>
      </c>
      <c r="E1736" s="59"/>
      <c r="F1736" s="59" t="str">
        <f>IF(INDEX(I.Gas.P3C1E2,19)="","",INDEX(I.Gas.P3C1E2,19))</f>
        <v/>
      </c>
      <c r="G1736" s="59"/>
      <c r="H1736" s="26" t="str">
        <f>IF(OR(I.Developer.P3=FALSE,I.Facility.StandardPart="Part 2"),"Complete",IF(I.Product.P3GasToPower="No","Complete",IF(AND(I.Gas.P3Count&gt;=19,F1736=""),"Incomplete","Complete")))</f>
        <v>Complete</v>
      </c>
      <c r="I1736" s="39" t="s">
        <v>1957</v>
      </c>
    </row>
    <row r="1737" spans="2:9" ht="15" customHeight="1" x14ac:dyDescent="0.25">
      <c r="B1737" s="37" t="s">
        <v>1938</v>
      </c>
      <c r="C1737" s="26">
        <v>20</v>
      </c>
      <c r="D1737" s="38" t="s">
        <v>2707</v>
      </c>
      <c r="E1737" s="59"/>
      <c r="F1737" s="59" t="str">
        <f>IF(INDEX(I.Gas.P3C1E2,20)="","",INDEX(I.Gas.P3C1E2,20))</f>
        <v/>
      </c>
      <c r="G1737" s="59"/>
      <c r="H1737" s="26" t="str">
        <f>IF(OR(I.Developer.P3=FALSE,I.Facility.StandardPart="Part 2"),"Complete",IF(I.Product.P3GasToPower="No","Complete",IF(AND(I.Gas.P3Count&gt;=20,F1737=""),"Incomplete","Complete")))</f>
        <v>Complete</v>
      </c>
      <c r="I1737" s="39" t="s">
        <v>1958</v>
      </c>
    </row>
    <row r="1738" spans="2:9" ht="15" customHeight="1" x14ac:dyDescent="0.25">
      <c r="B1738" s="37" t="s">
        <v>1938</v>
      </c>
      <c r="C1738" s="26">
        <v>21</v>
      </c>
      <c r="D1738" s="38" t="s">
        <v>2707</v>
      </c>
      <c r="E1738" s="59"/>
      <c r="F1738" s="59" t="str">
        <f>IF(INDEX(I.Gas.P3C1E2,21)="","",INDEX(I.Gas.P3C1E2,21))</f>
        <v/>
      </c>
      <c r="G1738" s="59"/>
      <c r="H1738" s="26" t="str">
        <f>IF(OR(I.Developer.P3=FALSE,I.Facility.StandardPart="Part 2"),"Complete",IF(I.Product.P3GasToPower="No","Complete",IF(AND(I.Gas.P3Count&gt;=21,F1738=""),"Incomplete","Complete")))</f>
        <v>Complete</v>
      </c>
      <c r="I1738" s="39" t="s">
        <v>1959</v>
      </c>
    </row>
    <row r="1739" spans="2:9" ht="15" customHeight="1" x14ac:dyDescent="0.25">
      <c r="B1739" s="37" t="s">
        <v>1938</v>
      </c>
      <c r="C1739" s="26">
        <v>22</v>
      </c>
      <c r="D1739" s="38" t="s">
        <v>2707</v>
      </c>
      <c r="E1739" s="59"/>
      <c r="F1739" s="59" t="str">
        <f>IF(INDEX(I.Gas.P3C1E2,22)="","",INDEX(I.Gas.P3C1E2,22))</f>
        <v/>
      </c>
      <c r="G1739" s="59"/>
      <c r="H1739" s="26" t="str">
        <f>IF(OR(I.Developer.P3=FALSE,I.Facility.StandardPart="Part 2"),"Complete",IF(I.Product.P3GasToPower="No","Complete",IF(AND(I.Gas.P3Count&gt;=22,F1739=""),"Incomplete","Complete")))</f>
        <v>Complete</v>
      </c>
      <c r="I1739" s="39" t="s">
        <v>1960</v>
      </c>
    </row>
    <row r="1740" spans="2:9" ht="15" customHeight="1" x14ac:dyDescent="0.25">
      <c r="B1740" s="37" t="s">
        <v>1938</v>
      </c>
      <c r="C1740" s="26">
        <v>23</v>
      </c>
      <c r="D1740" s="38" t="s">
        <v>2707</v>
      </c>
      <c r="E1740" s="59"/>
      <c r="F1740" s="59" t="str">
        <f>IF(INDEX(I.Gas.P3C1E2,23)="","",INDEX(I.Gas.P3C1E2,23))</f>
        <v/>
      </c>
      <c r="G1740" s="59"/>
      <c r="H1740" s="26" t="str">
        <f>IF(OR(I.Developer.P3=FALSE,I.Facility.StandardPart="Part 2"),"Complete",IF(I.Product.P3GasToPower="No","Complete",IF(AND(I.Gas.P3Count&gt;=23,F1740=""),"Incomplete","Complete")))</f>
        <v>Complete</v>
      </c>
      <c r="I1740" s="39" t="s">
        <v>1961</v>
      </c>
    </row>
    <row r="1741" spans="2:9" ht="15" customHeight="1" x14ac:dyDescent="0.25">
      <c r="B1741" s="37" t="s">
        <v>1938</v>
      </c>
      <c r="C1741" s="26">
        <v>24</v>
      </c>
      <c r="D1741" s="38" t="s">
        <v>2707</v>
      </c>
      <c r="E1741" s="59"/>
      <c r="F1741" s="59" t="str">
        <f>IF(INDEX(I.Gas.P3C1E2,24)="","",INDEX(I.Gas.P3C1E2,24))</f>
        <v/>
      </c>
      <c r="G1741" s="59"/>
      <c r="H1741" s="26" t="str">
        <f>IF(OR(I.Developer.P3=FALSE,I.Facility.StandardPart="Part 2"),"Complete",IF(I.Product.P3GasToPower="No","Complete",IF(AND(I.Gas.P3Count&gt;=24,F1741=""),"Incomplete","Complete")))</f>
        <v>Complete</v>
      </c>
      <c r="I1741" s="39" t="s">
        <v>1962</v>
      </c>
    </row>
    <row r="1742" spans="2:9" ht="15" customHeight="1" x14ac:dyDescent="0.25">
      <c r="B1742" s="37" t="s">
        <v>1938</v>
      </c>
      <c r="C1742" s="26">
        <v>25</v>
      </c>
      <c r="D1742" s="38" t="s">
        <v>2707</v>
      </c>
      <c r="E1742" s="59"/>
      <c r="F1742" s="59" t="str">
        <f>IF(INDEX(I.Gas.P3C1E2,25)="","",INDEX(I.Gas.P3C1E2,25))</f>
        <v/>
      </c>
      <c r="G1742" s="59"/>
      <c r="H1742" s="26" t="str">
        <f>IF(OR(I.Developer.P3=FALSE,I.Facility.StandardPart="Part 2"),"Complete",IF(I.Product.P3GasToPower="No","Complete",IF(AND(I.Gas.P3Count&gt;=25,F1742=""),"Incomplete","Complete")))</f>
        <v>Complete</v>
      </c>
      <c r="I1742" s="39" t="s">
        <v>1963</v>
      </c>
    </row>
    <row r="1743" spans="2:9" ht="15" customHeight="1" x14ac:dyDescent="0.25">
      <c r="B1743" s="37" t="s">
        <v>1938</v>
      </c>
      <c r="C1743" s="26">
        <v>26</v>
      </c>
      <c r="D1743" s="38" t="s">
        <v>2707</v>
      </c>
      <c r="E1743" s="59"/>
      <c r="F1743" s="59" t="str">
        <f>IF(INDEX(I.Gas.P3C1E2,26)="","",INDEX(I.Gas.P3C1E2,26))</f>
        <v/>
      </c>
      <c r="G1743" s="59"/>
      <c r="H1743" s="26" t="str">
        <f>IF(OR(I.Developer.P3=FALSE,I.Facility.StandardPart="Part 2"),"Complete",IF(I.Product.P3GasToPower="No","Complete",IF(AND(I.Gas.P3Count&gt;=26,F1743=""),"Incomplete","Complete")))</f>
        <v>Complete</v>
      </c>
      <c r="I1743" s="39" t="s">
        <v>1964</v>
      </c>
    </row>
    <row r="1744" spans="2:9" ht="15" customHeight="1" x14ac:dyDescent="0.25">
      <c r="B1744" s="37" t="s">
        <v>1938</v>
      </c>
      <c r="C1744" s="26">
        <v>27</v>
      </c>
      <c r="D1744" s="38" t="s">
        <v>2707</v>
      </c>
      <c r="E1744" s="59"/>
      <c r="F1744" s="59" t="str">
        <f>IF(INDEX(I.Gas.P3C1E2,27)="","",INDEX(I.Gas.P3C1E2,27))</f>
        <v/>
      </c>
      <c r="G1744" s="59"/>
      <c r="H1744" s="26" t="str">
        <f>IF(OR(I.Developer.P3=FALSE,I.Facility.StandardPart="Part 2"),"Complete",IF(I.Product.P3GasToPower="No","Complete",IF(AND(I.Gas.P3Count&gt;=27,F1744=""),"Incomplete","Complete")))</f>
        <v>Complete</v>
      </c>
      <c r="I1744" s="39" t="s">
        <v>1965</v>
      </c>
    </row>
    <row r="1745" spans="2:9" ht="15" customHeight="1" x14ac:dyDescent="0.25">
      <c r="B1745" s="37" t="s">
        <v>1938</v>
      </c>
      <c r="C1745" s="26">
        <v>28</v>
      </c>
      <c r="D1745" s="38" t="s">
        <v>2707</v>
      </c>
      <c r="E1745" s="59"/>
      <c r="F1745" s="59" t="str">
        <f>IF(INDEX(I.Gas.P3C1E2,28)="","",INDEX(I.Gas.P3C1E2,28))</f>
        <v/>
      </c>
      <c r="G1745" s="59"/>
      <c r="H1745" s="26" t="str">
        <f>IF(OR(I.Developer.P3=FALSE,I.Facility.StandardPart="Part 2"),"Complete",IF(I.Product.P3GasToPower="No","Complete",IF(AND(I.Gas.P3Count&gt;=28,F1745=""),"Incomplete","Complete")))</f>
        <v>Complete</v>
      </c>
      <c r="I1745" s="39" t="s">
        <v>1966</v>
      </c>
    </row>
    <row r="1746" spans="2:9" ht="15" customHeight="1" x14ac:dyDescent="0.25">
      <c r="B1746" s="37" t="s">
        <v>1938</v>
      </c>
      <c r="C1746" s="26">
        <v>29</v>
      </c>
      <c r="D1746" s="38" t="s">
        <v>2707</v>
      </c>
      <c r="E1746" s="59"/>
      <c r="F1746" s="59" t="str">
        <f>IF(INDEX(I.Gas.P3C1E2,29)="","",INDEX(I.Gas.P3C1E2,29))</f>
        <v/>
      </c>
      <c r="G1746" s="59"/>
      <c r="H1746" s="26" t="str">
        <f>IF(OR(I.Developer.P3=FALSE,I.Facility.StandardPart="Part 2"),"Complete",IF(I.Product.P3GasToPower="No","Complete",IF(AND(I.Gas.P3Count&gt;=29,F1746=""),"Incomplete","Complete")))</f>
        <v>Complete</v>
      </c>
      <c r="I1746" s="39" t="s">
        <v>1967</v>
      </c>
    </row>
    <row r="1747" spans="2:9" ht="15" customHeight="1" x14ac:dyDescent="0.25">
      <c r="B1747" s="37" t="s">
        <v>1938</v>
      </c>
      <c r="C1747" s="26">
        <v>30</v>
      </c>
      <c r="D1747" s="38" t="s">
        <v>2707</v>
      </c>
      <c r="E1747" s="59"/>
      <c r="F1747" s="59" t="str">
        <f>IF(INDEX(I.Gas.P3C1E2,30)="","",INDEX(I.Gas.P3C1E2,30))</f>
        <v/>
      </c>
      <c r="G1747" s="59"/>
      <c r="H1747" s="26" t="str">
        <f>IF(OR(I.Developer.P3=FALSE,I.Facility.StandardPart="Part 2"),"Complete",IF(I.Product.P3GasToPower="No","Complete",IF(AND(I.Gas.P3Count&gt;=30,F1747=""),"Incomplete","Complete")))</f>
        <v>Complete</v>
      </c>
      <c r="I1747" s="39" t="s">
        <v>1968</v>
      </c>
    </row>
    <row r="1748" spans="2:9" ht="15" customHeight="1" x14ac:dyDescent="0.25">
      <c r="B1748" s="37" t="s">
        <v>1938</v>
      </c>
      <c r="C1748" s="26">
        <v>31</v>
      </c>
      <c r="D1748" s="38" t="s">
        <v>2707</v>
      </c>
      <c r="E1748" s="59"/>
      <c r="F1748" s="59" t="str">
        <f>IF(INDEX(I.Gas.P3C1E2,31)="","",INDEX(I.Gas.P3C1E2,31))</f>
        <v/>
      </c>
      <c r="G1748" s="59"/>
      <c r="H1748" s="26" t="str">
        <f>IF(OR(I.Developer.P3=FALSE,I.Facility.StandardPart="Part 2"),"Complete",IF(I.Product.P3GasToPower="No","Complete",IF(AND(I.Gas.P3Count&gt;=31,F1748=""),"Incomplete","Complete")))</f>
        <v>Complete</v>
      </c>
      <c r="I1748" s="39" t="s">
        <v>1969</v>
      </c>
    </row>
    <row r="1749" spans="2:9" ht="15" customHeight="1" x14ac:dyDescent="0.25">
      <c r="B1749" s="37" t="s">
        <v>1938</v>
      </c>
      <c r="C1749" s="26">
        <v>32</v>
      </c>
      <c r="D1749" s="38" t="s">
        <v>2707</v>
      </c>
      <c r="E1749" s="59"/>
      <c r="F1749" s="59" t="str">
        <f>IF(INDEX(I.Gas.P3C1E2,32)="","",INDEX(I.Gas.P3C1E2,32))</f>
        <v/>
      </c>
      <c r="G1749" s="59"/>
      <c r="H1749" s="26" t="str">
        <f>IF(OR(I.Developer.P3=FALSE,I.Facility.StandardPart="Part 2"),"Complete",IF(I.Product.P3GasToPower="No","Complete",IF(AND(I.Gas.P3Count&gt;=32,F1749=""),"Incomplete","Complete")))</f>
        <v>Complete</v>
      </c>
      <c r="I1749" s="39" t="s">
        <v>1970</v>
      </c>
    </row>
    <row r="1750" spans="2:9" ht="15" customHeight="1" x14ac:dyDescent="0.25">
      <c r="B1750" s="37" t="s">
        <v>1938</v>
      </c>
      <c r="C1750" s="26">
        <v>33</v>
      </c>
      <c r="D1750" s="38" t="s">
        <v>2707</v>
      </c>
      <c r="E1750" s="59"/>
      <c r="F1750" s="59" t="str">
        <f>IF(INDEX(I.Gas.P3C1E2,33)="","",INDEX(I.Gas.P3C1E2,33))</f>
        <v/>
      </c>
      <c r="G1750" s="59"/>
      <c r="H1750" s="26" t="str">
        <f>IF(OR(I.Developer.P3=FALSE,I.Facility.StandardPart="Part 2"),"Complete",IF(I.Product.P3GasToPower="No","Complete",IF(AND(I.Gas.P3Count&gt;=33,F1750=""),"Incomplete","Complete")))</f>
        <v>Complete</v>
      </c>
      <c r="I1750" s="39" t="s">
        <v>1971</v>
      </c>
    </row>
    <row r="1751" spans="2:9" ht="15" customHeight="1" x14ac:dyDescent="0.25">
      <c r="B1751" s="37" t="s">
        <v>1938</v>
      </c>
      <c r="C1751" s="26">
        <v>34</v>
      </c>
      <c r="D1751" s="38" t="s">
        <v>2707</v>
      </c>
      <c r="E1751" s="59"/>
      <c r="F1751" s="59" t="str">
        <f>IF(INDEX(I.Gas.P3C1E2,34)="","",INDEX(I.Gas.P3C1E2,34))</f>
        <v/>
      </c>
      <c r="G1751" s="59"/>
      <c r="H1751" s="26" t="str">
        <f>IF(OR(I.Developer.P3=FALSE,I.Facility.StandardPart="Part 2"),"Complete",IF(I.Product.P3GasToPower="No","Complete",IF(AND(I.Gas.P3Count&gt;=34,F1751=""),"Incomplete","Complete")))</f>
        <v>Complete</v>
      </c>
      <c r="I1751" s="39" t="s">
        <v>1972</v>
      </c>
    </row>
    <row r="1752" spans="2:9" ht="15" customHeight="1" x14ac:dyDescent="0.25">
      <c r="B1752" s="37" t="s">
        <v>1938</v>
      </c>
      <c r="C1752" s="26">
        <v>35</v>
      </c>
      <c r="D1752" s="38" t="s">
        <v>2707</v>
      </c>
      <c r="E1752" s="59"/>
      <c r="F1752" s="59" t="str">
        <f>IF(INDEX(I.Gas.P3C1E2,35)="","",INDEX(I.Gas.P3C1E2,35))</f>
        <v/>
      </c>
      <c r="G1752" s="59"/>
      <c r="H1752" s="26" t="str">
        <f>IF(OR(I.Developer.P3=FALSE,I.Facility.StandardPart="Part 2"),"Complete",IF(I.Product.P3GasToPower="No","Complete",IF(AND(I.Gas.P3Count&gt;=35,F1752=""),"Incomplete","Complete")))</f>
        <v>Complete</v>
      </c>
      <c r="I1752" s="39" t="s">
        <v>1973</v>
      </c>
    </row>
    <row r="1753" spans="2:9" ht="15" customHeight="1" x14ac:dyDescent="0.25">
      <c r="B1753" s="37" t="s">
        <v>1938</v>
      </c>
      <c r="C1753" s="26">
        <v>36</v>
      </c>
      <c r="D1753" s="38" t="s">
        <v>2707</v>
      </c>
      <c r="E1753" s="59"/>
      <c r="F1753" s="59" t="str">
        <f>IF(INDEX(I.Gas.P3C1E2,36)="","",INDEX(I.Gas.P3C1E2,36))</f>
        <v/>
      </c>
      <c r="G1753" s="59"/>
      <c r="H1753" s="26" t="str">
        <f>IF(OR(I.Developer.P3=FALSE,I.Facility.StandardPart="Part 2"),"Complete",IF(I.Product.P3GasToPower="No","Complete",IF(AND(I.Gas.P3Count&gt;=36,F1753=""),"Incomplete","Complete")))</f>
        <v>Complete</v>
      </c>
      <c r="I1753" s="39" t="s">
        <v>1974</v>
      </c>
    </row>
    <row r="1754" spans="2:9" ht="15" customHeight="1" x14ac:dyDescent="0.25">
      <c r="B1754" s="37" t="s">
        <v>1938</v>
      </c>
      <c r="C1754" s="26">
        <v>37</v>
      </c>
      <c r="D1754" s="38" t="s">
        <v>2707</v>
      </c>
      <c r="E1754" s="59"/>
      <c r="F1754" s="59" t="str">
        <f>IF(INDEX(I.Gas.P3C1E2,37)="","",INDEX(I.Gas.P3C1E2,37))</f>
        <v/>
      </c>
      <c r="G1754" s="59"/>
      <c r="H1754" s="26" t="str">
        <f>IF(OR(I.Developer.P3=FALSE,I.Facility.StandardPart="Part 2"),"Complete",IF(I.Product.P3GasToPower="No","Complete",IF(AND(I.Gas.P3Count&gt;=37,F1754=""),"Incomplete","Complete")))</f>
        <v>Complete</v>
      </c>
      <c r="I1754" s="39" t="s">
        <v>1975</v>
      </c>
    </row>
    <row r="1755" spans="2:9" ht="15" customHeight="1" x14ac:dyDescent="0.25">
      <c r="B1755" s="37" t="s">
        <v>1938</v>
      </c>
      <c r="C1755" s="26">
        <v>38</v>
      </c>
      <c r="D1755" s="38" t="s">
        <v>2707</v>
      </c>
      <c r="E1755" s="59"/>
      <c r="F1755" s="59" t="str">
        <f>IF(INDEX(I.Gas.P3C1E2,38)="","",INDEX(I.Gas.P3C1E2,38))</f>
        <v/>
      </c>
      <c r="G1755" s="59"/>
      <c r="H1755" s="26" t="str">
        <f>IF(OR(I.Developer.P3=FALSE,I.Facility.StandardPart="Part 2"),"Complete",IF(I.Product.P3GasToPower="No","Complete",IF(AND(I.Gas.P3Count&gt;=38,F1755=""),"Incomplete","Complete")))</f>
        <v>Complete</v>
      </c>
      <c r="I1755" s="39" t="s">
        <v>1976</v>
      </c>
    </row>
    <row r="1756" spans="2:9" ht="15" customHeight="1" x14ac:dyDescent="0.25">
      <c r="B1756" s="37" t="s">
        <v>1938</v>
      </c>
      <c r="C1756" s="26">
        <v>39</v>
      </c>
      <c r="D1756" s="38" t="s">
        <v>2707</v>
      </c>
      <c r="E1756" s="59"/>
      <c r="F1756" s="59" t="str">
        <f>IF(INDEX(I.Gas.P3C1E2,39)="","",INDEX(I.Gas.P3C1E2,39))</f>
        <v/>
      </c>
      <c r="G1756" s="59"/>
      <c r="H1756" s="26" t="str">
        <f>IF(OR(I.Developer.P3=FALSE,I.Facility.StandardPart="Part 2"),"Complete",IF(I.Product.P3GasToPower="No","Complete",IF(AND(I.Gas.P3Count&gt;=39,F1756=""),"Incomplete","Complete")))</f>
        <v>Complete</v>
      </c>
      <c r="I1756" s="39" t="s">
        <v>1977</v>
      </c>
    </row>
    <row r="1757" spans="2:9" ht="15" customHeight="1" x14ac:dyDescent="0.25">
      <c r="B1757" s="37" t="s">
        <v>1938</v>
      </c>
      <c r="C1757" s="26">
        <v>40</v>
      </c>
      <c r="D1757" s="38" t="s">
        <v>2707</v>
      </c>
      <c r="E1757" s="59"/>
      <c r="F1757" s="59" t="str">
        <f>IF(INDEX(I.Gas.P3C1E2,40)="","",INDEX(I.Gas.P3C1E2,40))</f>
        <v/>
      </c>
      <c r="G1757" s="59"/>
      <c r="H1757" s="26" t="str">
        <f>IF(OR(I.Developer.P3=FALSE,I.Facility.StandardPart="Part 2"),"Complete",IF(I.Product.P3GasToPower="No","Complete",IF(AND(I.Gas.P3Count&gt;=40,F1757=""),"Incomplete","Complete")))</f>
        <v>Complete</v>
      </c>
      <c r="I1757" s="39" t="s">
        <v>1978</v>
      </c>
    </row>
    <row r="1758" spans="2:9" ht="15" customHeight="1" x14ac:dyDescent="0.25">
      <c r="B1758" s="37" t="s">
        <v>1938</v>
      </c>
      <c r="C1758" s="26">
        <v>41</v>
      </c>
      <c r="D1758" s="38" t="s">
        <v>2707</v>
      </c>
      <c r="E1758" s="59"/>
      <c r="F1758" s="59" t="str">
        <f>IF(INDEX(I.Gas.P3C1E2,41)="","",INDEX(I.Gas.P3C1E2,41))</f>
        <v/>
      </c>
      <c r="G1758" s="59"/>
      <c r="H1758" s="26" t="str">
        <f>IF(OR(I.Developer.P3=FALSE,I.Facility.StandardPart="Part 2"),"Complete",IF(I.Product.P3GasToPower="No","Complete",IF(AND(I.Gas.P3Count&gt;=41,F1758=""),"Incomplete","Complete")))</f>
        <v>Complete</v>
      </c>
      <c r="I1758" s="39" t="s">
        <v>1979</v>
      </c>
    </row>
    <row r="1759" spans="2:9" ht="15" customHeight="1" x14ac:dyDescent="0.25">
      <c r="B1759" s="37" t="s">
        <v>1938</v>
      </c>
      <c r="C1759" s="26">
        <v>42</v>
      </c>
      <c r="D1759" s="38" t="s">
        <v>2707</v>
      </c>
      <c r="E1759" s="59"/>
      <c r="F1759" s="59" t="str">
        <f>IF(INDEX(I.Gas.P3C1E2,42)="","",INDEX(I.Gas.P3C1E2,42))</f>
        <v/>
      </c>
      <c r="G1759" s="59"/>
      <c r="H1759" s="26" t="str">
        <f>IF(OR(I.Developer.P3=FALSE,I.Facility.StandardPart="Part 2"),"Complete",IF(I.Product.P3GasToPower="No","Complete",IF(AND(I.Gas.P3Count&gt;=42,F1759=""),"Incomplete","Complete")))</f>
        <v>Complete</v>
      </c>
      <c r="I1759" s="39" t="s">
        <v>1980</v>
      </c>
    </row>
    <row r="1760" spans="2:9" ht="15" customHeight="1" x14ac:dyDescent="0.25">
      <c r="B1760" s="37" t="s">
        <v>1938</v>
      </c>
      <c r="C1760" s="26">
        <v>43</v>
      </c>
      <c r="D1760" s="38" t="s">
        <v>2707</v>
      </c>
      <c r="E1760" s="59"/>
      <c r="F1760" s="59" t="str">
        <f>IF(INDEX(I.Gas.P3C1E2,43)="","",INDEX(I.Gas.P3C1E2,43))</f>
        <v/>
      </c>
      <c r="G1760" s="59"/>
      <c r="H1760" s="26" t="str">
        <f>IF(OR(I.Developer.P3=FALSE,I.Facility.StandardPart="Part 2"),"Complete",IF(I.Product.P3GasToPower="No","Complete",IF(AND(I.Gas.P3Count&gt;=43,F1760=""),"Incomplete","Complete")))</f>
        <v>Complete</v>
      </c>
      <c r="I1760" s="39" t="s">
        <v>1981</v>
      </c>
    </row>
    <row r="1761" spans="2:9" ht="15" customHeight="1" x14ac:dyDescent="0.25">
      <c r="B1761" s="37" t="s">
        <v>1938</v>
      </c>
      <c r="C1761" s="26">
        <v>44</v>
      </c>
      <c r="D1761" s="38" t="s">
        <v>2707</v>
      </c>
      <c r="E1761" s="59"/>
      <c r="F1761" s="59" t="str">
        <f>IF(INDEX(I.Gas.P3C1E2,44)="","",INDEX(I.Gas.P3C1E2,44))</f>
        <v/>
      </c>
      <c r="G1761" s="59"/>
      <c r="H1761" s="26" t="str">
        <f>IF(OR(I.Developer.P3=FALSE,I.Facility.StandardPart="Part 2"),"Complete",IF(I.Product.P3GasToPower="No","Complete",IF(AND(I.Gas.P3Count&gt;=44,F1761=""),"Incomplete","Complete")))</f>
        <v>Complete</v>
      </c>
      <c r="I1761" s="39" t="s">
        <v>1982</v>
      </c>
    </row>
    <row r="1762" spans="2:9" ht="15" customHeight="1" x14ac:dyDescent="0.25">
      <c r="B1762" s="37" t="s">
        <v>1938</v>
      </c>
      <c r="C1762" s="26">
        <v>45</v>
      </c>
      <c r="D1762" s="38" t="s">
        <v>2707</v>
      </c>
      <c r="E1762" s="59"/>
      <c r="F1762" s="59" t="str">
        <f>IF(INDEX(I.Gas.P3C1E2,45)="","",INDEX(I.Gas.P3C1E2,45))</f>
        <v/>
      </c>
      <c r="G1762" s="59"/>
      <c r="H1762" s="26" t="str">
        <f>IF(OR(I.Developer.P3=FALSE,I.Facility.StandardPart="Part 2"),"Complete",IF(I.Product.P3GasToPower="No","Complete",IF(AND(I.Gas.P3Count&gt;=45,F1762=""),"Incomplete","Complete")))</f>
        <v>Complete</v>
      </c>
      <c r="I1762" s="39" t="s">
        <v>1983</v>
      </c>
    </row>
    <row r="1763" spans="2:9" ht="15" customHeight="1" x14ac:dyDescent="0.25">
      <c r="B1763" s="37" t="s">
        <v>1938</v>
      </c>
      <c r="C1763" s="26">
        <v>46</v>
      </c>
      <c r="D1763" s="38" t="s">
        <v>2707</v>
      </c>
      <c r="E1763" s="59"/>
      <c r="F1763" s="59" t="str">
        <f>IF(INDEX(I.Gas.P3C1E2,46)="","",INDEX(I.Gas.P3C1E2,46))</f>
        <v/>
      </c>
      <c r="G1763" s="59"/>
      <c r="H1763" s="26" t="str">
        <f>IF(OR(I.Developer.P3=FALSE,I.Facility.StandardPart="Part 2"),"Complete",IF(I.Product.P3GasToPower="No","Complete",IF(AND(I.Gas.P3Count&gt;=46,F1763=""),"Incomplete","Complete")))</f>
        <v>Complete</v>
      </c>
      <c r="I1763" s="39" t="s">
        <v>1984</v>
      </c>
    </row>
    <row r="1764" spans="2:9" ht="15" customHeight="1" x14ac:dyDescent="0.25">
      <c r="B1764" s="37" t="s">
        <v>1938</v>
      </c>
      <c r="C1764" s="26">
        <v>47</v>
      </c>
      <c r="D1764" s="38" t="s">
        <v>2707</v>
      </c>
      <c r="E1764" s="59"/>
      <c r="F1764" s="59" t="str">
        <f>IF(INDEX(I.Gas.P3C1E2,47)="","",INDEX(I.Gas.P3C1E2,47))</f>
        <v/>
      </c>
      <c r="G1764" s="59"/>
      <c r="H1764" s="26" t="str">
        <f>IF(OR(I.Developer.P3=FALSE,I.Facility.StandardPart="Part 2"),"Complete",IF(I.Product.P3GasToPower="No","Complete",IF(AND(I.Gas.P3Count&gt;=47,F1764=""),"Incomplete","Complete")))</f>
        <v>Complete</v>
      </c>
      <c r="I1764" s="39" t="s">
        <v>1985</v>
      </c>
    </row>
    <row r="1765" spans="2:9" ht="15" customHeight="1" x14ac:dyDescent="0.25">
      <c r="B1765" s="37" t="s">
        <v>1938</v>
      </c>
      <c r="C1765" s="26">
        <v>48</v>
      </c>
      <c r="D1765" s="38" t="s">
        <v>2707</v>
      </c>
      <c r="E1765" s="59"/>
      <c r="F1765" s="59" t="str">
        <f>IF(INDEX(I.Gas.P3C1E2,48)="","",INDEX(I.Gas.P3C1E2,48))</f>
        <v/>
      </c>
      <c r="G1765" s="59"/>
      <c r="H1765" s="26" t="str">
        <f>IF(OR(I.Developer.P3=FALSE,I.Facility.StandardPart="Part 2"),"Complete",IF(I.Product.P3GasToPower="No","Complete",IF(AND(I.Gas.P3Count&gt;=48,F1765=""),"Incomplete","Complete")))</f>
        <v>Complete</v>
      </c>
      <c r="I1765" s="39" t="s">
        <v>1986</v>
      </c>
    </row>
    <row r="1766" spans="2:9" ht="15" customHeight="1" x14ac:dyDescent="0.25">
      <c r="B1766" s="37" t="s">
        <v>1938</v>
      </c>
      <c r="C1766" s="26">
        <v>49</v>
      </c>
      <c r="D1766" s="38" t="s">
        <v>2707</v>
      </c>
      <c r="E1766" s="59"/>
      <c r="F1766" s="59" t="str">
        <f>IF(INDEX(I.Gas.P3C1E2,49)="","",INDEX(I.Gas.P3C1E2,49))</f>
        <v/>
      </c>
      <c r="G1766" s="59"/>
      <c r="H1766" s="26" t="str">
        <f>IF(OR(I.Developer.P3=FALSE,I.Facility.StandardPart="Part 2"),"Complete",IF(I.Product.P3GasToPower="No","Complete",IF(AND(I.Gas.P3Count&gt;=49,F1766=""),"Incomplete","Complete")))</f>
        <v>Complete</v>
      </c>
      <c r="I1766" s="39" t="s">
        <v>1987</v>
      </c>
    </row>
    <row r="1767" spans="2:9" ht="15" customHeight="1" x14ac:dyDescent="0.25">
      <c r="B1767" s="40" t="s">
        <v>1938</v>
      </c>
      <c r="C1767" s="46">
        <v>50</v>
      </c>
      <c r="D1767" s="44" t="s">
        <v>2707</v>
      </c>
      <c r="E1767" s="63"/>
      <c r="F1767" s="63" t="str">
        <f>IF(INDEX(I.Gas.P3C1E2,50)="","",INDEX(I.Gas.P3C1E2,50))</f>
        <v/>
      </c>
      <c r="G1767" s="63"/>
      <c r="H1767" s="46" t="str">
        <f>IF(OR(I.Developer.P3=FALSE,I.Facility.StandardPart="Part 2"),"Complete",IF(I.Product.P3GasToPower="No","Complete",IF(AND(I.Gas.P3Count&gt;=50,F1767=""),"Incomplete","Complete")))</f>
        <v>Complete</v>
      </c>
      <c r="I1767" s="47" t="s">
        <v>1988</v>
      </c>
    </row>
    <row r="1768" spans="2:9" ht="15" customHeight="1" x14ac:dyDescent="0.25">
      <c r="B1768" s="37" t="s">
        <v>1989</v>
      </c>
      <c r="C1768" s="26">
        <v>1</v>
      </c>
      <c r="D1768" s="38" t="s">
        <v>2708</v>
      </c>
      <c r="E1768" s="59"/>
      <c r="F1768" s="59" t="str">
        <f>IF(INDEX(I.Gas.P3C1E3,1)="","",INDEX(I.Gas.P3C1E3,1))</f>
        <v/>
      </c>
      <c r="G1768" s="59"/>
      <c r="H1768" s="26" t="str">
        <f>IF(OR(I.Developer.P3=FALSE,I.Facility.StandardPart="Part 2"),"Complete",IF(I.Product.P3GasToPower="No","Complete",IF(AND(I.Gas.P3Count&gt;=1,F1768=""),"Incomplete","Complete")))</f>
        <v>Complete</v>
      </c>
      <c r="I1768" s="39" t="s">
        <v>1990</v>
      </c>
    </row>
    <row r="1769" spans="2:9" ht="15" customHeight="1" x14ac:dyDescent="0.25">
      <c r="B1769" s="37" t="s">
        <v>1989</v>
      </c>
      <c r="C1769" s="26">
        <v>2</v>
      </c>
      <c r="D1769" s="38" t="s">
        <v>2708</v>
      </c>
      <c r="E1769" s="59"/>
      <c r="F1769" s="59" t="str">
        <f>IF(INDEX(I.Gas.P3C1E3,2)="","",INDEX(I.Gas.P3C1E3,2))</f>
        <v/>
      </c>
      <c r="G1769" s="59"/>
      <c r="H1769" s="26" t="str">
        <f>IF(OR(I.Developer.P3=FALSE,I.Facility.StandardPart="Part 2"),"Complete",IF(I.Product.P3GasToPower="No","Complete",IF(AND(I.Gas.P3Count&gt;=2,F1769=""),"Incomplete","Complete")))</f>
        <v>Complete</v>
      </c>
      <c r="I1769" s="39" t="s">
        <v>1991</v>
      </c>
    </row>
    <row r="1770" spans="2:9" ht="15" customHeight="1" x14ac:dyDescent="0.25">
      <c r="B1770" s="37" t="s">
        <v>1989</v>
      </c>
      <c r="C1770" s="26">
        <v>3</v>
      </c>
      <c r="D1770" s="38" t="s">
        <v>2708</v>
      </c>
      <c r="E1770" s="59"/>
      <c r="F1770" s="59" t="str">
        <f>IF(INDEX(I.Gas.P3C1E3,3)="","",INDEX(I.Gas.P3C1E3,3))</f>
        <v/>
      </c>
      <c r="G1770" s="59"/>
      <c r="H1770" s="26" t="str">
        <f>IF(OR(I.Developer.P3=FALSE,I.Facility.StandardPart="Part 2"),"Complete",IF(I.Product.P3GasToPower="No","Complete",IF(AND(I.Gas.P3Count&gt;=3,F1770=""),"Incomplete","Complete")))</f>
        <v>Complete</v>
      </c>
      <c r="I1770" s="39" t="s">
        <v>1992</v>
      </c>
    </row>
    <row r="1771" spans="2:9" ht="15" customHeight="1" x14ac:dyDescent="0.25">
      <c r="B1771" s="37" t="s">
        <v>1989</v>
      </c>
      <c r="C1771" s="26">
        <v>4</v>
      </c>
      <c r="D1771" s="38" t="s">
        <v>2708</v>
      </c>
      <c r="E1771" s="59"/>
      <c r="F1771" s="59" t="str">
        <f>IF(INDEX(I.Gas.P3C1E3,4)="","",INDEX(I.Gas.P3C1E3,4))</f>
        <v/>
      </c>
      <c r="G1771" s="59"/>
      <c r="H1771" s="26" t="str">
        <f>IF(OR(I.Developer.P3=FALSE,I.Facility.StandardPart="Part 2"),"Complete",IF(I.Product.P3GasToPower="No","Complete",IF(AND(I.Gas.P3Count&gt;=4,F1771=""),"Incomplete","Complete")))</f>
        <v>Complete</v>
      </c>
      <c r="I1771" s="39" t="s">
        <v>1993</v>
      </c>
    </row>
    <row r="1772" spans="2:9" ht="15" customHeight="1" x14ac:dyDescent="0.25">
      <c r="B1772" s="37" t="s">
        <v>1989</v>
      </c>
      <c r="C1772" s="26">
        <v>5</v>
      </c>
      <c r="D1772" s="38" t="s">
        <v>2708</v>
      </c>
      <c r="E1772" s="59"/>
      <c r="F1772" s="59" t="str">
        <f>IF(INDEX(I.Gas.P3C1E3,5)="","",INDEX(I.Gas.P3C1E3,5))</f>
        <v/>
      </c>
      <c r="G1772" s="59"/>
      <c r="H1772" s="26" t="str">
        <f>IF(OR(I.Developer.P3=FALSE,I.Facility.StandardPart="Part 2"),"Complete",IF(I.Product.P3GasToPower="No","Complete",IF(AND(I.Gas.P3Count&gt;=5,F1772=""),"Incomplete","Complete")))</f>
        <v>Complete</v>
      </c>
      <c r="I1772" s="39" t="s">
        <v>1994</v>
      </c>
    </row>
    <row r="1773" spans="2:9" ht="15" customHeight="1" x14ac:dyDescent="0.25">
      <c r="B1773" s="37" t="s">
        <v>1989</v>
      </c>
      <c r="C1773" s="26">
        <v>6</v>
      </c>
      <c r="D1773" s="38" t="s">
        <v>2708</v>
      </c>
      <c r="E1773" s="59"/>
      <c r="F1773" s="59" t="str">
        <f>IF(INDEX(I.Gas.P3C1E3,6)="","",INDEX(I.Gas.P3C1E3,6))</f>
        <v/>
      </c>
      <c r="G1773" s="59"/>
      <c r="H1773" s="26" t="str">
        <f>IF(OR(I.Developer.P3=FALSE,I.Facility.StandardPart="Part 2"),"Complete",IF(I.Product.P3GasToPower="No","Complete",IF(AND(I.Gas.P3Count&gt;=6,F1773=""),"Incomplete","Complete")))</f>
        <v>Complete</v>
      </c>
      <c r="I1773" s="39" t="s">
        <v>1995</v>
      </c>
    </row>
    <row r="1774" spans="2:9" ht="15" customHeight="1" x14ac:dyDescent="0.25">
      <c r="B1774" s="37" t="s">
        <v>1989</v>
      </c>
      <c r="C1774" s="26">
        <v>7</v>
      </c>
      <c r="D1774" s="38" t="s">
        <v>2708</v>
      </c>
      <c r="E1774" s="59"/>
      <c r="F1774" s="59" t="str">
        <f>IF(INDEX(I.Gas.P3C1E3,7)="","",INDEX(I.Gas.P3C1E3,7))</f>
        <v/>
      </c>
      <c r="G1774" s="59"/>
      <c r="H1774" s="26" t="str">
        <f>IF(OR(I.Developer.P3=FALSE,I.Facility.StandardPart="Part 2"),"Complete",IF(I.Product.P3GasToPower="No","Complete",IF(AND(I.Gas.P3Count&gt;=7,F1774=""),"Incomplete","Complete")))</f>
        <v>Complete</v>
      </c>
      <c r="I1774" s="39" t="s">
        <v>1996</v>
      </c>
    </row>
    <row r="1775" spans="2:9" ht="15" customHeight="1" x14ac:dyDescent="0.25">
      <c r="B1775" s="37" t="s">
        <v>1989</v>
      </c>
      <c r="C1775" s="26">
        <v>8</v>
      </c>
      <c r="D1775" s="38" t="s">
        <v>2708</v>
      </c>
      <c r="E1775" s="59"/>
      <c r="F1775" s="59" t="str">
        <f>IF(INDEX(I.Gas.P3C1E3,8)="","",INDEX(I.Gas.P3C1E3,8))</f>
        <v/>
      </c>
      <c r="G1775" s="59"/>
      <c r="H1775" s="26" t="str">
        <f>IF(OR(I.Developer.P3=FALSE,I.Facility.StandardPart="Part 2"),"Complete",IF(I.Product.P3GasToPower="No","Complete",IF(AND(I.Gas.P3Count&gt;=8,F1775=""),"Incomplete","Complete")))</f>
        <v>Complete</v>
      </c>
      <c r="I1775" s="39" t="s">
        <v>1997</v>
      </c>
    </row>
    <row r="1776" spans="2:9" ht="15" customHeight="1" x14ac:dyDescent="0.25">
      <c r="B1776" s="37" t="s">
        <v>1989</v>
      </c>
      <c r="C1776" s="26">
        <v>9</v>
      </c>
      <c r="D1776" s="38" t="s">
        <v>2708</v>
      </c>
      <c r="E1776" s="59"/>
      <c r="F1776" s="59" t="str">
        <f>IF(INDEX(I.Gas.P3C1E3,9)="","",INDEX(I.Gas.P3C1E3,9))</f>
        <v/>
      </c>
      <c r="G1776" s="59"/>
      <c r="H1776" s="26" t="str">
        <f>IF(OR(I.Developer.P3=FALSE,I.Facility.StandardPart="Part 2"),"Complete",IF(I.Product.P3GasToPower="No","Complete",IF(AND(I.Gas.P3Count&gt;=9,F1776=""),"Incomplete","Complete")))</f>
        <v>Complete</v>
      </c>
      <c r="I1776" s="39" t="s">
        <v>1998</v>
      </c>
    </row>
    <row r="1777" spans="2:9" ht="15" customHeight="1" x14ac:dyDescent="0.25">
      <c r="B1777" s="37" t="s">
        <v>1989</v>
      </c>
      <c r="C1777" s="26">
        <v>10</v>
      </c>
      <c r="D1777" s="38" t="s">
        <v>2708</v>
      </c>
      <c r="E1777" s="59"/>
      <c r="F1777" s="59" t="str">
        <f>IF(INDEX(I.Gas.P3C1E3,10)="","",INDEX(I.Gas.P3C1E3,10))</f>
        <v/>
      </c>
      <c r="G1777" s="59"/>
      <c r="H1777" s="26" t="str">
        <f>IF(OR(I.Developer.P3=FALSE,I.Facility.StandardPart="Part 2"),"Complete",IF(I.Product.P3GasToPower="No","Complete",IF(AND(I.Gas.P3Count&gt;=10,F1777=""),"Incomplete","Complete")))</f>
        <v>Complete</v>
      </c>
      <c r="I1777" s="39" t="s">
        <v>1999</v>
      </c>
    </row>
    <row r="1778" spans="2:9" ht="15" customHeight="1" x14ac:dyDescent="0.25">
      <c r="B1778" s="37" t="s">
        <v>1989</v>
      </c>
      <c r="C1778" s="26">
        <v>11</v>
      </c>
      <c r="D1778" s="38" t="s">
        <v>2708</v>
      </c>
      <c r="E1778" s="59"/>
      <c r="F1778" s="59" t="str">
        <f>IF(INDEX(I.Gas.P3C1E3,11)="","",INDEX(I.Gas.P3C1E3,11))</f>
        <v/>
      </c>
      <c r="G1778" s="59"/>
      <c r="H1778" s="26" t="str">
        <f>IF(OR(I.Developer.P3=FALSE,I.Facility.StandardPart="Part 2"),"Complete",IF(I.Product.P3GasToPower="No","Complete",IF(AND(I.Gas.P3Count&gt;=11,F1778=""),"Incomplete","Complete")))</f>
        <v>Complete</v>
      </c>
      <c r="I1778" s="39" t="s">
        <v>2000</v>
      </c>
    </row>
    <row r="1779" spans="2:9" ht="15" customHeight="1" x14ac:dyDescent="0.25">
      <c r="B1779" s="37" t="s">
        <v>1989</v>
      </c>
      <c r="C1779" s="26">
        <v>12</v>
      </c>
      <c r="D1779" s="38" t="s">
        <v>2708</v>
      </c>
      <c r="E1779" s="59"/>
      <c r="F1779" s="59" t="str">
        <f>IF(INDEX(I.Gas.P3C1E3,12)="","",INDEX(I.Gas.P3C1E3,12))</f>
        <v/>
      </c>
      <c r="G1779" s="59"/>
      <c r="H1779" s="26" t="str">
        <f>IF(OR(I.Developer.P3=FALSE,I.Facility.StandardPart="Part 2"),"Complete",IF(I.Product.P3GasToPower="No","Complete",IF(AND(I.Gas.P3Count&gt;=12,F1779=""),"Incomplete","Complete")))</f>
        <v>Complete</v>
      </c>
      <c r="I1779" s="39" t="s">
        <v>2001</v>
      </c>
    </row>
    <row r="1780" spans="2:9" ht="15" customHeight="1" x14ac:dyDescent="0.25">
      <c r="B1780" s="37" t="s">
        <v>1989</v>
      </c>
      <c r="C1780" s="26">
        <v>13</v>
      </c>
      <c r="D1780" s="38" t="s">
        <v>2708</v>
      </c>
      <c r="E1780" s="59"/>
      <c r="F1780" s="59" t="str">
        <f>IF(INDEX(I.Gas.P3C1E3,13)="","",INDEX(I.Gas.P3C1E3,13))</f>
        <v/>
      </c>
      <c r="G1780" s="59"/>
      <c r="H1780" s="26" t="str">
        <f>IF(OR(I.Developer.P3=FALSE,I.Facility.StandardPart="Part 2"),"Complete",IF(I.Product.P3GasToPower="No","Complete",IF(AND(I.Gas.P3Count&gt;=13,F1780=""),"Incomplete","Complete")))</f>
        <v>Complete</v>
      </c>
      <c r="I1780" s="39" t="s">
        <v>2002</v>
      </c>
    </row>
    <row r="1781" spans="2:9" ht="15" customHeight="1" x14ac:dyDescent="0.25">
      <c r="B1781" s="37" t="s">
        <v>1989</v>
      </c>
      <c r="C1781" s="26">
        <v>14</v>
      </c>
      <c r="D1781" s="38" t="s">
        <v>2708</v>
      </c>
      <c r="E1781" s="59"/>
      <c r="F1781" s="59" t="str">
        <f>IF(INDEX(I.Gas.P3C1E3,14)="","",INDEX(I.Gas.P3C1E3,14))</f>
        <v/>
      </c>
      <c r="G1781" s="59"/>
      <c r="H1781" s="26" t="str">
        <f>IF(OR(I.Developer.P3=FALSE,I.Facility.StandardPart="Part 2"),"Complete",IF(I.Product.P3GasToPower="No","Complete",IF(AND(I.Gas.P3Count&gt;=14,F1781=""),"Incomplete","Complete")))</f>
        <v>Complete</v>
      </c>
      <c r="I1781" s="39" t="s">
        <v>2003</v>
      </c>
    </row>
    <row r="1782" spans="2:9" ht="15" customHeight="1" x14ac:dyDescent="0.25">
      <c r="B1782" s="37" t="s">
        <v>1989</v>
      </c>
      <c r="C1782" s="26">
        <v>15</v>
      </c>
      <c r="D1782" s="38" t="s">
        <v>2708</v>
      </c>
      <c r="E1782" s="59"/>
      <c r="F1782" s="59" t="str">
        <f>IF(INDEX(I.Gas.P3C1E3,15)="","",INDEX(I.Gas.P3C1E3,15))</f>
        <v/>
      </c>
      <c r="G1782" s="59"/>
      <c r="H1782" s="26" t="str">
        <f>IF(OR(I.Developer.P3=FALSE,I.Facility.StandardPart="Part 2"),"Complete",IF(I.Product.P3GasToPower="No","Complete",IF(AND(I.Gas.P3Count&gt;=15,F1782=""),"Incomplete","Complete")))</f>
        <v>Complete</v>
      </c>
      <c r="I1782" s="39" t="s">
        <v>2004</v>
      </c>
    </row>
    <row r="1783" spans="2:9" ht="15" customHeight="1" x14ac:dyDescent="0.25">
      <c r="B1783" s="37" t="s">
        <v>1989</v>
      </c>
      <c r="C1783" s="26">
        <v>16</v>
      </c>
      <c r="D1783" s="38" t="s">
        <v>2708</v>
      </c>
      <c r="E1783" s="59"/>
      <c r="F1783" s="59" t="str">
        <f>IF(INDEX(I.Gas.P3C1E3,16)="","",INDEX(I.Gas.P3C1E3,16))</f>
        <v/>
      </c>
      <c r="G1783" s="59"/>
      <c r="H1783" s="26" t="str">
        <f>IF(OR(I.Developer.P3=FALSE,I.Facility.StandardPart="Part 2"),"Complete",IF(I.Product.P3GasToPower="No","Complete",IF(AND(I.Gas.P3Count&gt;=16,F1783=""),"Incomplete","Complete")))</f>
        <v>Complete</v>
      </c>
      <c r="I1783" s="39" t="s">
        <v>2005</v>
      </c>
    </row>
    <row r="1784" spans="2:9" ht="15" customHeight="1" x14ac:dyDescent="0.25">
      <c r="B1784" s="37" t="s">
        <v>1989</v>
      </c>
      <c r="C1784" s="26">
        <v>17</v>
      </c>
      <c r="D1784" s="38" t="s">
        <v>2708</v>
      </c>
      <c r="E1784" s="59"/>
      <c r="F1784" s="59" t="str">
        <f>IF(INDEX(I.Gas.P3C1E3,17)="","",INDEX(I.Gas.P3C1E3,17))</f>
        <v/>
      </c>
      <c r="G1784" s="59"/>
      <c r="H1784" s="26" t="str">
        <f>IF(OR(I.Developer.P3=FALSE,I.Facility.StandardPart="Part 2"),"Complete",IF(I.Product.P3GasToPower="No","Complete",IF(AND(I.Gas.P3Count&gt;=17,F1784=""),"Incomplete","Complete")))</f>
        <v>Complete</v>
      </c>
      <c r="I1784" s="39" t="s">
        <v>2006</v>
      </c>
    </row>
    <row r="1785" spans="2:9" ht="15" customHeight="1" x14ac:dyDescent="0.25">
      <c r="B1785" s="37" t="s">
        <v>1989</v>
      </c>
      <c r="C1785" s="26">
        <v>18</v>
      </c>
      <c r="D1785" s="38" t="s">
        <v>2708</v>
      </c>
      <c r="E1785" s="59"/>
      <c r="F1785" s="59" t="str">
        <f>IF(INDEX(I.Gas.P3C1E3,18)="","",INDEX(I.Gas.P3C1E3,18))</f>
        <v/>
      </c>
      <c r="G1785" s="59"/>
      <c r="H1785" s="26" t="str">
        <f>IF(OR(I.Developer.P3=FALSE,I.Facility.StandardPart="Part 2"),"Complete",IF(I.Product.P3GasToPower="No","Complete",IF(AND(I.Gas.P3Count&gt;=18,F1785=""),"Incomplete","Complete")))</f>
        <v>Complete</v>
      </c>
      <c r="I1785" s="39" t="s">
        <v>2007</v>
      </c>
    </row>
    <row r="1786" spans="2:9" ht="15" customHeight="1" x14ac:dyDescent="0.25">
      <c r="B1786" s="37" t="s">
        <v>1989</v>
      </c>
      <c r="C1786" s="26">
        <v>19</v>
      </c>
      <c r="D1786" s="38" t="s">
        <v>2708</v>
      </c>
      <c r="E1786" s="59"/>
      <c r="F1786" s="59" t="str">
        <f>IF(INDEX(I.Gas.P3C1E3,19)="","",INDEX(I.Gas.P3C1E3,19))</f>
        <v/>
      </c>
      <c r="G1786" s="59"/>
      <c r="H1786" s="26" t="str">
        <f>IF(OR(I.Developer.P3=FALSE,I.Facility.StandardPart="Part 2"),"Complete",IF(I.Product.P3GasToPower="No","Complete",IF(AND(I.Gas.P3Count&gt;=19,F1786=""),"Incomplete","Complete")))</f>
        <v>Complete</v>
      </c>
      <c r="I1786" s="39" t="s">
        <v>2008</v>
      </c>
    </row>
    <row r="1787" spans="2:9" ht="15" customHeight="1" x14ac:dyDescent="0.25">
      <c r="B1787" s="37" t="s">
        <v>1989</v>
      </c>
      <c r="C1787" s="26">
        <v>20</v>
      </c>
      <c r="D1787" s="38" t="s">
        <v>2708</v>
      </c>
      <c r="E1787" s="59"/>
      <c r="F1787" s="59" t="str">
        <f>IF(INDEX(I.Gas.P3C1E3,20)="","",INDEX(I.Gas.P3C1E3,20))</f>
        <v/>
      </c>
      <c r="G1787" s="59"/>
      <c r="H1787" s="26" t="str">
        <f>IF(OR(I.Developer.P3=FALSE,I.Facility.StandardPart="Part 2"),"Complete",IF(I.Product.P3GasToPower="No","Complete",IF(AND(I.Gas.P3Count&gt;=20,F1787=""),"Incomplete","Complete")))</f>
        <v>Complete</v>
      </c>
      <c r="I1787" s="39" t="s">
        <v>2009</v>
      </c>
    </row>
    <row r="1788" spans="2:9" ht="15" customHeight="1" x14ac:dyDescent="0.25">
      <c r="B1788" s="37" t="s">
        <v>1989</v>
      </c>
      <c r="C1788" s="26">
        <v>21</v>
      </c>
      <c r="D1788" s="38" t="s">
        <v>2708</v>
      </c>
      <c r="E1788" s="59"/>
      <c r="F1788" s="59" t="str">
        <f>IF(INDEX(I.Gas.P3C1E3,21)="","",INDEX(I.Gas.P3C1E3,21))</f>
        <v/>
      </c>
      <c r="G1788" s="59"/>
      <c r="H1788" s="26" t="str">
        <f>IF(OR(I.Developer.P3=FALSE,I.Facility.StandardPart="Part 2"),"Complete",IF(I.Product.P3GasToPower="No","Complete",IF(AND(I.Gas.P3Count&gt;=21,F1788=""),"Incomplete","Complete")))</f>
        <v>Complete</v>
      </c>
      <c r="I1788" s="39" t="s">
        <v>2010</v>
      </c>
    </row>
    <row r="1789" spans="2:9" ht="15" customHeight="1" x14ac:dyDescent="0.25">
      <c r="B1789" s="37" t="s">
        <v>1989</v>
      </c>
      <c r="C1789" s="26">
        <v>22</v>
      </c>
      <c r="D1789" s="38" t="s">
        <v>2708</v>
      </c>
      <c r="E1789" s="59"/>
      <c r="F1789" s="59" t="str">
        <f>IF(INDEX(I.Gas.P3C1E3,22)="","",INDEX(I.Gas.P3C1E3,22))</f>
        <v/>
      </c>
      <c r="G1789" s="59"/>
      <c r="H1789" s="26" t="str">
        <f>IF(OR(I.Developer.P3=FALSE,I.Facility.StandardPart="Part 2"),"Complete",IF(I.Product.P3GasToPower="No","Complete",IF(AND(I.Gas.P3Count&gt;=22,F1789=""),"Incomplete","Complete")))</f>
        <v>Complete</v>
      </c>
      <c r="I1789" s="39" t="s">
        <v>2011</v>
      </c>
    </row>
    <row r="1790" spans="2:9" ht="15" customHeight="1" x14ac:dyDescent="0.25">
      <c r="B1790" s="37" t="s">
        <v>1989</v>
      </c>
      <c r="C1790" s="26">
        <v>23</v>
      </c>
      <c r="D1790" s="38" t="s">
        <v>2708</v>
      </c>
      <c r="E1790" s="59"/>
      <c r="F1790" s="59" t="str">
        <f>IF(INDEX(I.Gas.P3C1E3,23)="","",INDEX(I.Gas.P3C1E3,23))</f>
        <v/>
      </c>
      <c r="G1790" s="59"/>
      <c r="H1790" s="26" t="str">
        <f>IF(OR(I.Developer.P3=FALSE,I.Facility.StandardPart="Part 2"),"Complete",IF(I.Product.P3GasToPower="No","Complete",IF(AND(I.Gas.P3Count&gt;=23,F1790=""),"Incomplete","Complete")))</f>
        <v>Complete</v>
      </c>
      <c r="I1790" s="39" t="s">
        <v>2012</v>
      </c>
    </row>
    <row r="1791" spans="2:9" ht="15" customHeight="1" x14ac:dyDescent="0.25">
      <c r="B1791" s="37" t="s">
        <v>1989</v>
      </c>
      <c r="C1791" s="26">
        <v>24</v>
      </c>
      <c r="D1791" s="38" t="s">
        <v>2708</v>
      </c>
      <c r="E1791" s="59"/>
      <c r="F1791" s="59" t="str">
        <f>IF(INDEX(I.Gas.P3C1E3,24)="","",INDEX(I.Gas.P3C1E3,24))</f>
        <v/>
      </c>
      <c r="G1791" s="59"/>
      <c r="H1791" s="26" t="str">
        <f>IF(OR(I.Developer.P3=FALSE,I.Facility.StandardPart="Part 2"),"Complete",IF(I.Product.P3GasToPower="No","Complete",IF(AND(I.Gas.P3Count&gt;=24,F1791=""),"Incomplete","Complete")))</f>
        <v>Complete</v>
      </c>
      <c r="I1791" s="39" t="s">
        <v>2013</v>
      </c>
    </row>
    <row r="1792" spans="2:9" ht="15" customHeight="1" x14ac:dyDescent="0.25">
      <c r="B1792" s="37" t="s">
        <v>1989</v>
      </c>
      <c r="C1792" s="26">
        <v>25</v>
      </c>
      <c r="D1792" s="38" t="s">
        <v>2708</v>
      </c>
      <c r="E1792" s="59"/>
      <c r="F1792" s="59" t="str">
        <f>IF(INDEX(I.Gas.P3C1E3,25)="","",INDEX(I.Gas.P3C1E3,25))</f>
        <v/>
      </c>
      <c r="G1792" s="59"/>
      <c r="H1792" s="26" t="str">
        <f>IF(OR(I.Developer.P3=FALSE,I.Facility.StandardPart="Part 2"),"Complete",IF(I.Product.P3GasToPower="No","Complete",IF(AND(I.Gas.P3Count&gt;=25,F1792=""),"Incomplete","Complete")))</f>
        <v>Complete</v>
      </c>
      <c r="I1792" s="39" t="s">
        <v>2014</v>
      </c>
    </row>
    <row r="1793" spans="2:9" ht="15" customHeight="1" x14ac:dyDescent="0.25">
      <c r="B1793" s="37" t="s">
        <v>1989</v>
      </c>
      <c r="C1793" s="26">
        <v>26</v>
      </c>
      <c r="D1793" s="38" t="s">
        <v>2708</v>
      </c>
      <c r="E1793" s="59"/>
      <c r="F1793" s="59" t="str">
        <f>IF(INDEX(I.Gas.P3C1E3,26)="","",INDEX(I.Gas.P3C1E3,26))</f>
        <v/>
      </c>
      <c r="G1793" s="59"/>
      <c r="H1793" s="26" t="str">
        <f>IF(OR(I.Developer.P3=FALSE,I.Facility.StandardPart="Part 2"),"Complete",IF(I.Product.P3GasToPower="No","Complete",IF(AND(I.Gas.P3Count&gt;=26,F1793=""),"Incomplete","Complete")))</f>
        <v>Complete</v>
      </c>
      <c r="I1793" s="39" t="s">
        <v>2015</v>
      </c>
    </row>
    <row r="1794" spans="2:9" ht="15" customHeight="1" x14ac:dyDescent="0.25">
      <c r="B1794" s="37" t="s">
        <v>1989</v>
      </c>
      <c r="C1794" s="26">
        <v>27</v>
      </c>
      <c r="D1794" s="38" t="s">
        <v>2708</v>
      </c>
      <c r="E1794" s="59"/>
      <c r="F1794" s="59" t="str">
        <f>IF(INDEX(I.Gas.P3C1E3,27)="","",INDEX(I.Gas.P3C1E3,27))</f>
        <v/>
      </c>
      <c r="G1794" s="59"/>
      <c r="H1794" s="26" t="str">
        <f>IF(OR(I.Developer.P3=FALSE,I.Facility.StandardPart="Part 2"),"Complete",IF(I.Product.P3GasToPower="No","Complete",IF(AND(I.Gas.P3Count&gt;=27,F1794=""),"Incomplete","Complete")))</f>
        <v>Complete</v>
      </c>
      <c r="I1794" s="39" t="s">
        <v>2016</v>
      </c>
    </row>
    <row r="1795" spans="2:9" ht="15" customHeight="1" x14ac:dyDescent="0.25">
      <c r="B1795" s="37" t="s">
        <v>1989</v>
      </c>
      <c r="C1795" s="26">
        <v>28</v>
      </c>
      <c r="D1795" s="38" t="s">
        <v>2708</v>
      </c>
      <c r="E1795" s="59"/>
      <c r="F1795" s="59" t="str">
        <f>IF(INDEX(I.Gas.P3C1E3,28)="","",INDEX(I.Gas.P3C1E3,28))</f>
        <v/>
      </c>
      <c r="G1795" s="59"/>
      <c r="H1795" s="26" t="str">
        <f>IF(OR(I.Developer.P3=FALSE,I.Facility.StandardPart="Part 2"),"Complete",IF(I.Product.P3GasToPower="No","Complete",IF(AND(I.Gas.P3Count&gt;=28,F1795=""),"Incomplete","Complete")))</f>
        <v>Complete</v>
      </c>
      <c r="I1795" s="39" t="s">
        <v>2017</v>
      </c>
    </row>
    <row r="1796" spans="2:9" ht="15" customHeight="1" x14ac:dyDescent="0.25">
      <c r="B1796" s="37" t="s">
        <v>1989</v>
      </c>
      <c r="C1796" s="26">
        <v>29</v>
      </c>
      <c r="D1796" s="38" t="s">
        <v>2708</v>
      </c>
      <c r="E1796" s="59"/>
      <c r="F1796" s="59" t="str">
        <f>IF(INDEX(I.Gas.P3C1E3,29)="","",INDEX(I.Gas.P3C1E3,29))</f>
        <v/>
      </c>
      <c r="G1796" s="59"/>
      <c r="H1796" s="26" t="str">
        <f>IF(OR(I.Developer.P3=FALSE,I.Facility.StandardPart="Part 2"),"Complete",IF(I.Product.P3GasToPower="No","Complete",IF(AND(I.Gas.P3Count&gt;=29,F1796=""),"Incomplete","Complete")))</f>
        <v>Complete</v>
      </c>
      <c r="I1796" s="39" t="s">
        <v>2018</v>
      </c>
    </row>
    <row r="1797" spans="2:9" ht="15" customHeight="1" x14ac:dyDescent="0.25">
      <c r="B1797" s="37" t="s">
        <v>1989</v>
      </c>
      <c r="C1797" s="26">
        <v>30</v>
      </c>
      <c r="D1797" s="38" t="s">
        <v>2708</v>
      </c>
      <c r="E1797" s="59"/>
      <c r="F1797" s="59" t="str">
        <f>IF(INDEX(I.Gas.P3C1E3,30)="","",INDEX(I.Gas.P3C1E3,30))</f>
        <v/>
      </c>
      <c r="G1797" s="59"/>
      <c r="H1797" s="26" t="str">
        <f>IF(OR(I.Developer.P3=FALSE,I.Facility.StandardPart="Part 2"),"Complete",IF(I.Product.P3GasToPower="No","Complete",IF(AND(I.Gas.P3Count&gt;=30,F1797=""),"Incomplete","Complete")))</f>
        <v>Complete</v>
      </c>
      <c r="I1797" s="39" t="s">
        <v>2019</v>
      </c>
    </row>
    <row r="1798" spans="2:9" ht="15" customHeight="1" x14ac:dyDescent="0.25">
      <c r="B1798" s="37" t="s">
        <v>1989</v>
      </c>
      <c r="C1798" s="26">
        <v>31</v>
      </c>
      <c r="D1798" s="38" t="s">
        <v>2708</v>
      </c>
      <c r="E1798" s="59"/>
      <c r="F1798" s="59" t="str">
        <f>IF(INDEX(I.Gas.P3C1E3,31)="","",INDEX(I.Gas.P3C1E3,31))</f>
        <v/>
      </c>
      <c r="G1798" s="59"/>
      <c r="H1798" s="26" t="str">
        <f>IF(OR(I.Developer.P3=FALSE,I.Facility.StandardPart="Part 2"),"Complete",IF(I.Product.P3GasToPower="No","Complete",IF(AND(I.Gas.P3Count&gt;=31,F1798=""),"Incomplete","Complete")))</f>
        <v>Complete</v>
      </c>
      <c r="I1798" s="39" t="s">
        <v>2020</v>
      </c>
    </row>
    <row r="1799" spans="2:9" ht="15" customHeight="1" x14ac:dyDescent="0.25">
      <c r="B1799" s="37" t="s">
        <v>1989</v>
      </c>
      <c r="C1799" s="26">
        <v>32</v>
      </c>
      <c r="D1799" s="38" t="s">
        <v>2708</v>
      </c>
      <c r="E1799" s="59"/>
      <c r="F1799" s="59" t="str">
        <f>IF(INDEX(I.Gas.P3C1E3,32)="","",INDEX(I.Gas.P3C1E3,32))</f>
        <v/>
      </c>
      <c r="G1799" s="59"/>
      <c r="H1799" s="26" t="str">
        <f>IF(OR(I.Developer.P3=FALSE,I.Facility.StandardPart="Part 2"),"Complete",IF(I.Product.P3GasToPower="No","Complete",IF(AND(I.Gas.P3Count&gt;=32,F1799=""),"Incomplete","Complete")))</f>
        <v>Complete</v>
      </c>
      <c r="I1799" s="39" t="s">
        <v>2021</v>
      </c>
    </row>
    <row r="1800" spans="2:9" ht="15" customHeight="1" x14ac:dyDescent="0.25">
      <c r="B1800" s="37" t="s">
        <v>1989</v>
      </c>
      <c r="C1800" s="26">
        <v>33</v>
      </c>
      <c r="D1800" s="38" t="s">
        <v>2708</v>
      </c>
      <c r="E1800" s="59"/>
      <c r="F1800" s="59" t="str">
        <f>IF(INDEX(I.Gas.P3C1E3,33)="","",INDEX(I.Gas.P3C1E3,33))</f>
        <v/>
      </c>
      <c r="G1800" s="59"/>
      <c r="H1800" s="26" t="str">
        <f>IF(OR(I.Developer.P3=FALSE,I.Facility.StandardPart="Part 2"),"Complete",IF(I.Product.P3GasToPower="No","Complete",IF(AND(I.Gas.P3Count&gt;=33,F1800=""),"Incomplete","Complete")))</f>
        <v>Complete</v>
      </c>
      <c r="I1800" s="39" t="s">
        <v>2022</v>
      </c>
    </row>
    <row r="1801" spans="2:9" ht="15" customHeight="1" x14ac:dyDescent="0.25">
      <c r="B1801" s="37" t="s">
        <v>1989</v>
      </c>
      <c r="C1801" s="26">
        <v>34</v>
      </c>
      <c r="D1801" s="38" t="s">
        <v>2708</v>
      </c>
      <c r="E1801" s="59"/>
      <c r="F1801" s="59" t="str">
        <f>IF(INDEX(I.Gas.P3C1E3,34)="","",INDEX(I.Gas.P3C1E3,34))</f>
        <v/>
      </c>
      <c r="G1801" s="59"/>
      <c r="H1801" s="26" t="str">
        <f>IF(OR(I.Developer.P3=FALSE,I.Facility.StandardPart="Part 2"),"Complete",IF(I.Product.P3GasToPower="No","Complete",IF(AND(I.Gas.P3Count&gt;=34,F1801=""),"Incomplete","Complete")))</f>
        <v>Complete</v>
      </c>
      <c r="I1801" s="39" t="s">
        <v>2023</v>
      </c>
    </row>
    <row r="1802" spans="2:9" ht="15" customHeight="1" x14ac:dyDescent="0.25">
      <c r="B1802" s="37" t="s">
        <v>1989</v>
      </c>
      <c r="C1802" s="26">
        <v>35</v>
      </c>
      <c r="D1802" s="38" t="s">
        <v>2708</v>
      </c>
      <c r="E1802" s="59"/>
      <c r="F1802" s="59" t="str">
        <f>IF(INDEX(I.Gas.P3C1E3,35)="","",INDEX(I.Gas.P3C1E3,35))</f>
        <v/>
      </c>
      <c r="G1802" s="59"/>
      <c r="H1802" s="26" t="str">
        <f>IF(OR(I.Developer.P3=FALSE,I.Facility.StandardPart="Part 2"),"Complete",IF(I.Product.P3GasToPower="No","Complete",IF(AND(I.Gas.P3Count&gt;=35,F1802=""),"Incomplete","Complete")))</f>
        <v>Complete</v>
      </c>
      <c r="I1802" s="39" t="s">
        <v>2024</v>
      </c>
    </row>
    <row r="1803" spans="2:9" ht="15" customHeight="1" x14ac:dyDescent="0.25">
      <c r="B1803" s="37" t="s">
        <v>1989</v>
      </c>
      <c r="C1803" s="26">
        <v>36</v>
      </c>
      <c r="D1803" s="38" t="s">
        <v>2708</v>
      </c>
      <c r="E1803" s="59"/>
      <c r="F1803" s="59" t="str">
        <f>IF(INDEX(I.Gas.P3C1E3,36)="","",INDEX(I.Gas.P3C1E3,36))</f>
        <v/>
      </c>
      <c r="G1803" s="59"/>
      <c r="H1803" s="26" t="str">
        <f>IF(OR(I.Developer.P3=FALSE,I.Facility.StandardPart="Part 2"),"Complete",IF(I.Product.P3GasToPower="No","Complete",IF(AND(I.Gas.P3Count&gt;=36,F1803=""),"Incomplete","Complete")))</f>
        <v>Complete</v>
      </c>
      <c r="I1803" s="39" t="s">
        <v>2025</v>
      </c>
    </row>
    <row r="1804" spans="2:9" ht="15" customHeight="1" x14ac:dyDescent="0.25">
      <c r="B1804" s="37" t="s">
        <v>1989</v>
      </c>
      <c r="C1804" s="26">
        <v>37</v>
      </c>
      <c r="D1804" s="38" t="s">
        <v>2708</v>
      </c>
      <c r="E1804" s="59"/>
      <c r="F1804" s="59" t="str">
        <f>IF(INDEX(I.Gas.P3C1E3,37)="","",INDEX(I.Gas.P3C1E3,37))</f>
        <v/>
      </c>
      <c r="G1804" s="59"/>
      <c r="H1804" s="26" t="str">
        <f>IF(OR(I.Developer.P3=FALSE,I.Facility.StandardPart="Part 2"),"Complete",IF(I.Product.P3GasToPower="No","Complete",IF(AND(I.Gas.P3Count&gt;=37,F1804=""),"Incomplete","Complete")))</f>
        <v>Complete</v>
      </c>
      <c r="I1804" s="39" t="s">
        <v>2026</v>
      </c>
    </row>
    <row r="1805" spans="2:9" ht="15" customHeight="1" x14ac:dyDescent="0.25">
      <c r="B1805" s="37" t="s">
        <v>1989</v>
      </c>
      <c r="C1805" s="26">
        <v>38</v>
      </c>
      <c r="D1805" s="38" t="s">
        <v>2708</v>
      </c>
      <c r="E1805" s="59"/>
      <c r="F1805" s="59" t="str">
        <f>IF(INDEX(I.Gas.P3C1E3,38)="","",INDEX(I.Gas.P3C1E3,38))</f>
        <v/>
      </c>
      <c r="G1805" s="59"/>
      <c r="H1805" s="26" t="str">
        <f>IF(OR(I.Developer.P3=FALSE,I.Facility.StandardPart="Part 2"),"Complete",IF(I.Product.P3GasToPower="No","Complete",IF(AND(I.Gas.P3Count&gt;=38,F1805=""),"Incomplete","Complete")))</f>
        <v>Complete</v>
      </c>
      <c r="I1805" s="39" t="s">
        <v>2027</v>
      </c>
    </row>
    <row r="1806" spans="2:9" ht="15" customHeight="1" x14ac:dyDescent="0.25">
      <c r="B1806" s="37" t="s">
        <v>1989</v>
      </c>
      <c r="C1806" s="26">
        <v>39</v>
      </c>
      <c r="D1806" s="38" t="s">
        <v>2708</v>
      </c>
      <c r="E1806" s="59"/>
      <c r="F1806" s="59" t="str">
        <f>IF(INDEX(I.Gas.P3C1E3,39)="","",INDEX(I.Gas.P3C1E3,39))</f>
        <v/>
      </c>
      <c r="G1806" s="59"/>
      <c r="H1806" s="26" t="str">
        <f>IF(OR(I.Developer.P3=FALSE,I.Facility.StandardPart="Part 2"),"Complete",IF(I.Product.P3GasToPower="No","Complete",IF(AND(I.Gas.P3Count&gt;=39,F1806=""),"Incomplete","Complete")))</f>
        <v>Complete</v>
      </c>
      <c r="I1806" s="39" t="s">
        <v>2028</v>
      </c>
    </row>
    <row r="1807" spans="2:9" ht="15" customHeight="1" x14ac:dyDescent="0.25">
      <c r="B1807" s="37" t="s">
        <v>1989</v>
      </c>
      <c r="C1807" s="26">
        <v>40</v>
      </c>
      <c r="D1807" s="38" t="s">
        <v>2708</v>
      </c>
      <c r="E1807" s="59"/>
      <c r="F1807" s="59" t="str">
        <f>IF(INDEX(I.Gas.P3C1E3,40)="","",INDEX(I.Gas.P3C1E3,40))</f>
        <v/>
      </c>
      <c r="G1807" s="59"/>
      <c r="H1807" s="26" t="str">
        <f>IF(OR(I.Developer.P3=FALSE,I.Facility.StandardPart="Part 2"),"Complete",IF(I.Product.P3GasToPower="No","Complete",IF(AND(I.Gas.P3Count&gt;=40,F1807=""),"Incomplete","Complete")))</f>
        <v>Complete</v>
      </c>
      <c r="I1807" s="39" t="s">
        <v>2029</v>
      </c>
    </row>
    <row r="1808" spans="2:9" ht="15" customHeight="1" x14ac:dyDescent="0.25">
      <c r="B1808" s="37" t="s">
        <v>1989</v>
      </c>
      <c r="C1808" s="26">
        <v>41</v>
      </c>
      <c r="D1808" s="38" t="s">
        <v>2708</v>
      </c>
      <c r="E1808" s="59"/>
      <c r="F1808" s="59" t="str">
        <f>IF(INDEX(I.Gas.P3C1E3,41)="","",INDEX(I.Gas.P3C1E3,41))</f>
        <v/>
      </c>
      <c r="G1808" s="59"/>
      <c r="H1808" s="26" t="str">
        <f>IF(OR(I.Developer.P3=FALSE,I.Facility.StandardPart="Part 2"),"Complete",IF(I.Product.P3GasToPower="No","Complete",IF(AND(I.Gas.P3Count&gt;=41,F1808=""),"Incomplete","Complete")))</f>
        <v>Complete</v>
      </c>
      <c r="I1808" s="39" t="s">
        <v>2030</v>
      </c>
    </row>
    <row r="1809" spans="2:9" ht="15" customHeight="1" x14ac:dyDescent="0.25">
      <c r="B1809" s="37" t="s">
        <v>1989</v>
      </c>
      <c r="C1809" s="26">
        <v>42</v>
      </c>
      <c r="D1809" s="38" t="s">
        <v>2708</v>
      </c>
      <c r="E1809" s="59"/>
      <c r="F1809" s="59" t="str">
        <f>IF(INDEX(I.Gas.P3C1E3,42)="","",INDEX(I.Gas.P3C1E3,42))</f>
        <v/>
      </c>
      <c r="G1809" s="59"/>
      <c r="H1809" s="26" t="str">
        <f>IF(OR(I.Developer.P3=FALSE,I.Facility.StandardPart="Part 2"),"Complete",IF(I.Product.P3GasToPower="No","Complete",IF(AND(I.Gas.P3Count&gt;=42,F1809=""),"Incomplete","Complete")))</f>
        <v>Complete</v>
      </c>
      <c r="I1809" s="39" t="s">
        <v>2031</v>
      </c>
    </row>
    <row r="1810" spans="2:9" ht="15" customHeight="1" x14ac:dyDescent="0.25">
      <c r="B1810" s="37" t="s">
        <v>1989</v>
      </c>
      <c r="C1810" s="26">
        <v>43</v>
      </c>
      <c r="D1810" s="38" t="s">
        <v>2708</v>
      </c>
      <c r="E1810" s="59"/>
      <c r="F1810" s="59" t="str">
        <f>IF(INDEX(I.Gas.P3C1E3,43)="","",INDEX(I.Gas.P3C1E3,43))</f>
        <v/>
      </c>
      <c r="G1810" s="59"/>
      <c r="H1810" s="26" t="str">
        <f>IF(OR(I.Developer.P3=FALSE,I.Facility.StandardPart="Part 2"),"Complete",IF(I.Product.P3GasToPower="No","Complete",IF(AND(I.Gas.P3Count&gt;=43,F1810=""),"Incomplete","Complete")))</f>
        <v>Complete</v>
      </c>
      <c r="I1810" s="39" t="s">
        <v>2032</v>
      </c>
    </row>
    <row r="1811" spans="2:9" ht="15" customHeight="1" x14ac:dyDescent="0.25">
      <c r="B1811" s="37" t="s">
        <v>1989</v>
      </c>
      <c r="C1811" s="26">
        <v>44</v>
      </c>
      <c r="D1811" s="38" t="s">
        <v>2708</v>
      </c>
      <c r="E1811" s="59"/>
      <c r="F1811" s="59" t="str">
        <f>IF(INDEX(I.Gas.P3C1E3,44)="","",INDEX(I.Gas.P3C1E3,44))</f>
        <v/>
      </c>
      <c r="G1811" s="59"/>
      <c r="H1811" s="26" t="str">
        <f>IF(OR(I.Developer.P3=FALSE,I.Facility.StandardPart="Part 2"),"Complete",IF(I.Product.P3GasToPower="No","Complete",IF(AND(I.Gas.P3Count&gt;=44,F1811=""),"Incomplete","Complete")))</f>
        <v>Complete</v>
      </c>
      <c r="I1811" s="39" t="s">
        <v>2033</v>
      </c>
    </row>
    <row r="1812" spans="2:9" ht="15" customHeight="1" x14ac:dyDescent="0.25">
      <c r="B1812" s="37" t="s">
        <v>1989</v>
      </c>
      <c r="C1812" s="26">
        <v>45</v>
      </c>
      <c r="D1812" s="38" t="s">
        <v>2708</v>
      </c>
      <c r="E1812" s="59"/>
      <c r="F1812" s="59" t="str">
        <f>IF(INDEX(I.Gas.P3C1E3,45)="","",INDEX(I.Gas.P3C1E3,45))</f>
        <v/>
      </c>
      <c r="G1812" s="59"/>
      <c r="H1812" s="26" t="str">
        <f>IF(OR(I.Developer.P3=FALSE,I.Facility.StandardPart="Part 2"),"Complete",IF(I.Product.P3GasToPower="No","Complete",IF(AND(I.Gas.P3Count&gt;=45,F1812=""),"Incomplete","Complete")))</f>
        <v>Complete</v>
      </c>
      <c r="I1812" s="39" t="s">
        <v>2034</v>
      </c>
    </row>
    <row r="1813" spans="2:9" ht="15" customHeight="1" x14ac:dyDescent="0.25">
      <c r="B1813" s="37" t="s">
        <v>1989</v>
      </c>
      <c r="C1813" s="26">
        <v>46</v>
      </c>
      <c r="D1813" s="38" t="s">
        <v>2708</v>
      </c>
      <c r="E1813" s="59"/>
      <c r="F1813" s="59" t="str">
        <f>IF(INDEX(I.Gas.P3C1E3,46)="","",INDEX(I.Gas.P3C1E3,46))</f>
        <v/>
      </c>
      <c r="G1813" s="59"/>
      <c r="H1813" s="26" t="str">
        <f>IF(OR(I.Developer.P3=FALSE,I.Facility.StandardPart="Part 2"),"Complete",IF(I.Product.P3GasToPower="No","Complete",IF(AND(I.Gas.P3Count&gt;=46,F1813=""),"Incomplete","Complete")))</f>
        <v>Complete</v>
      </c>
      <c r="I1813" s="39" t="s">
        <v>2035</v>
      </c>
    </row>
    <row r="1814" spans="2:9" ht="15" customHeight="1" x14ac:dyDescent="0.25">
      <c r="B1814" s="37" t="s">
        <v>1989</v>
      </c>
      <c r="C1814" s="26">
        <v>47</v>
      </c>
      <c r="D1814" s="38" t="s">
        <v>2708</v>
      </c>
      <c r="E1814" s="59"/>
      <c r="F1814" s="59" t="str">
        <f>IF(INDEX(I.Gas.P3C1E3,47)="","",INDEX(I.Gas.P3C1E3,47))</f>
        <v/>
      </c>
      <c r="G1814" s="59"/>
      <c r="H1814" s="26" t="str">
        <f>IF(OR(I.Developer.P3=FALSE,I.Facility.StandardPart="Part 2"),"Complete",IF(I.Product.P3GasToPower="No","Complete",IF(AND(I.Gas.P3Count&gt;=47,F1814=""),"Incomplete","Complete")))</f>
        <v>Complete</v>
      </c>
      <c r="I1814" s="39" t="s">
        <v>2036</v>
      </c>
    </row>
    <row r="1815" spans="2:9" ht="15" customHeight="1" x14ac:dyDescent="0.25">
      <c r="B1815" s="37" t="s">
        <v>1989</v>
      </c>
      <c r="C1815" s="26">
        <v>48</v>
      </c>
      <c r="D1815" s="38" t="s">
        <v>2708</v>
      </c>
      <c r="E1815" s="59"/>
      <c r="F1815" s="59" t="str">
        <f>IF(INDEX(I.Gas.P3C1E3,48)="","",INDEX(I.Gas.P3C1E3,48))</f>
        <v/>
      </c>
      <c r="G1815" s="59"/>
      <c r="H1815" s="26" t="str">
        <f>IF(OR(I.Developer.P3=FALSE,I.Facility.StandardPart="Part 2"),"Complete",IF(I.Product.P3GasToPower="No","Complete",IF(AND(I.Gas.P3Count&gt;=48,F1815=""),"Incomplete","Complete")))</f>
        <v>Complete</v>
      </c>
      <c r="I1815" s="39" t="s">
        <v>2037</v>
      </c>
    </row>
    <row r="1816" spans="2:9" ht="15" customHeight="1" x14ac:dyDescent="0.25">
      <c r="B1816" s="37" t="s">
        <v>1989</v>
      </c>
      <c r="C1816" s="26">
        <v>49</v>
      </c>
      <c r="D1816" s="38" t="s">
        <v>2708</v>
      </c>
      <c r="E1816" s="59"/>
      <c r="F1816" s="59" t="str">
        <f>IF(INDEX(I.Gas.P3C1E3,49)="","",INDEX(I.Gas.P3C1E3,49))</f>
        <v/>
      </c>
      <c r="G1816" s="59"/>
      <c r="H1816" s="26" t="str">
        <f>IF(OR(I.Developer.P3=FALSE,I.Facility.StandardPart="Part 2"),"Complete",IF(I.Product.P3GasToPower="No","Complete",IF(AND(I.Gas.P3Count&gt;=49,F1816=""),"Incomplete","Complete")))</f>
        <v>Complete</v>
      </c>
      <c r="I1816" s="39" t="s">
        <v>2038</v>
      </c>
    </row>
    <row r="1817" spans="2:9" ht="15" customHeight="1" x14ac:dyDescent="0.25">
      <c r="B1817" s="40" t="s">
        <v>1989</v>
      </c>
      <c r="C1817" s="46">
        <v>50</v>
      </c>
      <c r="D1817" s="44" t="s">
        <v>2708</v>
      </c>
      <c r="E1817" s="63"/>
      <c r="F1817" s="63" t="str">
        <f>IF(INDEX(I.Gas.P3C1E3,50)="","",INDEX(I.Gas.P3C1E3,50))</f>
        <v/>
      </c>
      <c r="G1817" s="63"/>
      <c r="H1817" s="46" t="str">
        <f>IF(OR(I.Developer.P3=FALSE,I.Facility.StandardPart="Part 2"),"Complete",IF(I.Product.P3GasToPower="No","Complete",IF(AND(I.Gas.P3Count&gt;=50,F1817=""),"Incomplete","Complete")))</f>
        <v>Complete</v>
      </c>
      <c r="I1817" s="47" t="s">
        <v>2039</v>
      </c>
    </row>
    <row r="1818" spans="2:9" ht="15" customHeight="1" x14ac:dyDescent="0.25">
      <c r="B1818" s="55" t="s">
        <v>2040</v>
      </c>
      <c r="C1818" s="56">
        <v>1</v>
      </c>
      <c r="D1818" s="53" t="s">
        <v>2709</v>
      </c>
      <c r="E1818" s="73"/>
      <c r="F1818" s="73" t="str">
        <f>IF(I.Gas.P4Count="","",I.Gas.P4Count)</f>
        <v/>
      </c>
      <c r="G1818" s="73"/>
      <c r="H1818" s="56" t="str">
        <f>IF(I.Developer.P4=FALSE,"Complete",IF(I.Product.P4GasToPower="No","Complete",IF(I.Gas.P4Count="","Incomplete","Complete")))</f>
        <v>Complete</v>
      </c>
      <c r="I1818" s="58" t="s">
        <v>2041</v>
      </c>
    </row>
    <row r="1819" spans="2:9" ht="15" customHeight="1" x14ac:dyDescent="0.25">
      <c r="B1819" s="37" t="s">
        <v>2042</v>
      </c>
      <c r="C1819" s="26">
        <v>1</v>
      </c>
      <c r="D1819" s="38" t="s">
        <v>2710</v>
      </c>
      <c r="E1819" s="59"/>
      <c r="F1819" s="59" t="str">
        <f>IF(INDEX(I.Gas.P4AssociatedGasEnergy,1)="","",INDEX(I.Gas.P4AssociatedGasEnergy,1))</f>
        <v/>
      </c>
      <c r="G1819" s="59"/>
      <c r="H1819" s="26" t="str">
        <f>IF(I.Developer.P4=FALSE,"Complete",IF(I.Product.P4GasToPower="No","Complete",IF(AND(I.Gas.P4Count&gt;=1,F1819=""),"Incomplete","Complete")))</f>
        <v>Complete</v>
      </c>
      <c r="I1819" s="39" t="s">
        <v>2043</v>
      </c>
    </row>
    <row r="1820" spans="2:9" ht="15" customHeight="1" x14ac:dyDescent="0.25">
      <c r="B1820" s="37" t="s">
        <v>2042</v>
      </c>
      <c r="C1820" s="26">
        <v>2</v>
      </c>
      <c r="D1820" s="38" t="s">
        <v>2710</v>
      </c>
      <c r="E1820" s="59"/>
      <c r="F1820" s="59" t="str">
        <f>IF(INDEX(I.Gas.P4AssociatedGasEnergy,2)="","",INDEX(I.Gas.P4AssociatedGasEnergy,2))</f>
        <v/>
      </c>
      <c r="G1820" s="59"/>
      <c r="H1820" s="26" t="str">
        <f>IF(I.Developer.P4=FALSE,"Complete",IF(I.Product.P4GasToPower="No","Complete",IF(AND(I.Gas.P4Count&gt;=2,F1820=""),"Incomplete","Complete")))</f>
        <v>Complete</v>
      </c>
      <c r="I1820" s="39" t="s">
        <v>2044</v>
      </c>
    </row>
    <row r="1821" spans="2:9" ht="15" customHeight="1" x14ac:dyDescent="0.25">
      <c r="B1821" s="37" t="s">
        <v>2042</v>
      </c>
      <c r="C1821" s="26">
        <v>3</v>
      </c>
      <c r="D1821" s="38" t="s">
        <v>2710</v>
      </c>
      <c r="E1821" s="59"/>
      <c r="F1821" s="59" t="str">
        <f>IF(INDEX(I.Gas.P4AssociatedGasEnergy,3)="","",INDEX(I.Gas.P4AssociatedGasEnergy,3))</f>
        <v/>
      </c>
      <c r="G1821" s="59"/>
      <c r="H1821" s="26" t="str">
        <f>IF(I.Developer.P4=FALSE,"Complete",IF(I.Product.P4GasToPower="No","Complete",IF(AND(I.Gas.P4Count&gt;=3,F1821=""),"Incomplete","Complete")))</f>
        <v>Complete</v>
      </c>
      <c r="I1821" s="39" t="s">
        <v>2045</v>
      </c>
    </row>
    <row r="1822" spans="2:9" ht="15" customHeight="1" x14ac:dyDescent="0.25">
      <c r="B1822" s="37" t="s">
        <v>2042</v>
      </c>
      <c r="C1822" s="26">
        <v>4</v>
      </c>
      <c r="D1822" s="38" t="s">
        <v>2710</v>
      </c>
      <c r="E1822" s="59"/>
      <c r="F1822" s="59" t="str">
        <f>IF(INDEX(I.Gas.P4AssociatedGasEnergy,4)="","",INDEX(I.Gas.P4AssociatedGasEnergy,4))</f>
        <v/>
      </c>
      <c r="G1822" s="59"/>
      <c r="H1822" s="26" t="str">
        <f>IF(I.Developer.P4=FALSE,"Complete",IF(I.Product.P4GasToPower="No","Complete",IF(AND(I.Gas.P4Count&gt;=4,F1822=""),"Incomplete","Complete")))</f>
        <v>Complete</v>
      </c>
      <c r="I1822" s="39" t="s">
        <v>2046</v>
      </c>
    </row>
    <row r="1823" spans="2:9" ht="15" customHeight="1" x14ac:dyDescent="0.25">
      <c r="B1823" s="37" t="s">
        <v>2042</v>
      </c>
      <c r="C1823" s="26">
        <v>5</v>
      </c>
      <c r="D1823" s="38" t="s">
        <v>2710</v>
      </c>
      <c r="E1823" s="59"/>
      <c r="F1823" s="59" t="str">
        <f>IF(INDEX(I.Gas.P4AssociatedGasEnergy,5)="","",INDEX(I.Gas.P4AssociatedGasEnergy,5))</f>
        <v/>
      </c>
      <c r="G1823" s="59"/>
      <c r="H1823" s="26" t="str">
        <f>IF(I.Developer.P4=FALSE,"Complete",IF(I.Product.P4GasToPower="No","Complete",IF(AND(I.Gas.P4Count&gt;=5,F1823=""),"Incomplete","Complete")))</f>
        <v>Complete</v>
      </c>
      <c r="I1823" s="39" t="s">
        <v>2047</v>
      </c>
    </row>
    <row r="1824" spans="2:9" ht="15" customHeight="1" x14ac:dyDescent="0.25">
      <c r="B1824" s="37" t="s">
        <v>2042</v>
      </c>
      <c r="C1824" s="26">
        <v>6</v>
      </c>
      <c r="D1824" s="38" t="s">
        <v>2710</v>
      </c>
      <c r="E1824" s="59"/>
      <c r="F1824" s="59" t="str">
        <f>IF(INDEX(I.Gas.P4AssociatedGasEnergy,6)="","",INDEX(I.Gas.P4AssociatedGasEnergy,6))</f>
        <v/>
      </c>
      <c r="G1824" s="59"/>
      <c r="H1824" s="26" t="str">
        <f>IF(I.Developer.P4=FALSE,"Complete",IF(I.Product.P4GasToPower="No","Complete",IF(AND(I.Gas.P4Count&gt;=6,F1824=""),"Incomplete","Complete")))</f>
        <v>Complete</v>
      </c>
      <c r="I1824" s="39" t="s">
        <v>2048</v>
      </c>
    </row>
    <row r="1825" spans="2:9" ht="15" customHeight="1" x14ac:dyDescent="0.25">
      <c r="B1825" s="37" t="s">
        <v>2042</v>
      </c>
      <c r="C1825" s="26">
        <v>7</v>
      </c>
      <c r="D1825" s="38" t="s">
        <v>2710</v>
      </c>
      <c r="E1825" s="59"/>
      <c r="F1825" s="59" t="str">
        <f>IF(INDEX(I.Gas.P4AssociatedGasEnergy,7)="","",INDEX(I.Gas.P4AssociatedGasEnergy,7))</f>
        <v/>
      </c>
      <c r="G1825" s="59"/>
      <c r="H1825" s="26" t="str">
        <f>IF(I.Developer.P4=FALSE,"Complete",IF(I.Product.P4GasToPower="No","Complete",IF(AND(I.Gas.P4Count&gt;=7,F1825=""),"Incomplete","Complete")))</f>
        <v>Complete</v>
      </c>
      <c r="I1825" s="39" t="s">
        <v>2049</v>
      </c>
    </row>
    <row r="1826" spans="2:9" ht="15" customHeight="1" x14ac:dyDescent="0.25">
      <c r="B1826" s="37" t="s">
        <v>2042</v>
      </c>
      <c r="C1826" s="26">
        <v>8</v>
      </c>
      <c r="D1826" s="38" t="s">
        <v>2710</v>
      </c>
      <c r="E1826" s="59"/>
      <c r="F1826" s="59" t="str">
        <f>IF(INDEX(I.Gas.P4AssociatedGasEnergy,8)="","",INDEX(I.Gas.P4AssociatedGasEnergy,8))</f>
        <v/>
      </c>
      <c r="G1826" s="59"/>
      <c r="H1826" s="26" t="str">
        <f>IF(I.Developer.P4=FALSE,"Complete",IF(I.Product.P4GasToPower="No","Complete",IF(AND(I.Gas.P4Count&gt;=8,F1826=""),"Incomplete","Complete")))</f>
        <v>Complete</v>
      </c>
      <c r="I1826" s="39" t="s">
        <v>2050</v>
      </c>
    </row>
    <row r="1827" spans="2:9" ht="15" customHeight="1" x14ac:dyDescent="0.25">
      <c r="B1827" s="37" t="s">
        <v>2042</v>
      </c>
      <c r="C1827" s="26">
        <v>9</v>
      </c>
      <c r="D1827" s="38" t="s">
        <v>2710</v>
      </c>
      <c r="E1827" s="59"/>
      <c r="F1827" s="59" t="str">
        <f>IF(INDEX(I.Gas.P4AssociatedGasEnergy,9)="","",INDEX(I.Gas.P4AssociatedGasEnergy,9))</f>
        <v/>
      </c>
      <c r="G1827" s="59"/>
      <c r="H1827" s="26" t="str">
        <f>IF(I.Developer.P4=FALSE,"Complete",IF(I.Product.P4GasToPower="No","Complete",IF(AND(I.Gas.P4Count&gt;=9,F1827=""),"Incomplete","Complete")))</f>
        <v>Complete</v>
      </c>
      <c r="I1827" s="39" t="s">
        <v>2051</v>
      </c>
    </row>
    <row r="1828" spans="2:9" ht="15" customHeight="1" x14ac:dyDescent="0.25">
      <c r="B1828" s="37" t="s">
        <v>2042</v>
      </c>
      <c r="C1828" s="26">
        <v>10</v>
      </c>
      <c r="D1828" s="38" t="s">
        <v>2710</v>
      </c>
      <c r="E1828" s="59"/>
      <c r="F1828" s="59" t="str">
        <f>IF(INDEX(I.Gas.P4AssociatedGasEnergy,10)="","",INDEX(I.Gas.P4AssociatedGasEnergy,10))</f>
        <v/>
      </c>
      <c r="G1828" s="59"/>
      <c r="H1828" s="26" t="str">
        <f>IF(I.Developer.P4=FALSE,"Complete",IF(I.Product.P4GasToPower="No","Complete",IF(AND(I.Gas.P4Count&gt;=10,F1828=""),"Incomplete","Complete")))</f>
        <v>Complete</v>
      </c>
      <c r="I1828" s="39" t="s">
        <v>2052</v>
      </c>
    </row>
    <row r="1829" spans="2:9" ht="15" customHeight="1" x14ac:dyDescent="0.25">
      <c r="B1829" s="37" t="s">
        <v>2042</v>
      </c>
      <c r="C1829" s="26">
        <v>11</v>
      </c>
      <c r="D1829" s="38" t="s">
        <v>2710</v>
      </c>
      <c r="E1829" s="59"/>
      <c r="F1829" s="59" t="str">
        <f>IF(INDEX(I.Gas.P4AssociatedGasEnergy,11)="","",INDEX(I.Gas.P4AssociatedGasEnergy,11))</f>
        <v/>
      </c>
      <c r="G1829" s="59"/>
      <c r="H1829" s="26" t="str">
        <f>IF(I.Developer.P4=FALSE,"Complete",IF(I.Product.P4GasToPower="No","Complete",IF(AND(I.Gas.P4Count&gt;=11,F1829=""),"Incomplete","Complete")))</f>
        <v>Complete</v>
      </c>
      <c r="I1829" s="39" t="s">
        <v>2053</v>
      </c>
    </row>
    <row r="1830" spans="2:9" ht="15" customHeight="1" x14ac:dyDescent="0.25">
      <c r="B1830" s="37" t="s">
        <v>2042</v>
      </c>
      <c r="C1830" s="26">
        <v>12</v>
      </c>
      <c r="D1830" s="38" t="s">
        <v>2710</v>
      </c>
      <c r="E1830" s="59"/>
      <c r="F1830" s="59" t="str">
        <f>IF(INDEX(I.Gas.P4AssociatedGasEnergy,12)="","",INDEX(I.Gas.P4AssociatedGasEnergy,12))</f>
        <v/>
      </c>
      <c r="G1830" s="59"/>
      <c r="H1830" s="26" t="str">
        <f>IF(I.Developer.P4=FALSE,"Complete",IF(I.Product.P4GasToPower="No","Complete",IF(AND(I.Gas.P4Count&gt;=12,F1830=""),"Incomplete","Complete")))</f>
        <v>Complete</v>
      </c>
      <c r="I1830" s="39" t="s">
        <v>2054</v>
      </c>
    </row>
    <row r="1831" spans="2:9" ht="15" customHeight="1" x14ac:dyDescent="0.25">
      <c r="B1831" s="37" t="s">
        <v>2042</v>
      </c>
      <c r="C1831" s="26">
        <v>13</v>
      </c>
      <c r="D1831" s="38" t="s">
        <v>2710</v>
      </c>
      <c r="E1831" s="59"/>
      <c r="F1831" s="59" t="str">
        <f>IF(INDEX(I.Gas.P4AssociatedGasEnergy,13)="","",INDEX(I.Gas.P4AssociatedGasEnergy,13))</f>
        <v/>
      </c>
      <c r="G1831" s="59"/>
      <c r="H1831" s="26" t="str">
        <f>IF(I.Developer.P4=FALSE,"Complete",IF(I.Product.P4GasToPower="No","Complete",IF(AND(I.Gas.P4Count&gt;=13,F1831=""),"Incomplete","Complete")))</f>
        <v>Complete</v>
      </c>
      <c r="I1831" s="39" t="s">
        <v>2055</v>
      </c>
    </row>
    <row r="1832" spans="2:9" ht="15" customHeight="1" x14ac:dyDescent="0.25">
      <c r="B1832" s="37" t="s">
        <v>2042</v>
      </c>
      <c r="C1832" s="26">
        <v>14</v>
      </c>
      <c r="D1832" s="38" t="s">
        <v>2710</v>
      </c>
      <c r="E1832" s="59"/>
      <c r="F1832" s="59" t="str">
        <f>IF(INDEX(I.Gas.P4AssociatedGasEnergy,14)="","",INDEX(I.Gas.P4AssociatedGasEnergy,14))</f>
        <v/>
      </c>
      <c r="G1832" s="59"/>
      <c r="H1832" s="26" t="str">
        <f>IF(I.Developer.P4=FALSE,"Complete",IF(I.Product.P4GasToPower="No","Complete",IF(AND(I.Gas.P4Count&gt;=14,F1832=""),"Incomplete","Complete")))</f>
        <v>Complete</v>
      </c>
      <c r="I1832" s="39" t="s">
        <v>2056</v>
      </c>
    </row>
    <row r="1833" spans="2:9" ht="15" customHeight="1" x14ac:dyDescent="0.25">
      <c r="B1833" s="37" t="s">
        <v>2042</v>
      </c>
      <c r="C1833" s="26">
        <v>15</v>
      </c>
      <c r="D1833" s="38" t="s">
        <v>2710</v>
      </c>
      <c r="E1833" s="59"/>
      <c r="F1833" s="59" t="str">
        <f>IF(INDEX(I.Gas.P4AssociatedGasEnergy,15)="","",INDEX(I.Gas.P4AssociatedGasEnergy,15))</f>
        <v/>
      </c>
      <c r="G1833" s="59"/>
      <c r="H1833" s="26" t="str">
        <f>IF(I.Developer.P4=FALSE,"Complete",IF(I.Product.P4GasToPower="No","Complete",IF(AND(I.Gas.P4Count&gt;=15,F1833=""),"Incomplete","Complete")))</f>
        <v>Complete</v>
      </c>
      <c r="I1833" s="39" t="s">
        <v>2057</v>
      </c>
    </row>
    <row r="1834" spans="2:9" ht="15" customHeight="1" x14ac:dyDescent="0.25">
      <c r="B1834" s="37" t="s">
        <v>2042</v>
      </c>
      <c r="C1834" s="26">
        <v>16</v>
      </c>
      <c r="D1834" s="38" t="s">
        <v>2710</v>
      </c>
      <c r="E1834" s="59"/>
      <c r="F1834" s="59" t="str">
        <f>IF(INDEX(I.Gas.P4AssociatedGasEnergy,16)="","",INDEX(I.Gas.P4AssociatedGasEnergy,16))</f>
        <v/>
      </c>
      <c r="G1834" s="59"/>
      <c r="H1834" s="26" t="str">
        <f>IF(I.Developer.P4=FALSE,"Complete",IF(I.Product.P4GasToPower="No","Complete",IF(AND(I.Gas.P4Count&gt;=16,F1834=""),"Incomplete","Complete")))</f>
        <v>Complete</v>
      </c>
      <c r="I1834" s="39" t="s">
        <v>2058</v>
      </c>
    </row>
    <row r="1835" spans="2:9" ht="15" customHeight="1" x14ac:dyDescent="0.25">
      <c r="B1835" s="37" t="s">
        <v>2042</v>
      </c>
      <c r="C1835" s="26">
        <v>17</v>
      </c>
      <c r="D1835" s="38" t="s">
        <v>2710</v>
      </c>
      <c r="E1835" s="59"/>
      <c r="F1835" s="59" t="str">
        <f>IF(INDEX(I.Gas.P4AssociatedGasEnergy,17)="","",INDEX(I.Gas.P4AssociatedGasEnergy,17))</f>
        <v/>
      </c>
      <c r="G1835" s="59"/>
      <c r="H1835" s="26" t="str">
        <f>IF(I.Developer.P4=FALSE,"Complete",IF(I.Product.P4GasToPower="No","Complete",IF(AND(I.Gas.P4Count&gt;=17,F1835=""),"Incomplete","Complete")))</f>
        <v>Complete</v>
      </c>
      <c r="I1835" s="39" t="s">
        <v>2059</v>
      </c>
    </row>
    <row r="1836" spans="2:9" ht="15" customHeight="1" x14ac:dyDescent="0.25">
      <c r="B1836" s="37" t="s">
        <v>2042</v>
      </c>
      <c r="C1836" s="26">
        <v>18</v>
      </c>
      <c r="D1836" s="38" t="s">
        <v>2710</v>
      </c>
      <c r="E1836" s="59"/>
      <c r="F1836" s="59" t="str">
        <f>IF(INDEX(I.Gas.P4AssociatedGasEnergy,18)="","",INDEX(I.Gas.P4AssociatedGasEnergy,18))</f>
        <v/>
      </c>
      <c r="G1836" s="59"/>
      <c r="H1836" s="26" t="str">
        <f>IF(I.Developer.P4=FALSE,"Complete",IF(I.Product.P4GasToPower="No","Complete",IF(AND(I.Gas.P4Count&gt;=18,F1836=""),"Incomplete","Complete")))</f>
        <v>Complete</v>
      </c>
      <c r="I1836" s="39" t="s">
        <v>2060</v>
      </c>
    </row>
    <row r="1837" spans="2:9" ht="15" customHeight="1" x14ac:dyDescent="0.25">
      <c r="B1837" s="37" t="s">
        <v>2042</v>
      </c>
      <c r="C1837" s="26">
        <v>19</v>
      </c>
      <c r="D1837" s="38" t="s">
        <v>2710</v>
      </c>
      <c r="E1837" s="59"/>
      <c r="F1837" s="59" t="str">
        <f>IF(INDEX(I.Gas.P4AssociatedGasEnergy,19)="","",INDEX(I.Gas.P4AssociatedGasEnergy,19))</f>
        <v/>
      </c>
      <c r="G1837" s="59"/>
      <c r="H1837" s="26" t="str">
        <f>IF(I.Developer.P4=FALSE,"Complete",IF(I.Product.P4GasToPower="No","Complete",IF(AND(I.Gas.P4Count&gt;=19,F1837=""),"Incomplete","Complete")))</f>
        <v>Complete</v>
      </c>
      <c r="I1837" s="39" t="s">
        <v>2061</v>
      </c>
    </row>
    <row r="1838" spans="2:9" ht="15" customHeight="1" x14ac:dyDescent="0.25">
      <c r="B1838" s="37" t="s">
        <v>2042</v>
      </c>
      <c r="C1838" s="26">
        <v>20</v>
      </c>
      <c r="D1838" s="38" t="s">
        <v>2710</v>
      </c>
      <c r="E1838" s="59"/>
      <c r="F1838" s="59" t="str">
        <f>IF(INDEX(I.Gas.P4AssociatedGasEnergy,20)="","",INDEX(I.Gas.P4AssociatedGasEnergy,20))</f>
        <v/>
      </c>
      <c r="G1838" s="59"/>
      <c r="H1838" s="26" t="str">
        <f>IF(I.Developer.P4=FALSE,"Complete",IF(I.Product.P4GasToPower="No","Complete",IF(AND(I.Gas.P4Count&gt;=20,F1838=""),"Incomplete","Complete")))</f>
        <v>Complete</v>
      </c>
      <c r="I1838" s="39" t="s">
        <v>2062</v>
      </c>
    </row>
    <row r="1839" spans="2:9" ht="15" customHeight="1" x14ac:dyDescent="0.25">
      <c r="B1839" s="37" t="s">
        <v>2042</v>
      </c>
      <c r="C1839" s="26">
        <v>21</v>
      </c>
      <c r="D1839" s="38" t="s">
        <v>2710</v>
      </c>
      <c r="E1839" s="59"/>
      <c r="F1839" s="59" t="str">
        <f>IF(INDEX(I.Gas.P4AssociatedGasEnergy,21)="","",INDEX(I.Gas.P4AssociatedGasEnergy,21))</f>
        <v/>
      </c>
      <c r="G1839" s="59"/>
      <c r="H1839" s="26" t="str">
        <f>IF(I.Developer.P4=FALSE,"Complete",IF(I.Product.P4GasToPower="No","Complete",IF(AND(I.Gas.P4Count&gt;=21,F1839=""),"Incomplete","Complete")))</f>
        <v>Complete</v>
      </c>
      <c r="I1839" s="39" t="s">
        <v>2063</v>
      </c>
    </row>
    <row r="1840" spans="2:9" ht="15" customHeight="1" x14ac:dyDescent="0.25">
      <c r="B1840" s="37" t="s">
        <v>2042</v>
      </c>
      <c r="C1840" s="26">
        <v>22</v>
      </c>
      <c r="D1840" s="38" t="s">
        <v>2710</v>
      </c>
      <c r="E1840" s="59"/>
      <c r="F1840" s="59" t="str">
        <f>IF(INDEX(I.Gas.P4AssociatedGasEnergy,22)="","",INDEX(I.Gas.P4AssociatedGasEnergy,22))</f>
        <v/>
      </c>
      <c r="G1840" s="59"/>
      <c r="H1840" s="26" t="str">
        <f>IF(I.Developer.P4=FALSE,"Complete",IF(I.Product.P4GasToPower="No","Complete",IF(AND(I.Gas.P4Count&gt;=22,F1840=""),"Incomplete","Complete")))</f>
        <v>Complete</v>
      </c>
      <c r="I1840" s="39" t="s">
        <v>2064</v>
      </c>
    </row>
    <row r="1841" spans="2:9" ht="15" customHeight="1" x14ac:dyDescent="0.25">
      <c r="B1841" s="37" t="s">
        <v>2042</v>
      </c>
      <c r="C1841" s="26">
        <v>23</v>
      </c>
      <c r="D1841" s="38" t="s">
        <v>2710</v>
      </c>
      <c r="E1841" s="59"/>
      <c r="F1841" s="59" t="str">
        <f>IF(INDEX(I.Gas.P4AssociatedGasEnergy,23)="","",INDEX(I.Gas.P4AssociatedGasEnergy,23))</f>
        <v/>
      </c>
      <c r="G1841" s="59"/>
      <c r="H1841" s="26" t="str">
        <f>IF(I.Developer.P4=FALSE,"Complete",IF(I.Product.P4GasToPower="No","Complete",IF(AND(I.Gas.P4Count&gt;=23,F1841=""),"Incomplete","Complete")))</f>
        <v>Complete</v>
      </c>
      <c r="I1841" s="39" t="s">
        <v>2065</v>
      </c>
    </row>
    <row r="1842" spans="2:9" ht="15" customHeight="1" x14ac:dyDescent="0.25">
      <c r="B1842" s="37" t="s">
        <v>2042</v>
      </c>
      <c r="C1842" s="26">
        <v>24</v>
      </c>
      <c r="D1842" s="38" t="s">
        <v>2710</v>
      </c>
      <c r="E1842" s="59"/>
      <c r="F1842" s="59" t="str">
        <f>IF(INDEX(I.Gas.P4AssociatedGasEnergy,24)="","",INDEX(I.Gas.P4AssociatedGasEnergy,24))</f>
        <v/>
      </c>
      <c r="G1842" s="59"/>
      <c r="H1842" s="26" t="str">
        <f>IF(I.Developer.P4=FALSE,"Complete",IF(I.Product.P4GasToPower="No","Complete",IF(AND(I.Gas.P4Count&gt;=24,F1842=""),"Incomplete","Complete")))</f>
        <v>Complete</v>
      </c>
      <c r="I1842" s="39" t="s">
        <v>2066</v>
      </c>
    </row>
    <row r="1843" spans="2:9" ht="15" customHeight="1" x14ac:dyDescent="0.25">
      <c r="B1843" s="37" t="s">
        <v>2042</v>
      </c>
      <c r="C1843" s="26">
        <v>25</v>
      </c>
      <c r="D1843" s="38" t="s">
        <v>2710</v>
      </c>
      <c r="E1843" s="59"/>
      <c r="F1843" s="59" t="str">
        <f>IF(INDEX(I.Gas.P4AssociatedGasEnergy,25)="","",INDEX(I.Gas.P4AssociatedGasEnergy,25))</f>
        <v/>
      </c>
      <c r="G1843" s="59"/>
      <c r="H1843" s="26" t="str">
        <f>IF(I.Developer.P4=FALSE,"Complete",IF(I.Product.P4GasToPower="No","Complete",IF(AND(I.Gas.P4Count&gt;=25,F1843=""),"Incomplete","Complete")))</f>
        <v>Complete</v>
      </c>
      <c r="I1843" s="39" t="s">
        <v>2067</v>
      </c>
    </row>
    <row r="1844" spans="2:9" ht="15" customHeight="1" x14ac:dyDescent="0.25">
      <c r="B1844" s="37" t="s">
        <v>2042</v>
      </c>
      <c r="C1844" s="26">
        <v>26</v>
      </c>
      <c r="D1844" s="38" t="s">
        <v>2710</v>
      </c>
      <c r="E1844" s="59"/>
      <c r="F1844" s="59" t="str">
        <f>IF(INDEX(I.Gas.P4AssociatedGasEnergy,26)="","",INDEX(I.Gas.P4AssociatedGasEnergy,26))</f>
        <v/>
      </c>
      <c r="G1844" s="59"/>
      <c r="H1844" s="26" t="str">
        <f>IF(I.Developer.P4=FALSE,"Complete",IF(I.Product.P4GasToPower="No","Complete",IF(AND(I.Gas.P4Count&gt;=26,F1844=""),"Incomplete","Complete")))</f>
        <v>Complete</v>
      </c>
      <c r="I1844" s="39" t="s">
        <v>2068</v>
      </c>
    </row>
    <row r="1845" spans="2:9" ht="15" customHeight="1" x14ac:dyDescent="0.25">
      <c r="B1845" s="37" t="s">
        <v>2042</v>
      </c>
      <c r="C1845" s="26">
        <v>27</v>
      </c>
      <c r="D1845" s="38" t="s">
        <v>2710</v>
      </c>
      <c r="E1845" s="59"/>
      <c r="F1845" s="59" t="str">
        <f>IF(INDEX(I.Gas.P4AssociatedGasEnergy,27)="","",INDEX(I.Gas.P4AssociatedGasEnergy,27))</f>
        <v/>
      </c>
      <c r="G1845" s="59"/>
      <c r="H1845" s="26" t="str">
        <f>IF(I.Developer.P4=FALSE,"Complete",IF(I.Product.P4GasToPower="No","Complete",IF(AND(I.Gas.P4Count&gt;=27,F1845=""),"Incomplete","Complete")))</f>
        <v>Complete</v>
      </c>
      <c r="I1845" s="39" t="s">
        <v>2069</v>
      </c>
    </row>
    <row r="1846" spans="2:9" ht="15" customHeight="1" x14ac:dyDescent="0.25">
      <c r="B1846" s="37" t="s">
        <v>2042</v>
      </c>
      <c r="C1846" s="26">
        <v>28</v>
      </c>
      <c r="D1846" s="38" t="s">
        <v>2710</v>
      </c>
      <c r="E1846" s="59"/>
      <c r="F1846" s="59" t="str">
        <f>IF(INDEX(I.Gas.P4AssociatedGasEnergy,28)="","",INDEX(I.Gas.P4AssociatedGasEnergy,28))</f>
        <v/>
      </c>
      <c r="G1846" s="59"/>
      <c r="H1846" s="26" t="str">
        <f>IF(I.Developer.P4=FALSE,"Complete",IF(I.Product.P4GasToPower="No","Complete",IF(AND(I.Gas.P4Count&gt;=28,F1846=""),"Incomplete","Complete")))</f>
        <v>Complete</v>
      </c>
      <c r="I1846" s="39" t="s">
        <v>2070</v>
      </c>
    </row>
    <row r="1847" spans="2:9" ht="15" customHeight="1" x14ac:dyDescent="0.25">
      <c r="B1847" s="37" t="s">
        <v>2042</v>
      </c>
      <c r="C1847" s="26">
        <v>29</v>
      </c>
      <c r="D1847" s="38" t="s">
        <v>2710</v>
      </c>
      <c r="E1847" s="59"/>
      <c r="F1847" s="59" t="str">
        <f>IF(INDEX(I.Gas.P4AssociatedGasEnergy,29)="","",INDEX(I.Gas.P4AssociatedGasEnergy,29))</f>
        <v/>
      </c>
      <c r="G1847" s="59"/>
      <c r="H1847" s="26" t="str">
        <f>IF(I.Developer.P4=FALSE,"Complete",IF(I.Product.P4GasToPower="No","Complete",IF(AND(I.Gas.P4Count&gt;=29,F1847=""),"Incomplete","Complete")))</f>
        <v>Complete</v>
      </c>
      <c r="I1847" s="39" t="s">
        <v>2071</v>
      </c>
    </row>
    <row r="1848" spans="2:9" ht="15" customHeight="1" x14ac:dyDescent="0.25">
      <c r="B1848" s="37" t="s">
        <v>2042</v>
      </c>
      <c r="C1848" s="26">
        <v>30</v>
      </c>
      <c r="D1848" s="38" t="s">
        <v>2710</v>
      </c>
      <c r="E1848" s="59"/>
      <c r="F1848" s="59" t="str">
        <f>IF(INDEX(I.Gas.P4AssociatedGasEnergy,30)="","",INDEX(I.Gas.P4AssociatedGasEnergy,30))</f>
        <v/>
      </c>
      <c r="G1848" s="59"/>
      <c r="H1848" s="26" t="str">
        <f>IF(I.Developer.P4=FALSE,"Complete",IF(I.Product.P4GasToPower="No","Complete",IF(AND(I.Gas.P4Count&gt;=30,F1848=""),"Incomplete","Complete")))</f>
        <v>Complete</v>
      </c>
      <c r="I1848" s="39" t="s">
        <v>2072</v>
      </c>
    </row>
    <row r="1849" spans="2:9" ht="15" customHeight="1" x14ac:dyDescent="0.25">
      <c r="B1849" s="37" t="s">
        <v>2042</v>
      </c>
      <c r="C1849" s="26">
        <v>31</v>
      </c>
      <c r="D1849" s="38" t="s">
        <v>2710</v>
      </c>
      <c r="E1849" s="59"/>
      <c r="F1849" s="59" t="str">
        <f>IF(INDEX(I.Gas.P4AssociatedGasEnergy,31)="","",INDEX(I.Gas.P4AssociatedGasEnergy,31))</f>
        <v/>
      </c>
      <c r="G1849" s="59"/>
      <c r="H1849" s="26" t="str">
        <f>IF(I.Developer.P4=FALSE,"Complete",IF(I.Product.P4GasToPower="No","Complete",IF(AND(I.Gas.P4Count&gt;=31,F1849=""),"Incomplete","Complete")))</f>
        <v>Complete</v>
      </c>
      <c r="I1849" s="39" t="s">
        <v>2073</v>
      </c>
    </row>
    <row r="1850" spans="2:9" ht="15" customHeight="1" x14ac:dyDescent="0.25">
      <c r="B1850" s="37" t="s">
        <v>2042</v>
      </c>
      <c r="C1850" s="26">
        <v>32</v>
      </c>
      <c r="D1850" s="38" t="s">
        <v>2710</v>
      </c>
      <c r="E1850" s="59"/>
      <c r="F1850" s="59" t="str">
        <f>IF(INDEX(I.Gas.P4AssociatedGasEnergy,32)="","",INDEX(I.Gas.P4AssociatedGasEnergy,32))</f>
        <v/>
      </c>
      <c r="G1850" s="59"/>
      <c r="H1850" s="26" t="str">
        <f>IF(I.Developer.P4=FALSE,"Complete",IF(I.Product.P4GasToPower="No","Complete",IF(AND(I.Gas.P4Count&gt;=32,F1850=""),"Incomplete","Complete")))</f>
        <v>Complete</v>
      </c>
      <c r="I1850" s="39" t="s">
        <v>2074</v>
      </c>
    </row>
    <row r="1851" spans="2:9" ht="15" customHeight="1" x14ac:dyDescent="0.25">
      <c r="B1851" s="37" t="s">
        <v>2042</v>
      </c>
      <c r="C1851" s="26">
        <v>33</v>
      </c>
      <c r="D1851" s="38" t="s">
        <v>2710</v>
      </c>
      <c r="E1851" s="59"/>
      <c r="F1851" s="59" t="str">
        <f>IF(INDEX(I.Gas.P4AssociatedGasEnergy,33)="","",INDEX(I.Gas.P4AssociatedGasEnergy,33))</f>
        <v/>
      </c>
      <c r="G1851" s="59"/>
      <c r="H1851" s="26" t="str">
        <f>IF(I.Developer.P4=FALSE,"Complete",IF(I.Product.P4GasToPower="No","Complete",IF(AND(I.Gas.P4Count&gt;=33,F1851=""),"Incomplete","Complete")))</f>
        <v>Complete</v>
      </c>
      <c r="I1851" s="39" t="s">
        <v>2075</v>
      </c>
    </row>
    <row r="1852" spans="2:9" ht="15" customHeight="1" x14ac:dyDescent="0.25">
      <c r="B1852" s="37" t="s">
        <v>2042</v>
      </c>
      <c r="C1852" s="26">
        <v>34</v>
      </c>
      <c r="D1852" s="38" t="s">
        <v>2710</v>
      </c>
      <c r="E1852" s="59"/>
      <c r="F1852" s="59" t="str">
        <f>IF(INDEX(I.Gas.P4AssociatedGasEnergy,34)="","",INDEX(I.Gas.P4AssociatedGasEnergy,34))</f>
        <v/>
      </c>
      <c r="G1852" s="59"/>
      <c r="H1852" s="26" t="str">
        <f>IF(I.Developer.P4=FALSE,"Complete",IF(I.Product.P4GasToPower="No","Complete",IF(AND(I.Gas.P4Count&gt;=34,F1852=""),"Incomplete","Complete")))</f>
        <v>Complete</v>
      </c>
      <c r="I1852" s="39" t="s">
        <v>2076</v>
      </c>
    </row>
    <row r="1853" spans="2:9" ht="15" customHeight="1" x14ac:dyDescent="0.25">
      <c r="B1853" s="37" t="s">
        <v>2042</v>
      </c>
      <c r="C1853" s="26">
        <v>35</v>
      </c>
      <c r="D1853" s="38" t="s">
        <v>2710</v>
      </c>
      <c r="E1853" s="59"/>
      <c r="F1853" s="59" t="str">
        <f>IF(INDEX(I.Gas.P4AssociatedGasEnergy,35)="","",INDEX(I.Gas.P4AssociatedGasEnergy,35))</f>
        <v/>
      </c>
      <c r="G1853" s="59"/>
      <c r="H1853" s="26" t="str">
        <f>IF(I.Developer.P4=FALSE,"Complete",IF(I.Product.P4GasToPower="No","Complete",IF(AND(I.Gas.P4Count&gt;=35,F1853=""),"Incomplete","Complete")))</f>
        <v>Complete</v>
      </c>
      <c r="I1853" s="39" t="s">
        <v>2077</v>
      </c>
    </row>
    <row r="1854" spans="2:9" ht="15" customHeight="1" x14ac:dyDescent="0.25">
      <c r="B1854" s="37" t="s">
        <v>2042</v>
      </c>
      <c r="C1854" s="26">
        <v>36</v>
      </c>
      <c r="D1854" s="38" t="s">
        <v>2710</v>
      </c>
      <c r="E1854" s="59"/>
      <c r="F1854" s="59" t="str">
        <f>IF(INDEX(I.Gas.P4AssociatedGasEnergy,36)="","",INDEX(I.Gas.P4AssociatedGasEnergy,36))</f>
        <v/>
      </c>
      <c r="G1854" s="59"/>
      <c r="H1854" s="26" t="str">
        <f>IF(I.Developer.P4=FALSE,"Complete",IF(I.Product.P4GasToPower="No","Complete",IF(AND(I.Gas.P4Count&gt;=36,F1854=""),"Incomplete","Complete")))</f>
        <v>Complete</v>
      </c>
      <c r="I1854" s="39" t="s">
        <v>2078</v>
      </c>
    </row>
    <row r="1855" spans="2:9" ht="15" customHeight="1" x14ac:dyDescent="0.25">
      <c r="B1855" s="37" t="s">
        <v>2042</v>
      </c>
      <c r="C1855" s="26">
        <v>37</v>
      </c>
      <c r="D1855" s="38" t="s">
        <v>2710</v>
      </c>
      <c r="E1855" s="59"/>
      <c r="F1855" s="59" t="str">
        <f>IF(INDEX(I.Gas.P4AssociatedGasEnergy,37)="","",INDEX(I.Gas.P4AssociatedGasEnergy,37))</f>
        <v/>
      </c>
      <c r="G1855" s="59"/>
      <c r="H1855" s="26" t="str">
        <f>IF(I.Developer.P4=FALSE,"Complete",IF(I.Product.P4GasToPower="No","Complete",IF(AND(I.Gas.P4Count&gt;=37,F1855=""),"Incomplete","Complete")))</f>
        <v>Complete</v>
      </c>
      <c r="I1855" s="39" t="s">
        <v>2079</v>
      </c>
    </row>
    <row r="1856" spans="2:9" ht="15" customHeight="1" x14ac:dyDescent="0.25">
      <c r="B1856" s="37" t="s">
        <v>2042</v>
      </c>
      <c r="C1856" s="26">
        <v>38</v>
      </c>
      <c r="D1856" s="38" t="s">
        <v>2710</v>
      </c>
      <c r="E1856" s="59"/>
      <c r="F1856" s="59" t="str">
        <f>IF(INDEX(I.Gas.P4AssociatedGasEnergy,38)="","",INDEX(I.Gas.P4AssociatedGasEnergy,38))</f>
        <v/>
      </c>
      <c r="G1856" s="59"/>
      <c r="H1856" s="26" t="str">
        <f>IF(I.Developer.P4=FALSE,"Complete",IF(I.Product.P4GasToPower="No","Complete",IF(AND(I.Gas.P4Count&gt;=38,F1856=""),"Incomplete","Complete")))</f>
        <v>Complete</v>
      </c>
      <c r="I1856" s="39" t="s">
        <v>2080</v>
      </c>
    </row>
    <row r="1857" spans="2:9" ht="15" customHeight="1" x14ac:dyDescent="0.25">
      <c r="B1857" s="37" t="s">
        <v>2042</v>
      </c>
      <c r="C1857" s="26">
        <v>39</v>
      </c>
      <c r="D1857" s="38" t="s">
        <v>2710</v>
      </c>
      <c r="E1857" s="59"/>
      <c r="F1857" s="59" t="str">
        <f>IF(INDEX(I.Gas.P4AssociatedGasEnergy,39)="","",INDEX(I.Gas.P4AssociatedGasEnergy,39))</f>
        <v/>
      </c>
      <c r="G1857" s="59"/>
      <c r="H1857" s="26" t="str">
        <f>IF(I.Developer.P4=FALSE,"Complete",IF(I.Product.P4GasToPower="No","Complete",IF(AND(I.Gas.P4Count&gt;=39,F1857=""),"Incomplete","Complete")))</f>
        <v>Complete</v>
      </c>
      <c r="I1857" s="39" t="s">
        <v>2081</v>
      </c>
    </row>
    <row r="1858" spans="2:9" ht="15" customHeight="1" x14ac:dyDescent="0.25">
      <c r="B1858" s="37" t="s">
        <v>2042</v>
      </c>
      <c r="C1858" s="26">
        <v>40</v>
      </c>
      <c r="D1858" s="38" t="s">
        <v>2710</v>
      </c>
      <c r="E1858" s="59"/>
      <c r="F1858" s="59" t="str">
        <f>IF(INDEX(I.Gas.P4AssociatedGasEnergy,40)="","",INDEX(I.Gas.P4AssociatedGasEnergy,40))</f>
        <v/>
      </c>
      <c r="G1858" s="59"/>
      <c r="H1858" s="26" t="str">
        <f>IF(I.Developer.P4=FALSE,"Complete",IF(I.Product.P4GasToPower="No","Complete",IF(AND(I.Gas.P4Count&gt;=40,F1858=""),"Incomplete","Complete")))</f>
        <v>Complete</v>
      </c>
      <c r="I1858" s="39" t="s">
        <v>2082</v>
      </c>
    </row>
    <row r="1859" spans="2:9" ht="15" customHeight="1" x14ac:dyDescent="0.25">
      <c r="B1859" s="37" t="s">
        <v>2042</v>
      </c>
      <c r="C1859" s="26">
        <v>41</v>
      </c>
      <c r="D1859" s="38" t="s">
        <v>2710</v>
      </c>
      <c r="E1859" s="59"/>
      <c r="F1859" s="59" t="str">
        <f>IF(INDEX(I.Gas.P4AssociatedGasEnergy,41)="","",INDEX(I.Gas.P4AssociatedGasEnergy,41))</f>
        <v/>
      </c>
      <c r="G1859" s="59"/>
      <c r="H1859" s="26" t="str">
        <f>IF(I.Developer.P4=FALSE,"Complete",IF(I.Product.P4GasToPower="No","Complete",IF(AND(I.Gas.P4Count&gt;=41,F1859=""),"Incomplete","Complete")))</f>
        <v>Complete</v>
      </c>
      <c r="I1859" s="39" t="s">
        <v>2083</v>
      </c>
    </row>
    <row r="1860" spans="2:9" ht="15" customHeight="1" x14ac:dyDescent="0.25">
      <c r="B1860" s="37" t="s">
        <v>2042</v>
      </c>
      <c r="C1860" s="26">
        <v>42</v>
      </c>
      <c r="D1860" s="38" t="s">
        <v>2710</v>
      </c>
      <c r="E1860" s="59"/>
      <c r="F1860" s="59" t="str">
        <f>IF(INDEX(I.Gas.P4AssociatedGasEnergy,42)="","",INDEX(I.Gas.P4AssociatedGasEnergy,42))</f>
        <v/>
      </c>
      <c r="G1860" s="59"/>
      <c r="H1860" s="26" t="str">
        <f>IF(I.Developer.P4=FALSE,"Complete",IF(I.Product.P4GasToPower="No","Complete",IF(AND(I.Gas.P4Count&gt;=42,F1860=""),"Incomplete","Complete")))</f>
        <v>Complete</v>
      </c>
      <c r="I1860" s="39" t="s">
        <v>2084</v>
      </c>
    </row>
    <row r="1861" spans="2:9" ht="15" customHeight="1" x14ac:dyDescent="0.25">
      <c r="B1861" s="37" t="s">
        <v>2042</v>
      </c>
      <c r="C1861" s="26">
        <v>43</v>
      </c>
      <c r="D1861" s="38" t="s">
        <v>2710</v>
      </c>
      <c r="E1861" s="59"/>
      <c r="F1861" s="59" t="str">
        <f>IF(INDEX(I.Gas.P4AssociatedGasEnergy,43)="","",INDEX(I.Gas.P4AssociatedGasEnergy,43))</f>
        <v/>
      </c>
      <c r="G1861" s="59"/>
      <c r="H1861" s="26" t="str">
        <f>IF(I.Developer.P4=FALSE,"Complete",IF(I.Product.P4GasToPower="No","Complete",IF(AND(I.Gas.P4Count&gt;=43,F1861=""),"Incomplete","Complete")))</f>
        <v>Complete</v>
      </c>
      <c r="I1861" s="39" t="s">
        <v>2085</v>
      </c>
    </row>
    <row r="1862" spans="2:9" ht="15" customHeight="1" x14ac:dyDescent="0.25">
      <c r="B1862" s="37" t="s">
        <v>2042</v>
      </c>
      <c r="C1862" s="26">
        <v>44</v>
      </c>
      <c r="D1862" s="38" t="s">
        <v>2710</v>
      </c>
      <c r="E1862" s="59"/>
      <c r="F1862" s="59" t="str">
        <f>IF(INDEX(I.Gas.P4AssociatedGasEnergy,44)="","",INDEX(I.Gas.P4AssociatedGasEnergy,44))</f>
        <v/>
      </c>
      <c r="G1862" s="59"/>
      <c r="H1862" s="26" t="str">
        <f>IF(I.Developer.P4=FALSE,"Complete",IF(I.Product.P4GasToPower="No","Complete",IF(AND(I.Gas.P4Count&gt;=44,F1862=""),"Incomplete","Complete")))</f>
        <v>Complete</v>
      </c>
      <c r="I1862" s="39" t="s">
        <v>2086</v>
      </c>
    </row>
    <row r="1863" spans="2:9" ht="15" customHeight="1" x14ac:dyDescent="0.25">
      <c r="B1863" s="37" t="s">
        <v>2042</v>
      </c>
      <c r="C1863" s="26">
        <v>45</v>
      </c>
      <c r="D1863" s="38" t="s">
        <v>2710</v>
      </c>
      <c r="E1863" s="59"/>
      <c r="F1863" s="59" t="str">
        <f>IF(INDEX(I.Gas.P4AssociatedGasEnergy,45)="","",INDEX(I.Gas.P4AssociatedGasEnergy,45))</f>
        <v/>
      </c>
      <c r="G1863" s="59"/>
      <c r="H1863" s="26" t="str">
        <f>IF(I.Developer.P4=FALSE,"Complete",IF(I.Product.P4GasToPower="No","Complete",IF(AND(I.Gas.P4Count&gt;=45,F1863=""),"Incomplete","Complete")))</f>
        <v>Complete</v>
      </c>
      <c r="I1863" s="39" t="s">
        <v>2087</v>
      </c>
    </row>
    <row r="1864" spans="2:9" ht="15" customHeight="1" x14ac:dyDescent="0.25">
      <c r="B1864" s="37" t="s">
        <v>2042</v>
      </c>
      <c r="C1864" s="26">
        <v>46</v>
      </c>
      <c r="D1864" s="38" t="s">
        <v>2710</v>
      </c>
      <c r="E1864" s="59"/>
      <c r="F1864" s="59" t="str">
        <f>IF(INDEX(I.Gas.P4AssociatedGasEnergy,46)="","",INDEX(I.Gas.P4AssociatedGasEnergy,46))</f>
        <v/>
      </c>
      <c r="G1864" s="59"/>
      <c r="H1864" s="26" t="str">
        <f>IF(I.Developer.P4=FALSE,"Complete",IF(I.Product.P4GasToPower="No","Complete",IF(AND(I.Gas.P4Count&gt;=46,F1864=""),"Incomplete","Complete")))</f>
        <v>Complete</v>
      </c>
      <c r="I1864" s="39" t="s">
        <v>2088</v>
      </c>
    </row>
    <row r="1865" spans="2:9" ht="15" customHeight="1" x14ac:dyDescent="0.25">
      <c r="B1865" s="37" t="s">
        <v>2042</v>
      </c>
      <c r="C1865" s="26">
        <v>47</v>
      </c>
      <c r="D1865" s="38" t="s">
        <v>2710</v>
      </c>
      <c r="E1865" s="59"/>
      <c r="F1865" s="59" t="str">
        <f>IF(INDEX(I.Gas.P4AssociatedGasEnergy,47)="","",INDEX(I.Gas.P4AssociatedGasEnergy,47))</f>
        <v/>
      </c>
      <c r="G1865" s="59"/>
      <c r="H1865" s="26" t="str">
        <f>IF(I.Developer.P4=FALSE,"Complete",IF(I.Product.P4GasToPower="No","Complete",IF(AND(I.Gas.P4Count&gt;=47,F1865=""),"Incomplete","Complete")))</f>
        <v>Complete</v>
      </c>
      <c r="I1865" s="39" t="s">
        <v>2089</v>
      </c>
    </row>
    <row r="1866" spans="2:9" ht="15" customHeight="1" x14ac:dyDescent="0.25">
      <c r="B1866" s="37" t="s">
        <v>2042</v>
      </c>
      <c r="C1866" s="26">
        <v>48</v>
      </c>
      <c r="D1866" s="38" t="s">
        <v>2710</v>
      </c>
      <c r="E1866" s="59"/>
      <c r="F1866" s="59" t="str">
        <f>IF(INDEX(I.Gas.P4AssociatedGasEnergy,48)="","",INDEX(I.Gas.P4AssociatedGasEnergy,48))</f>
        <v/>
      </c>
      <c r="G1866" s="59"/>
      <c r="H1866" s="26" t="str">
        <f>IF(I.Developer.P4=FALSE,"Complete",IF(I.Product.P4GasToPower="No","Complete",IF(AND(I.Gas.P4Count&gt;=48,F1866=""),"Incomplete","Complete")))</f>
        <v>Complete</v>
      </c>
      <c r="I1866" s="39" t="s">
        <v>2090</v>
      </c>
    </row>
    <row r="1867" spans="2:9" ht="15" customHeight="1" x14ac:dyDescent="0.25">
      <c r="B1867" s="37" t="s">
        <v>2042</v>
      </c>
      <c r="C1867" s="26">
        <v>49</v>
      </c>
      <c r="D1867" s="38" t="s">
        <v>2710</v>
      </c>
      <c r="E1867" s="59"/>
      <c r="F1867" s="59" t="str">
        <f>IF(INDEX(I.Gas.P4AssociatedGasEnergy,49)="","",INDEX(I.Gas.P4AssociatedGasEnergy,49))</f>
        <v/>
      </c>
      <c r="G1867" s="59"/>
      <c r="H1867" s="26" t="str">
        <f>IF(I.Developer.P4=FALSE,"Complete",IF(I.Product.P4GasToPower="No","Complete",IF(AND(I.Gas.P4Count&gt;=49,F1867=""),"Incomplete","Complete")))</f>
        <v>Complete</v>
      </c>
      <c r="I1867" s="39" t="s">
        <v>2091</v>
      </c>
    </row>
    <row r="1868" spans="2:9" ht="15" customHeight="1" x14ac:dyDescent="0.25">
      <c r="B1868" s="40" t="s">
        <v>2042</v>
      </c>
      <c r="C1868" s="46">
        <v>50</v>
      </c>
      <c r="D1868" s="44" t="s">
        <v>2710</v>
      </c>
      <c r="E1868" s="63"/>
      <c r="F1868" s="63" t="str">
        <f>IF(INDEX(I.Gas.P4AssociatedGasEnergy,50)="","",INDEX(I.Gas.P4AssociatedGasEnergy,50))</f>
        <v/>
      </c>
      <c r="G1868" s="63"/>
      <c r="H1868" s="46" t="str">
        <f>IF(I.Developer.P4=FALSE,"Complete",IF(I.Product.P4GasToPower="No","Complete",IF(AND(I.Gas.P4Count&gt;=50,F1868=""),"Incomplete","Complete")))</f>
        <v>Complete</v>
      </c>
      <c r="I1868" s="47" t="s">
        <v>2092</v>
      </c>
    </row>
    <row r="1869" spans="2:9" ht="15" customHeight="1" x14ac:dyDescent="0.25">
      <c r="B1869" s="37" t="s">
        <v>2093</v>
      </c>
      <c r="C1869" s="26">
        <v>1</v>
      </c>
      <c r="D1869" s="38" t="s">
        <v>2711</v>
      </c>
      <c r="E1869" s="59"/>
      <c r="F1869" s="59" t="str">
        <f>IF(INDEX(I.Gas.P4TotalGasEnergy,1)="","",INDEX(I.Gas.P4TotalGasEnergy,1))</f>
        <v/>
      </c>
      <c r="G1869" s="59"/>
      <c r="H1869" s="26" t="str">
        <f>IF(I.Developer.P4=FALSE,"Complete",IF(I.Product.P4GasToPower="No","Complete",IF(AND(I.Gas.P4Count&gt;=1,F1869=""),"Incomplete","Complete")))</f>
        <v>Complete</v>
      </c>
      <c r="I1869" s="39" t="s">
        <v>2094</v>
      </c>
    </row>
    <row r="1870" spans="2:9" ht="15" customHeight="1" x14ac:dyDescent="0.25">
      <c r="B1870" s="37" t="s">
        <v>2093</v>
      </c>
      <c r="C1870" s="26">
        <v>2</v>
      </c>
      <c r="D1870" s="38" t="s">
        <v>2711</v>
      </c>
      <c r="E1870" s="59"/>
      <c r="F1870" s="59" t="str">
        <f>IF(INDEX(I.Gas.P4TotalGasEnergy,2)="","",INDEX(I.Gas.P4TotalGasEnergy,2))</f>
        <v/>
      </c>
      <c r="G1870" s="59"/>
      <c r="H1870" s="26" t="str">
        <f>IF(I.Developer.P4=FALSE,"Complete",IF(I.Product.P4GasToPower="No","Complete",IF(AND(I.Gas.P4Count&gt;=2,F1870=""),"Incomplete","Complete")))</f>
        <v>Complete</v>
      </c>
      <c r="I1870" s="39" t="s">
        <v>2095</v>
      </c>
    </row>
    <row r="1871" spans="2:9" ht="15" customHeight="1" x14ac:dyDescent="0.25">
      <c r="B1871" s="37" t="s">
        <v>2093</v>
      </c>
      <c r="C1871" s="26">
        <v>3</v>
      </c>
      <c r="D1871" s="38" t="s">
        <v>2711</v>
      </c>
      <c r="E1871" s="59"/>
      <c r="F1871" s="59" t="str">
        <f>IF(INDEX(I.Gas.P4TotalGasEnergy,3)="","",INDEX(I.Gas.P4TotalGasEnergy,3))</f>
        <v/>
      </c>
      <c r="G1871" s="59"/>
      <c r="H1871" s="26" t="str">
        <f>IF(I.Developer.P4=FALSE,"Complete",IF(I.Product.P4GasToPower="No","Complete",IF(AND(I.Gas.P4Count&gt;=3,F1871=""),"Incomplete","Complete")))</f>
        <v>Complete</v>
      </c>
      <c r="I1871" s="39" t="s">
        <v>2096</v>
      </c>
    </row>
    <row r="1872" spans="2:9" ht="15" customHeight="1" x14ac:dyDescent="0.25">
      <c r="B1872" s="37" t="s">
        <v>2093</v>
      </c>
      <c r="C1872" s="26">
        <v>4</v>
      </c>
      <c r="D1872" s="38" t="s">
        <v>2711</v>
      </c>
      <c r="E1872" s="59"/>
      <c r="F1872" s="59" t="str">
        <f>IF(INDEX(I.Gas.P4TotalGasEnergy,4)="","",INDEX(I.Gas.P4TotalGasEnergy,4))</f>
        <v/>
      </c>
      <c r="G1872" s="59"/>
      <c r="H1872" s="26" t="str">
        <f>IF(I.Developer.P4=FALSE,"Complete",IF(I.Product.P4GasToPower="No","Complete",IF(AND(I.Gas.P4Count&gt;=4,F1872=""),"Incomplete","Complete")))</f>
        <v>Complete</v>
      </c>
      <c r="I1872" s="39" t="s">
        <v>2097</v>
      </c>
    </row>
    <row r="1873" spans="2:9" ht="15" customHeight="1" x14ac:dyDescent="0.25">
      <c r="B1873" s="37" t="s">
        <v>2093</v>
      </c>
      <c r="C1873" s="26">
        <v>5</v>
      </c>
      <c r="D1873" s="38" t="s">
        <v>2711</v>
      </c>
      <c r="E1873" s="59"/>
      <c r="F1873" s="59" t="str">
        <f>IF(INDEX(I.Gas.P4TotalGasEnergy,5)="","",INDEX(I.Gas.P4TotalGasEnergy,5))</f>
        <v/>
      </c>
      <c r="G1873" s="59"/>
      <c r="H1873" s="26" t="str">
        <f>IF(I.Developer.P4=FALSE,"Complete",IF(I.Product.P4GasToPower="No","Complete",IF(AND(I.Gas.P4Count&gt;=5,F1873=""),"Incomplete","Complete")))</f>
        <v>Complete</v>
      </c>
      <c r="I1873" s="39" t="s">
        <v>2098</v>
      </c>
    </row>
    <row r="1874" spans="2:9" ht="15" customHeight="1" x14ac:dyDescent="0.25">
      <c r="B1874" s="37" t="s">
        <v>2093</v>
      </c>
      <c r="C1874" s="26">
        <v>6</v>
      </c>
      <c r="D1874" s="38" t="s">
        <v>2711</v>
      </c>
      <c r="E1874" s="59"/>
      <c r="F1874" s="59" t="str">
        <f>IF(INDEX(I.Gas.P4TotalGasEnergy,6)="","",INDEX(I.Gas.P4TotalGasEnergy,6))</f>
        <v/>
      </c>
      <c r="G1874" s="59"/>
      <c r="H1874" s="26" t="str">
        <f>IF(I.Developer.P4=FALSE,"Complete",IF(I.Product.P4GasToPower="No","Complete",IF(AND(I.Gas.P4Count&gt;=6,F1874=""),"Incomplete","Complete")))</f>
        <v>Complete</v>
      </c>
      <c r="I1874" s="39" t="s">
        <v>2099</v>
      </c>
    </row>
    <row r="1875" spans="2:9" ht="15" customHeight="1" x14ac:dyDescent="0.25">
      <c r="B1875" s="37" t="s">
        <v>2093</v>
      </c>
      <c r="C1875" s="26">
        <v>7</v>
      </c>
      <c r="D1875" s="38" t="s">
        <v>2711</v>
      </c>
      <c r="E1875" s="59"/>
      <c r="F1875" s="59" t="str">
        <f>IF(INDEX(I.Gas.P4TotalGasEnergy,7)="","",INDEX(I.Gas.P4TotalGasEnergy,7))</f>
        <v/>
      </c>
      <c r="G1875" s="59"/>
      <c r="H1875" s="26" t="str">
        <f>IF(I.Developer.P4=FALSE,"Complete",IF(I.Product.P4GasToPower="No","Complete",IF(AND(I.Gas.P4Count&gt;=7,F1875=""),"Incomplete","Complete")))</f>
        <v>Complete</v>
      </c>
      <c r="I1875" s="39" t="s">
        <v>2100</v>
      </c>
    </row>
    <row r="1876" spans="2:9" ht="15" customHeight="1" x14ac:dyDescent="0.25">
      <c r="B1876" s="37" t="s">
        <v>2093</v>
      </c>
      <c r="C1876" s="26">
        <v>8</v>
      </c>
      <c r="D1876" s="38" t="s">
        <v>2711</v>
      </c>
      <c r="E1876" s="59"/>
      <c r="F1876" s="59" t="str">
        <f>IF(INDEX(I.Gas.P4TotalGasEnergy,8)="","",INDEX(I.Gas.P4TotalGasEnergy,8))</f>
        <v/>
      </c>
      <c r="G1876" s="59"/>
      <c r="H1876" s="26" t="str">
        <f>IF(I.Developer.P4=FALSE,"Complete",IF(I.Product.P4GasToPower="No","Complete",IF(AND(I.Gas.P4Count&gt;=8,F1876=""),"Incomplete","Complete")))</f>
        <v>Complete</v>
      </c>
      <c r="I1876" s="39" t="s">
        <v>2101</v>
      </c>
    </row>
    <row r="1877" spans="2:9" ht="15" customHeight="1" x14ac:dyDescent="0.25">
      <c r="B1877" s="37" t="s">
        <v>2093</v>
      </c>
      <c r="C1877" s="26">
        <v>9</v>
      </c>
      <c r="D1877" s="38" t="s">
        <v>2711</v>
      </c>
      <c r="E1877" s="59"/>
      <c r="F1877" s="59" t="str">
        <f>IF(INDEX(I.Gas.P4TotalGasEnergy,9)="","",INDEX(I.Gas.P4TotalGasEnergy,9))</f>
        <v/>
      </c>
      <c r="G1877" s="59"/>
      <c r="H1877" s="26" t="str">
        <f>IF(I.Developer.P4=FALSE,"Complete",IF(I.Product.P4GasToPower="No","Complete",IF(AND(I.Gas.P4Count&gt;=9,F1877=""),"Incomplete","Complete")))</f>
        <v>Complete</v>
      </c>
      <c r="I1877" s="39" t="s">
        <v>2102</v>
      </c>
    </row>
    <row r="1878" spans="2:9" ht="15" customHeight="1" x14ac:dyDescent="0.25">
      <c r="B1878" s="37" t="s">
        <v>2093</v>
      </c>
      <c r="C1878" s="26">
        <v>10</v>
      </c>
      <c r="D1878" s="38" t="s">
        <v>2711</v>
      </c>
      <c r="E1878" s="59"/>
      <c r="F1878" s="59" t="str">
        <f>IF(INDEX(I.Gas.P4TotalGasEnergy,10)="","",INDEX(I.Gas.P4TotalGasEnergy,10))</f>
        <v/>
      </c>
      <c r="G1878" s="59"/>
      <c r="H1878" s="26" t="str">
        <f>IF(I.Developer.P4=FALSE,"Complete",IF(I.Product.P4GasToPower="No","Complete",IF(AND(I.Gas.P4Count&gt;=10,F1878=""),"Incomplete","Complete")))</f>
        <v>Complete</v>
      </c>
      <c r="I1878" s="39" t="s">
        <v>2103</v>
      </c>
    </row>
    <row r="1879" spans="2:9" ht="15" customHeight="1" x14ac:dyDescent="0.25">
      <c r="B1879" s="37" t="s">
        <v>2093</v>
      </c>
      <c r="C1879" s="26">
        <v>11</v>
      </c>
      <c r="D1879" s="38" t="s">
        <v>2711</v>
      </c>
      <c r="E1879" s="59"/>
      <c r="F1879" s="59" t="str">
        <f>IF(INDEX(I.Gas.P4TotalGasEnergy,11)="","",INDEX(I.Gas.P4TotalGasEnergy,11))</f>
        <v/>
      </c>
      <c r="G1879" s="59"/>
      <c r="H1879" s="26" t="str">
        <f>IF(I.Developer.P4=FALSE,"Complete",IF(I.Product.P4GasToPower="No","Complete",IF(AND(I.Gas.P4Count&gt;=11,F1879=""),"Incomplete","Complete")))</f>
        <v>Complete</v>
      </c>
      <c r="I1879" s="39" t="s">
        <v>2104</v>
      </c>
    </row>
    <row r="1880" spans="2:9" ht="15" customHeight="1" x14ac:dyDescent="0.25">
      <c r="B1880" s="37" t="s">
        <v>2093</v>
      </c>
      <c r="C1880" s="26">
        <v>12</v>
      </c>
      <c r="D1880" s="38" t="s">
        <v>2711</v>
      </c>
      <c r="E1880" s="59"/>
      <c r="F1880" s="59" t="str">
        <f>IF(INDEX(I.Gas.P4TotalGasEnergy,12)="","",INDEX(I.Gas.P4TotalGasEnergy,12))</f>
        <v/>
      </c>
      <c r="G1880" s="59"/>
      <c r="H1880" s="26" t="str">
        <f>IF(I.Developer.P4=FALSE,"Complete",IF(I.Product.P4GasToPower="No","Complete",IF(AND(I.Gas.P4Count&gt;=12,F1880=""),"Incomplete","Complete")))</f>
        <v>Complete</v>
      </c>
      <c r="I1880" s="39" t="s">
        <v>2105</v>
      </c>
    </row>
    <row r="1881" spans="2:9" ht="15" customHeight="1" x14ac:dyDescent="0.25">
      <c r="B1881" s="37" t="s">
        <v>2093</v>
      </c>
      <c r="C1881" s="26">
        <v>13</v>
      </c>
      <c r="D1881" s="38" t="s">
        <v>2711</v>
      </c>
      <c r="E1881" s="59"/>
      <c r="F1881" s="59" t="str">
        <f>IF(INDEX(I.Gas.P4TotalGasEnergy,13)="","",INDEX(I.Gas.P4TotalGasEnergy,13))</f>
        <v/>
      </c>
      <c r="G1881" s="59"/>
      <c r="H1881" s="26" t="str">
        <f>IF(I.Developer.P4=FALSE,"Complete",IF(I.Product.P4GasToPower="No","Complete",IF(AND(I.Gas.P4Count&gt;=13,F1881=""),"Incomplete","Complete")))</f>
        <v>Complete</v>
      </c>
      <c r="I1881" s="39" t="s">
        <v>2106</v>
      </c>
    </row>
    <row r="1882" spans="2:9" ht="15" customHeight="1" x14ac:dyDescent="0.25">
      <c r="B1882" s="37" t="s">
        <v>2093</v>
      </c>
      <c r="C1882" s="26">
        <v>14</v>
      </c>
      <c r="D1882" s="38" t="s">
        <v>2711</v>
      </c>
      <c r="E1882" s="59"/>
      <c r="F1882" s="59" t="str">
        <f>IF(INDEX(I.Gas.P4TotalGasEnergy,14)="","",INDEX(I.Gas.P4TotalGasEnergy,14))</f>
        <v/>
      </c>
      <c r="G1882" s="59"/>
      <c r="H1882" s="26" t="str">
        <f>IF(I.Developer.P4=FALSE,"Complete",IF(I.Product.P4GasToPower="No","Complete",IF(AND(I.Gas.P4Count&gt;=14,F1882=""),"Incomplete","Complete")))</f>
        <v>Complete</v>
      </c>
      <c r="I1882" s="39" t="s">
        <v>2107</v>
      </c>
    </row>
    <row r="1883" spans="2:9" ht="15" customHeight="1" x14ac:dyDescent="0.25">
      <c r="B1883" s="37" t="s">
        <v>2093</v>
      </c>
      <c r="C1883" s="26">
        <v>15</v>
      </c>
      <c r="D1883" s="38" t="s">
        <v>2711</v>
      </c>
      <c r="E1883" s="59"/>
      <c r="F1883" s="59" t="str">
        <f>IF(INDEX(I.Gas.P4TotalGasEnergy,15)="","",INDEX(I.Gas.P4TotalGasEnergy,15))</f>
        <v/>
      </c>
      <c r="G1883" s="59"/>
      <c r="H1883" s="26" t="str">
        <f>IF(I.Developer.P4=FALSE,"Complete",IF(I.Product.P4GasToPower="No","Complete",IF(AND(I.Gas.P4Count&gt;=15,F1883=""),"Incomplete","Complete")))</f>
        <v>Complete</v>
      </c>
      <c r="I1883" s="39" t="s">
        <v>2108</v>
      </c>
    </row>
    <row r="1884" spans="2:9" ht="15" customHeight="1" x14ac:dyDescent="0.25">
      <c r="B1884" s="37" t="s">
        <v>2093</v>
      </c>
      <c r="C1884" s="26">
        <v>16</v>
      </c>
      <c r="D1884" s="38" t="s">
        <v>2711</v>
      </c>
      <c r="E1884" s="59"/>
      <c r="F1884" s="59" t="str">
        <f>IF(INDEX(I.Gas.P4TotalGasEnergy,16)="","",INDEX(I.Gas.P4TotalGasEnergy,16))</f>
        <v/>
      </c>
      <c r="G1884" s="59"/>
      <c r="H1884" s="26" t="str">
        <f>IF(I.Developer.P4=FALSE,"Complete",IF(I.Product.P4GasToPower="No","Complete",IF(AND(I.Gas.P4Count&gt;=16,F1884=""),"Incomplete","Complete")))</f>
        <v>Complete</v>
      </c>
      <c r="I1884" s="39" t="s">
        <v>2109</v>
      </c>
    </row>
    <row r="1885" spans="2:9" ht="15" customHeight="1" x14ac:dyDescent="0.25">
      <c r="B1885" s="37" t="s">
        <v>2093</v>
      </c>
      <c r="C1885" s="26">
        <v>17</v>
      </c>
      <c r="D1885" s="38" t="s">
        <v>2711</v>
      </c>
      <c r="E1885" s="59"/>
      <c r="F1885" s="59" t="str">
        <f>IF(INDEX(I.Gas.P4TotalGasEnergy,17)="","",INDEX(I.Gas.P4TotalGasEnergy,17))</f>
        <v/>
      </c>
      <c r="G1885" s="59"/>
      <c r="H1885" s="26" t="str">
        <f>IF(I.Developer.P4=FALSE,"Complete",IF(I.Product.P4GasToPower="No","Complete",IF(AND(I.Gas.P4Count&gt;=17,F1885=""),"Incomplete","Complete")))</f>
        <v>Complete</v>
      </c>
      <c r="I1885" s="39" t="s">
        <v>2110</v>
      </c>
    </row>
    <row r="1886" spans="2:9" ht="15" customHeight="1" x14ac:dyDescent="0.25">
      <c r="B1886" s="37" t="s">
        <v>2093</v>
      </c>
      <c r="C1886" s="26">
        <v>18</v>
      </c>
      <c r="D1886" s="38" t="s">
        <v>2711</v>
      </c>
      <c r="E1886" s="59"/>
      <c r="F1886" s="59" t="str">
        <f>IF(INDEX(I.Gas.P4TotalGasEnergy,18)="","",INDEX(I.Gas.P4TotalGasEnergy,18))</f>
        <v/>
      </c>
      <c r="G1886" s="59"/>
      <c r="H1886" s="26" t="str">
        <f>IF(I.Developer.P4=FALSE,"Complete",IF(I.Product.P4GasToPower="No","Complete",IF(AND(I.Gas.P4Count&gt;=18,F1886=""),"Incomplete","Complete")))</f>
        <v>Complete</v>
      </c>
      <c r="I1886" s="39" t="s">
        <v>2111</v>
      </c>
    </row>
    <row r="1887" spans="2:9" ht="15" customHeight="1" x14ac:dyDescent="0.25">
      <c r="B1887" s="37" t="s">
        <v>2093</v>
      </c>
      <c r="C1887" s="26">
        <v>19</v>
      </c>
      <c r="D1887" s="38" t="s">
        <v>2711</v>
      </c>
      <c r="E1887" s="59"/>
      <c r="F1887" s="59" t="str">
        <f>IF(INDEX(I.Gas.P4TotalGasEnergy,19)="","",INDEX(I.Gas.P4TotalGasEnergy,19))</f>
        <v/>
      </c>
      <c r="G1887" s="59"/>
      <c r="H1887" s="26" t="str">
        <f>IF(I.Developer.P4=FALSE,"Complete",IF(I.Product.P4GasToPower="No","Complete",IF(AND(I.Gas.P4Count&gt;=19,F1887=""),"Incomplete","Complete")))</f>
        <v>Complete</v>
      </c>
      <c r="I1887" s="39" t="s">
        <v>2112</v>
      </c>
    </row>
    <row r="1888" spans="2:9" ht="15" customHeight="1" x14ac:dyDescent="0.25">
      <c r="B1888" s="37" t="s">
        <v>2093</v>
      </c>
      <c r="C1888" s="26">
        <v>20</v>
      </c>
      <c r="D1888" s="38" t="s">
        <v>2711</v>
      </c>
      <c r="E1888" s="59"/>
      <c r="F1888" s="59" t="str">
        <f>IF(INDEX(I.Gas.P4TotalGasEnergy,20)="","",INDEX(I.Gas.P4TotalGasEnergy,20))</f>
        <v/>
      </c>
      <c r="G1888" s="59"/>
      <c r="H1888" s="26" t="str">
        <f>IF(I.Developer.P4=FALSE,"Complete",IF(I.Product.P4GasToPower="No","Complete",IF(AND(I.Gas.P4Count&gt;=20,F1888=""),"Incomplete","Complete")))</f>
        <v>Complete</v>
      </c>
      <c r="I1888" s="39" t="s">
        <v>2113</v>
      </c>
    </row>
    <row r="1889" spans="2:9" ht="15" customHeight="1" x14ac:dyDescent="0.25">
      <c r="B1889" s="37" t="s">
        <v>2093</v>
      </c>
      <c r="C1889" s="26">
        <v>21</v>
      </c>
      <c r="D1889" s="38" t="s">
        <v>2711</v>
      </c>
      <c r="E1889" s="59"/>
      <c r="F1889" s="59" t="str">
        <f>IF(INDEX(I.Gas.P4TotalGasEnergy,21)="","",INDEX(I.Gas.P4TotalGasEnergy,21))</f>
        <v/>
      </c>
      <c r="G1889" s="59"/>
      <c r="H1889" s="26" t="str">
        <f>IF(I.Developer.P4=FALSE,"Complete",IF(I.Product.P4GasToPower="No","Complete",IF(AND(I.Gas.P4Count&gt;=21,F1889=""),"Incomplete","Complete")))</f>
        <v>Complete</v>
      </c>
      <c r="I1889" s="39" t="s">
        <v>2114</v>
      </c>
    </row>
    <row r="1890" spans="2:9" ht="15" customHeight="1" x14ac:dyDescent="0.25">
      <c r="B1890" s="37" t="s">
        <v>2093</v>
      </c>
      <c r="C1890" s="26">
        <v>22</v>
      </c>
      <c r="D1890" s="38" t="s">
        <v>2711</v>
      </c>
      <c r="E1890" s="59"/>
      <c r="F1890" s="59" t="str">
        <f>IF(INDEX(I.Gas.P4TotalGasEnergy,22)="","",INDEX(I.Gas.P4TotalGasEnergy,22))</f>
        <v/>
      </c>
      <c r="G1890" s="59"/>
      <c r="H1890" s="26" t="str">
        <f>IF(I.Developer.P4=FALSE,"Complete",IF(I.Product.P4GasToPower="No","Complete",IF(AND(I.Gas.P4Count&gt;=22,F1890=""),"Incomplete","Complete")))</f>
        <v>Complete</v>
      </c>
      <c r="I1890" s="39" t="s">
        <v>2115</v>
      </c>
    </row>
    <row r="1891" spans="2:9" ht="15" customHeight="1" x14ac:dyDescent="0.25">
      <c r="B1891" s="37" t="s">
        <v>2093</v>
      </c>
      <c r="C1891" s="26">
        <v>23</v>
      </c>
      <c r="D1891" s="38" t="s">
        <v>2711</v>
      </c>
      <c r="E1891" s="59"/>
      <c r="F1891" s="59" t="str">
        <f>IF(INDEX(I.Gas.P4TotalGasEnergy,23)="","",INDEX(I.Gas.P4TotalGasEnergy,23))</f>
        <v/>
      </c>
      <c r="G1891" s="59"/>
      <c r="H1891" s="26" t="str">
        <f>IF(I.Developer.P4=FALSE,"Complete",IF(I.Product.P4GasToPower="No","Complete",IF(AND(I.Gas.P4Count&gt;=23,F1891=""),"Incomplete","Complete")))</f>
        <v>Complete</v>
      </c>
      <c r="I1891" s="39" t="s">
        <v>2116</v>
      </c>
    </row>
    <row r="1892" spans="2:9" ht="15" customHeight="1" x14ac:dyDescent="0.25">
      <c r="B1892" s="37" t="s">
        <v>2093</v>
      </c>
      <c r="C1892" s="26">
        <v>24</v>
      </c>
      <c r="D1892" s="38" t="s">
        <v>2711</v>
      </c>
      <c r="E1892" s="59"/>
      <c r="F1892" s="59" t="str">
        <f>IF(INDEX(I.Gas.P4TotalGasEnergy,24)="","",INDEX(I.Gas.P4TotalGasEnergy,24))</f>
        <v/>
      </c>
      <c r="G1892" s="59"/>
      <c r="H1892" s="26" t="str">
        <f>IF(I.Developer.P4=FALSE,"Complete",IF(I.Product.P4GasToPower="No","Complete",IF(AND(I.Gas.P4Count&gt;=24,F1892=""),"Incomplete","Complete")))</f>
        <v>Complete</v>
      </c>
      <c r="I1892" s="39" t="s">
        <v>2117</v>
      </c>
    </row>
    <row r="1893" spans="2:9" ht="15" customHeight="1" x14ac:dyDescent="0.25">
      <c r="B1893" s="37" t="s">
        <v>2093</v>
      </c>
      <c r="C1893" s="26">
        <v>25</v>
      </c>
      <c r="D1893" s="38" t="s">
        <v>2711</v>
      </c>
      <c r="E1893" s="59"/>
      <c r="F1893" s="59" t="str">
        <f>IF(INDEX(I.Gas.P4TotalGasEnergy,25)="","",INDEX(I.Gas.P4TotalGasEnergy,25))</f>
        <v/>
      </c>
      <c r="G1893" s="59"/>
      <c r="H1893" s="26" t="str">
        <f>IF(I.Developer.P4=FALSE,"Complete",IF(I.Product.P4GasToPower="No","Complete",IF(AND(I.Gas.P4Count&gt;=25,F1893=""),"Incomplete","Complete")))</f>
        <v>Complete</v>
      </c>
      <c r="I1893" s="39" t="s">
        <v>2118</v>
      </c>
    </row>
    <row r="1894" spans="2:9" ht="15" customHeight="1" x14ac:dyDescent="0.25">
      <c r="B1894" s="37" t="s">
        <v>2093</v>
      </c>
      <c r="C1894" s="26">
        <v>26</v>
      </c>
      <c r="D1894" s="38" t="s">
        <v>2711</v>
      </c>
      <c r="E1894" s="59"/>
      <c r="F1894" s="59" t="str">
        <f>IF(INDEX(I.Gas.P4TotalGasEnergy,26)="","",INDEX(I.Gas.P4TotalGasEnergy,26))</f>
        <v/>
      </c>
      <c r="G1894" s="59"/>
      <c r="H1894" s="26" t="str">
        <f>IF(I.Developer.P4=FALSE,"Complete",IF(I.Product.P4GasToPower="No","Complete",IF(AND(I.Gas.P4Count&gt;=26,F1894=""),"Incomplete","Complete")))</f>
        <v>Complete</v>
      </c>
      <c r="I1894" s="39" t="s">
        <v>2119</v>
      </c>
    </row>
    <row r="1895" spans="2:9" ht="15" customHeight="1" x14ac:dyDescent="0.25">
      <c r="B1895" s="37" t="s">
        <v>2093</v>
      </c>
      <c r="C1895" s="26">
        <v>27</v>
      </c>
      <c r="D1895" s="38" t="s">
        <v>2711</v>
      </c>
      <c r="E1895" s="59"/>
      <c r="F1895" s="59" t="str">
        <f>IF(INDEX(I.Gas.P4TotalGasEnergy,27)="","",INDEX(I.Gas.P4TotalGasEnergy,27))</f>
        <v/>
      </c>
      <c r="G1895" s="59"/>
      <c r="H1895" s="26" t="str">
        <f>IF(I.Developer.P4=FALSE,"Complete",IF(I.Product.P4GasToPower="No","Complete",IF(AND(I.Gas.P4Count&gt;=27,F1895=""),"Incomplete","Complete")))</f>
        <v>Complete</v>
      </c>
      <c r="I1895" s="39" t="s">
        <v>2120</v>
      </c>
    </row>
    <row r="1896" spans="2:9" ht="15" customHeight="1" x14ac:dyDescent="0.25">
      <c r="B1896" s="37" t="s">
        <v>2093</v>
      </c>
      <c r="C1896" s="26">
        <v>28</v>
      </c>
      <c r="D1896" s="38" t="s">
        <v>2711</v>
      </c>
      <c r="E1896" s="59"/>
      <c r="F1896" s="59" t="str">
        <f>IF(INDEX(I.Gas.P4TotalGasEnergy,28)="","",INDEX(I.Gas.P4TotalGasEnergy,28))</f>
        <v/>
      </c>
      <c r="G1896" s="59"/>
      <c r="H1896" s="26" t="str">
        <f>IF(I.Developer.P4=FALSE,"Complete",IF(I.Product.P4GasToPower="No","Complete",IF(AND(I.Gas.P4Count&gt;=28,F1896=""),"Incomplete","Complete")))</f>
        <v>Complete</v>
      </c>
      <c r="I1896" s="39" t="s">
        <v>2121</v>
      </c>
    </row>
    <row r="1897" spans="2:9" ht="15" customHeight="1" x14ac:dyDescent="0.25">
      <c r="B1897" s="37" t="s">
        <v>2093</v>
      </c>
      <c r="C1897" s="26">
        <v>29</v>
      </c>
      <c r="D1897" s="38" t="s">
        <v>2711</v>
      </c>
      <c r="E1897" s="59"/>
      <c r="F1897" s="59" t="str">
        <f>IF(INDEX(I.Gas.P4TotalGasEnergy,29)="","",INDEX(I.Gas.P4TotalGasEnergy,29))</f>
        <v/>
      </c>
      <c r="G1897" s="59"/>
      <c r="H1897" s="26" t="str">
        <f>IF(I.Developer.P4=FALSE,"Complete",IF(I.Product.P4GasToPower="No","Complete",IF(AND(I.Gas.P4Count&gt;=29,F1897=""),"Incomplete","Complete")))</f>
        <v>Complete</v>
      </c>
      <c r="I1897" s="39" t="s">
        <v>2122</v>
      </c>
    </row>
    <row r="1898" spans="2:9" ht="15" customHeight="1" x14ac:dyDescent="0.25">
      <c r="B1898" s="37" t="s">
        <v>2093</v>
      </c>
      <c r="C1898" s="26">
        <v>30</v>
      </c>
      <c r="D1898" s="38" t="s">
        <v>2711</v>
      </c>
      <c r="E1898" s="59"/>
      <c r="F1898" s="59" t="str">
        <f>IF(INDEX(I.Gas.P4TotalGasEnergy,30)="","",INDEX(I.Gas.P4TotalGasEnergy,30))</f>
        <v/>
      </c>
      <c r="G1898" s="59"/>
      <c r="H1898" s="26" t="str">
        <f>IF(I.Developer.P4=FALSE,"Complete",IF(I.Product.P4GasToPower="No","Complete",IF(AND(I.Gas.P4Count&gt;=30,F1898=""),"Incomplete","Complete")))</f>
        <v>Complete</v>
      </c>
      <c r="I1898" s="39" t="s">
        <v>2123</v>
      </c>
    </row>
    <row r="1899" spans="2:9" ht="15" customHeight="1" x14ac:dyDescent="0.25">
      <c r="B1899" s="37" t="s">
        <v>2093</v>
      </c>
      <c r="C1899" s="26">
        <v>31</v>
      </c>
      <c r="D1899" s="38" t="s">
        <v>2711</v>
      </c>
      <c r="E1899" s="59"/>
      <c r="F1899" s="59" t="str">
        <f>IF(INDEX(I.Gas.P4TotalGasEnergy,31)="","",INDEX(I.Gas.P4TotalGasEnergy,31))</f>
        <v/>
      </c>
      <c r="G1899" s="59"/>
      <c r="H1899" s="26" t="str">
        <f>IF(I.Developer.P4=FALSE,"Complete",IF(I.Product.P4GasToPower="No","Complete",IF(AND(I.Gas.P4Count&gt;=31,F1899=""),"Incomplete","Complete")))</f>
        <v>Complete</v>
      </c>
      <c r="I1899" s="39" t="s">
        <v>2124</v>
      </c>
    </row>
    <row r="1900" spans="2:9" ht="15" customHeight="1" x14ac:dyDescent="0.25">
      <c r="B1900" s="37" t="s">
        <v>2093</v>
      </c>
      <c r="C1900" s="26">
        <v>32</v>
      </c>
      <c r="D1900" s="38" t="s">
        <v>2711</v>
      </c>
      <c r="E1900" s="59"/>
      <c r="F1900" s="59" t="str">
        <f>IF(INDEX(I.Gas.P4TotalGasEnergy,32)="","",INDEX(I.Gas.P4TotalGasEnergy,32))</f>
        <v/>
      </c>
      <c r="G1900" s="59"/>
      <c r="H1900" s="26" t="str">
        <f>IF(I.Developer.P4=FALSE,"Complete",IF(I.Product.P4GasToPower="No","Complete",IF(AND(I.Gas.P4Count&gt;=32,F1900=""),"Incomplete","Complete")))</f>
        <v>Complete</v>
      </c>
      <c r="I1900" s="39" t="s">
        <v>2125</v>
      </c>
    </row>
    <row r="1901" spans="2:9" ht="15" customHeight="1" x14ac:dyDescent="0.25">
      <c r="B1901" s="37" t="s">
        <v>2093</v>
      </c>
      <c r="C1901" s="26">
        <v>33</v>
      </c>
      <c r="D1901" s="38" t="s">
        <v>2711</v>
      </c>
      <c r="E1901" s="59"/>
      <c r="F1901" s="59" t="str">
        <f>IF(INDEX(I.Gas.P4TotalGasEnergy,33)="","",INDEX(I.Gas.P4TotalGasEnergy,33))</f>
        <v/>
      </c>
      <c r="G1901" s="59"/>
      <c r="H1901" s="26" t="str">
        <f>IF(I.Developer.P4=FALSE,"Complete",IF(I.Product.P4GasToPower="No","Complete",IF(AND(I.Gas.P4Count&gt;=33,F1901=""),"Incomplete","Complete")))</f>
        <v>Complete</v>
      </c>
      <c r="I1901" s="39" t="s">
        <v>2126</v>
      </c>
    </row>
    <row r="1902" spans="2:9" ht="15" customHeight="1" x14ac:dyDescent="0.25">
      <c r="B1902" s="37" t="s">
        <v>2093</v>
      </c>
      <c r="C1902" s="26">
        <v>34</v>
      </c>
      <c r="D1902" s="38" t="s">
        <v>2711</v>
      </c>
      <c r="E1902" s="59"/>
      <c r="F1902" s="59" t="str">
        <f>IF(INDEX(I.Gas.P4TotalGasEnergy,34)="","",INDEX(I.Gas.P4TotalGasEnergy,34))</f>
        <v/>
      </c>
      <c r="G1902" s="59"/>
      <c r="H1902" s="26" t="str">
        <f>IF(I.Developer.P4=FALSE,"Complete",IF(I.Product.P4GasToPower="No","Complete",IF(AND(I.Gas.P4Count&gt;=34,F1902=""),"Incomplete","Complete")))</f>
        <v>Complete</v>
      </c>
      <c r="I1902" s="39" t="s">
        <v>2127</v>
      </c>
    </row>
    <row r="1903" spans="2:9" ht="15" customHeight="1" x14ac:dyDescent="0.25">
      <c r="B1903" s="37" t="s">
        <v>2093</v>
      </c>
      <c r="C1903" s="26">
        <v>35</v>
      </c>
      <c r="D1903" s="38" t="s">
        <v>2711</v>
      </c>
      <c r="E1903" s="59"/>
      <c r="F1903" s="59" t="str">
        <f>IF(INDEX(I.Gas.P4TotalGasEnergy,35)="","",INDEX(I.Gas.P4TotalGasEnergy,35))</f>
        <v/>
      </c>
      <c r="G1903" s="59"/>
      <c r="H1903" s="26" t="str">
        <f>IF(I.Developer.P4=FALSE,"Complete",IF(I.Product.P4GasToPower="No","Complete",IF(AND(I.Gas.P4Count&gt;=35,F1903=""),"Incomplete","Complete")))</f>
        <v>Complete</v>
      </c>
      <c r="I1903" s="39" t="s">
        <v>2128</v>
      </c>
    </row>
    <row r="1904" spans="2:9" ht="15" customHeight="1" x14ac:dyDescent="0.25">
      <c r="B1904" s="37" t="s">
        <v>2093</v>
      </c>
      <c r="C1904" s="26">
        <v>36</v>
      </c>
      <c r="D1904" s="38" t="s">
        <v>2711</v>
      </c>
      <c r="E1904" s="59"/>
      <c r="F1904" s="59" t="str">
        <f>IF(INDEX(I.Gas.P4TotalGasEnergy,36)="","",INDEX(I.Gas.P4TotalGasEnergy,36))</f>
        <v/>
      </c>
      <c r="G1904" s="59"/>
      <c r="H1904" s="26" t="str">
        <f>IF(I.Developer.P4=FALSE,"Complete",IF(I.Product.P4GasToPower="No","Complete",IF(AND(I.Gas.P4Count&gt;=36,F1904=""),"Incomplete","Complete")))</f>
        <v>Complete</v>
      </c>
      <c r="I1904" s="39" t="s">
        <v>2129</v>
      </c>
    </row>
    <row r="1905" spans="2:9" ht="15" customHeight="1" x14ac:dyDescent="0.25">
      <c r="B1905" s="37" t="s">
        <v>2093</v>
      </c>
      <c r="C1905" s="26">
        <v>37</v>
      </c>
      <c r="D1905" s="38" t="s">
        <v>2711</v>
      </c>
      <c r="E1905" s="59"/>
      <c r="F1905" s="59" t="str">
        <f>IF(INDEX(I.Gas.P4TotalGasEnergy,37)="","",INDEX(I.Gas.P4TotalGasEnergy,37))</f>
        <v/>
      </c>
      <c r="G1905" s="59"/>
      <c r="H1905" s="26" t="str">
        <f>IF(I.Developer.P4=FALSE,"Complete",IF(I.Product.P4GasToPower="No","Complete",IF(AND(I.Gas.P4Count&gt;=37,F1905=""),"Incomplete","Complete")))</f>
        <v>Complete</v>
      </c>
      <c r="I1905" s="39" t="s">
        <v>2130</v>
      </c>
    </row>
    <row r="1906" spans="2:9" ht="15" customHeight="1" x14ac:dyDescent="0.25">
      <c r="B1906" s="37" t="s">
        <v>2093</v>
      </c>
      <c r="C1906" s="26">
        <v>38</v>
      </c>
      <c r="D1906" s="38" t="s">
        <v>2711</v>
      </c>
      <c r="E1906" s="59"/>
      <c r="F1906" s="59" t="str">
        <f>IF(INDEX(I.Gas.P4TotalGasEnergy,38)="","",INDEX(I.Gas.P4TotalGasEnergy,38))</f>
        <v/>
      </c>
      <c r="G1906" s="59"/>
      <c r="H1906" s="26" t="str">
        <f>IF(I.Developer.P4=FALSE,"Complete",IF(I.Product.P4GasToPower="No","Complete",IF(AND(I.Gas.P4Count&gt;=38,F1906=""),"Incomplete","Complete")))</f>
        <v>Complete</v>
      </c>
      <c r="I1906" s="39" t="s">
        <v>2131</v>
      </c>
    </row>
    <row r="1907" spans="2:9" ht="15" customHeight="1" x14ac:dyDescent="0.25">
      <c r="B1907" s="37" t="s">
        <v>2093</v>
      </c>
      <c r="C1907" s="26">
        <v>39</v>
      </c>
      <c r="D1907" s="38" t="s">
        <v>2711</v>
      </c>
      <c r="E1907" s="59"/>
      <c r="F1907" s="59" t="str">
        <f>IF(INDEX(I.Gas.P4TotalGasEnergy,39)="","",INDEX(I.Gas.P4TotalGasEnergy,39))</f>
        <v/>
      </c>
      <c r="G1907" s="59"/>
      <c r="H1907" s="26" t="str">
        <f>IF(I.Developer.P4=FALSE,"Complete",IF(I.Product.P4GasToPower="No","Complete",IF(AND(I.Gas.P4Count&gt;=39,F1907=""),"Incomplete","Complete")))</f>
        <v>Complete</v>
      </c>
      <c r="I1907" s="39" t="s">
        <v>2132</v>
      </c>
    </row>
    <row r="1908" spans="2:9" ht="15" customHeight="1" x14ac:dyDescent="0.25">
      <c r="B1908" s="37" t="s">
        <v>2093</v>
      </c>
      <c r="C1908" s="26">
        <v>40</v>
      </c>
      <c r="D1908" s="38" t="s">
        <v>2711</v>
      </c>
      <c r="E1908" s="59"/>
      <c r="F1908" s="59" t="str">
        <f>IF(INDEX(I.Gas.P4TotalGasEnergy,40)="","",INDEX(I.Gas.P4TotalGasEnergy,40))</f>
        <v/>
      </c>
      <c r="G1908" s="59"/>
      <c r="H1908" s="26" t="str">
        <f>IF(I.Developer.P4=FALSE,"Complete",IF(I.Product.P4GasToPower="No","Complete",IF(AND(I.Gas.P4Count&gt;=40,F1908=""),"Incomplete","Complete")))</f>
        <v>Complete</v>
      </c>
      <c r="I1908" s="39" t="s">
        <v>2133</v>
      </c>
    </row>
    <row r="1909" spans="2:9" ht="15" customHeight="1" x14ac:dyDescent="0.25">
      <c r="B1909" s="37" t="s">
        <v>2093</v>
      </c>
      <c r="C1909" s="26">
        <v>41</v>
      </c>
      <c r="D1909" s="38" t="s">
        <v>2711</v>
      </c>
      <c r="E1909" s="59"/>
      <c r="F1909" s="59" t="str">
        <f>IF(INDEX(I.Gas.P4TotalGasEnergy,41)="","",INDEX(I.Gas.P4TotalGasEnergy,41))</f>
        <v/>
      </c>
      <c r="G1909" s="59"/>
      <c r="H1909" s="26" t="str">
        <f>IF(I.Developer.P4=FALSE,"Complete",IF(I.Product.P4GasToPower="No","Complete",IF(AND(I.Gas.P4Count&gt;=41,F1909=""),"Incomplete","Complete")))</f>
        <v>Complete</v>
      </c>
      <c r="I1909" s="39" t="s">
        <v>2134</v>
      </c>
    </row>
    <row r="1910" spans="2:9" ht="15" customHeight="1" x14ac:dyDescent="0.25">
      <c r="B1910" s="37" t="s">
        <v>2093</v>
      </c>
      <c r="C1910" s="26">
        <v>42</v>
      </c>
      <c r="D1910" s="38" t="s">
        <v>2711</v>
      </c>
      <c r="E1910" s="59"/>
      <c r="F1910" s="59" t="str">
        <f>IF(INDEX(I.Gas.P4TotalGasEnergy,42)="","",INDEX(I.Gas.P4TotalGasEnergy,42))</f>
        <v/>
      </c>
      <c r="G1910" s="59"/>
      <c r="H1910" s="26" t="str">
        <f>IF(I.Developer.P4=FALSE,"Complete",IF(I.Product.P4GasToPower="No","Complete",IF(AND(I.Gas.P4Count&gt;=42,F1910=""),"Incomplete","Complete")))</f>
        <v>Complete</v>
      </c>
      <c r="I1910" s="39" t="s">
        <v>2135</v>
      </c>
    </row>
    <row r="1911" spans="2:9" ht="15" customHeight="1" x14ac:dyDescent="0.25">
      <c r="B1911" s="37" t="s">
        <v>2093</v>
      </c>
      <c r="C1911" s="26">
        <v>43</v>
      </c>
      <c r="D1911" s="38" t="s">
        <v>2711</v>
      </c>
      <c r="E1911" s="59"/>
      <c r="F1911" s="59" t="str">
        <f>IF(INDEX(I.Gas.P4TotalGasEnergy,43)="","",INDEX(I.Gas.P4TotalGasEnergy,43))</f>
        <v/>
      </c>
      <c r="G1911" s="59"/>
      <c r="H1911" s="26" t="str">
        <f>IF(I.Developer.P4=FALSE,"Complete",IF(I.Product.P4GasToPower="No","Complete",IF(AND(I.Gas.P4Count&gt;=43,F1911=""),"Incomplete","Complete")))</f>
        <v>Complete</v>
      </c>
      <c r="I1911" s="39" t="s">
        <v>2136</v>
      </c>
    </row>
    <row r="1912" spans="2:9" ht="15" customHeight="1" x14ac:dyDescent="0.25">
      <c r="B1912" s="37" t="s">
        <v>2093</v>
      </c>
      <c r="C1912" s="26">
        <v>44</v>
      </c>
      <c r="D1912" s="38" t="s">
        <v>2711</v>
      </c>
      <c r="E1912" s="59"/>
      <c r="F1912" s="59" t="str">
        <f>IF(INDEX(I.Gas.P4TotalGasEnergy,44)="","",INDEX(I.Gas.P4TotalGasEnergy,44))</f>
        <v/>
      </c>
      <c r="G1912" s="59"/>
      <c r="H1912" s="26" t="str">
        <f>IF(I.Developer.P4=FALSE,"Complete",IF(I.Product.P4GasToPower="No","Complete",IF(AND(I.Gas.P4Count&gt;=44,F1912=""),"Incomplete","Complete")))</f>
        <v>Complete</v>
      </c>
      <c r="I1912" s="39" t="s">
        <v>2137</v>
      </c>
    </row>
    <row r="1913" spans="2:9" ht="15" customHeight="1" x14ac:dyDescent="0.25">
      <c r="B1913" s="37" t="s">
        <v>2093</v>
      </c>
      <c r="C1913" s="26">
        <v>45</v>
      </c>
      <c r="D1913" s="38" t="s">
        <v>2711</v>
      </c>
      <c r="E1913" s="59"/>
      <c r="F1913" s="59" t="str">
        <f>IF(INDEX(I.Gas.P4TotalGasEnergy,45)="","",INDEX(I.Gas.P4TotalGasEnergy,45))</f>
        <v/>
      </c>
      <c r="G1913" s="59"/>
      <c r="H1913" s="26" t="str">
        <f>IF(I.Developer.P4=FALSE,"Complete",IF(I.Product.P4GasToPower="No","Complete",IF(AND(I.Gas.P4Count&gt;=45,F1913=""),"Incomplete","Complete")))</f>
        <v>Complete</v>
      </c>
      <c r="I1913" s="39" t="s">
        <v>2138</v>
      </c>
    </row>
    <row r="1914" spans="2:9" ht="15" customHeight="1" x14ac:dyDescent="0.25">
      <c r="B1914" s="37" t="s">
        <v>2093</v>
      </c>
      <c r="C1914" s="26">
        <v>46</v>
      </c>
      <c r="D1914" s="38" t="s">
        <v>2711</v>
      </c>
      <c r="E1914" s="59"/>
      <c r="F1914" s="59" t="str">
        <f>IF(INDEX(I.Gas.P4TotalGasEnergy,46)="","",INDEX(I.Gas.P4TotalGasEnergy,46))</f>
        <v/>
      </c>
      <c r="G1914" s="59"/>
      <c r="H1914" s="26" t="str">
        <f>IF(I.Developer.P4=FALSE,"Complete",IF(I.Product.P4GasToPower="No","Complete",IF(AND(I.Gas.P4Count&gt;=46,F1914=""),"Incomplete","Complete")))</f>
        <v>Complete</v>
      </c>
      <c r="I1914" s="39" t="s">
        <v>2139</v>
      </c>
    </row>
    <row r="1915" spans="2:9" ht="15" customHeight="1" x14ac:dyDescent="0.25">
      <c r="B1915" s="37" t="s">
        <v>2093</v>
      </c>
      <c r="C1915" s="26">
        <v>47</v>
      </c>
      <c r="D1915" s="38" t="s">
        <v>2711</v>
      </c>
      <c r="E1915" s="59"/>
      <c r="F1915" s="59" t="str">
        <f>IF(INDEX(I.Gas.P4TotalGasEnergy,47)="","",INDEX(I.Gas.P4TotalGasEnergy,47))</f>
        <v/>
      </c>
      <c r="G1915" s="59"/>
      <c r="H1915" s="26" t="str">
        <f>IF(I.Developer.P4=FALSE,"Complete",IF(I.Product.P4GasToPower="No","Complete",IF(AND(I.Gas.P4Count&gt;=47,F1915=""),"Incomplete","Complete")))</f>
        <v>Complete</v>
      </c>
      <c r="I1915" s="39" t="s">
        <v>2140</v>
      </c>
    </row>
    <row r="1916" spans="2:9" ht="15" customHeight="1" x14ac:dyDescent="0.25">
      <c r="B1916" s="37" t="s">
        <v>2093</v>
      </c>
      <c r="C1916" s="26">
        <v>48</v>
      </c>
      <c r="D1916" s="38" t="s">
        <v>2711</v>
      </c>
      <c r="E1916" s="59"/>
      <c r="F1916" s="59" t="str">
        <f>IF(INDEX(I.Gas.P4TotalGasEnergy,48)="","",INDEX(I.Gas.P4TotalGasEnergy,48))</f>
        <v/>
      </c>
      <c r="G1916" s="59"/>
      <c r="H1916" s="26" t="str">
        <f>IF(I.Developer.P4=FALSE,"Complete",IF(I.Product.P4GasToPower="No","Complete",IF(AND(I.Gas.P4Count&gt;=48,F1916=""),"Incomplete","Complete")))</f>
        <v>Complete</v>
      </c>
      <c r="I1916" s="39" t="s">
        <v>2141</v>
      </c>
    </row>
    <row r="1917" spans="2:9" ht="15" customHeight="1" x14ac:dyDescent="0.25">
      <c r="B1917" s="37" t="s">
        <v>2093</v>
      </c>
      <c r="C1917" s="26">
        <v>49</v>
      </c>
      <c r="D1917" s="38" t="s">
        <v>2711</v>
      </c>
      <c r="E1917" s="59"/>
      <c r="F1917" s="59" t="str">
        <f>IF(INDEX(I.Gas.P4TotalGasEnergy,49)="","",INDEX(I.Gas.P4TotalGasEnergy,49))</f>
        <v/>
      </c>
      <c r="G1917" s="59"/>
      <c r="H1917" s="26" t="str">
        <f>IF(I.Developer.P4=FALSE,"Complete",IF(I.Product.P4GasToPower="No","Complete",IF(AND(I.Gas.P4Count&gt;=49,F1917=""),"Incomplete","Complete")))</f>
        <v>Complete</v>
      </c>
      <c r="I1917" s="39" t="s">
        <v>2142</v>
      </c>
    </row>
    <row r="1918" spans="2:9" ht="15" customHeight="1" x14ac:dyDescent="0.25">
      <c r="B1918" s="40" t="s">
        <v>2093</v>
      </c>
      <c r="C1918" s="46">
        <v>50</v>
      </c>
      <c r="D1918" s="44" t="s">
        <v>2711</v>
      </c>
      <c r="E1918" s="63"/>
      <c r="F1918" s="63" t="str">
        <f>IF(INDEX(I.Gas.P4TotalGasEnergy,50)="","",INDEX(I.Gas.P4TotalGasEnergy,50))</f>
        <v/>
      </c>
      <c r="G1918" s="63"/>
      <c r="H1918" s="46" t="str">
        <f>IF(I.Developer.P4=FALSE,"Complete",IF(I.Product.P4GasToPower="No","Complete",IF(AND(I.Gas.P4Count&gt;=50,F1918=""),"Incomplete","Complete")))</f>
        <v>Complete</v>
      </c>
      <c r="I1918" s="47" t="s">
        <v>2143</v>
      </c>
    </row>
    <row r="1919" spans="2:9" ht="15" customHeight="1" x14ac:dyDescent="0.25">
      <c r="B1919" s="37" t="s">
        <v>2144</v>
      </c>
      <c r="C1919" s="26">
        <v>1</v>
      </c>
      <c r="D1919" s="38" t="s">
        <v>2712</v>
      </c>
      <c r="E1919" s="59"/>
      <c r="F1919" s="59" t="str">
        <f>IF(INDEX(I.Gas.P4ElectricityGeneration,1)="","",INDEX(I.Gas.P4ElectricityGeneration,1))</f>
        <v/>
      </c>
      <c r="G1919" s="59"/>
      <c r="H1919" s="26" t="str">
        <f>IF(I.Developer.P4=FALSE,"Complete",IF(I.Product.P4GasToPower="No","Complete",IF(AND(I.Gas.P4Count&gt;=1,F1919=""),"Incomplete","Complete")))</f>
        <v>Complete</v>
      </c>
      <c r="I1919" s="39" t="s">
        <v>2145</v>
      </c>
    </row>
    <row r="1920" spans="2:9" ht="15" customHeight="1" x14ac:dyDescent="0.25">
      <c r="B1920" s="37" t="s">
        <v>2144</v>
      </c>
      <c r="C1920" s="26">
        <v>2</v>
      </c>
      <c r="D1920" s="38" t="s">
        <v>2712</v>
      </c>
      <c r="E1920" s="59"/>
      <c r="F1920" s="59" t="str">
        <f>IF(INDEX(I.Gas.P4ElectricityGeneration,2)="","",INDEX(I.Gas.P4ElectricityGeneration,2))</f>
        <v/>
      </c>
      <c r="G1920" s="59"/>
      <c r="H1920" s="26" t="str">
        <f>IF(I.Developer.P4=FALSE,"Complete",IF(I.Product.P4GasToPower="No","Complete",IF(AND(I.Gas.P4Count&gt;=2,F1920=""),"Incomplete","Complete")))</f>
        <v>Complete</v>
      </c>
      <c r="I1920" s="39" t="s">
        <v>2146</v>
      </c>
    </row>
    <row r="1921" spans="2:9" ht="15" customHeight="1" x14ac:dyDescent="0.25">
      <c r="B1921" s="37" t="s">
        <v>2144</v>
      </c>
      <c r="C1921" s="26">
        <v>3</v>
      </c>
      <c r="D1921" s="38" t="s">
        <v>2712</v>
      </c>
      <c r="E1921" s="59"/>
      <c r="F1921" s="59" t="str">
        <f>IF(INDEX(I.Gas.P4ElectricityGeneration,3)="","",INDEX(I.Gas.P4ElectricityGeneration,3))</f>
        <v/>
      </c>
      <c r="G1921" s="59"/>
      <c r="H1921" s="26" t="str">
        <f>IF(I.Developer.P4=FALSE,"Complete",IF(I.Product.P4GasToPower="No","Complete",IF(AND(I.Gas.P4Count&gt;=3,F1921=""),"Incomplete","Complete")))</f>
        <v>Complete</v>
      </c>
      <c r="I1921" s="39" t="s">
        <v>2147</v>
      </c>
    </row>
    <row r="1922" spans="2:9" ht="15" customHeight="1" x14ac:dyDescent="0.25">
      <c r="B1922" s="37" t="s">
        <v>2144</v>
      </c>
      <c r="C1922" s="26">
        <v>4</v>
      </c>
      <c r="D1922" s="38" t="s">
        <v>2712</v>
      </c>
      <c r="E1922" s="59"/>
      <c r="F1922" s="59" t="str">
        <f>IF(INDEX(I.Gas.P4ElectricityGeneration,4)="","",INDEX(I.Gas.P4ElectricityGeneration,4))</f>
        <v/>
      </c>
      <c r="G1922" s="59"/>
      <c r="H1922" s="26" t="str">
        <f>IF(I.Developer.P4=FALSE,"Complete",IF(I.Product.P4GasToPower="No","Complete",IF(AND(I.Gas.P4Count&gt;=4,F1922=""),"Incomplete","Complete")))</f>
        <v>Complete</v>
      </c>
      <c r="I1922" s="39" t="s">
        <v>2148</v>
      </c>
    </row>
    <row r="1923" spans="2:9" ht="15" customHeight="1" x14ac:dyDescent="0.25">
      <c r="B1923" s="37" t="s">
        <v>2144</v>
      </c>
      <c r="C1923" s="26">
        <v>5</v>
      </c>
      <c r="D1923" s="38" t="s">
        <v>2712</v>
      </c>
      <c r="E1923" s="59"/>
      <c r="F1923" s="59" t="str">
        <f>IF(INDEX(I.Gas.P4ElectricityGeneration,5)="","",INDEX(I.Gas.P4ElectricityGeneration,5))</f>
        <v/>
      </c>
      <c r="G1923" s="59"/>
      <c r="H1923" s="26" t="str">
        <f>IF(I.Developer.P4=FALSE,"Complete",IF(I.Product.P4GasToPower="No","Complete",IF(AND(I.Gas.P4Count&gt;=5,F1923=""),"Incomplete","Complete")))</f>
        <v>Complete</v>
      </c>
      <c r="I1923" s="39" t="s">
        <v>2149</v>
      </c>
    </row>
    <row r="1924" spans="2:9" ht="15" customHeight="1" x14ac:dyDescent="0.25">
      <c r="B1924" s="37" t="s">
        <v>2144</v>
      </c>
      <c r="C1924" s="26">
        <v>6</v>
      </c>
      <c r="D1924" s="38" t="s">
        <v>2712</v>
      </c>
      <c r="E1924" s="59"/>
      <c r="F1924" s="59" t="str">
        <f>IF(INDEX(I.Gas.P4ElectricityGeneration,6)="","",INDEX(I.Gas.P4ElectricityGeneration,6))</f>
        <v/>
      </c>
      <c r="G1924" s="59"/>
      <c r="H1924" s="26" t="str">
        <f>IF(I.Developer.P4=FALSE,"Complete",IF(I.Product.P4GasToPower="No","Complete",IF(AND(I.Gas.P4Count&gt;=6,F1924=""),"Incomplete","Complete")))</f>
        <v>Complete</v>
      </c>
      <c r="I1924" s="39" t="s">
        <v>2150</v>
      </c>
    </row>
    <row r="1925" spans="2:9" ht="15" customHeight="1" x14ac:dyDescent="0.25">
      <c r="B1925" s="37" t="s">
        <v>2144</v>
      </c>
      <c r="C1925" s="26">
        <v>7</v>
      </c>
      <c r="D1925" s="38" t="s">
        <v>2712</v>
      </c>
      <c r="E1925" s="59"/>
      <c r="F1925" s="59" t="str">
        <f>IF(INDEX(I.Gas.P4ElectricityGeneration,7)="","",INDEX(I.Gas.P4ElectricityGeneration,7))</f>
        <v/>
      </c>
      <c r="G1925" s="59"/>
      <c r="H1925" s="26" t="str">
        <f>IF(I.Developer.P4=FALSE,"Complete",IF(I.Product.P4GasToPower="No","Complete",IF(AND(I.Gas.P4Count&gt;=7,F1925=""),"Incomplete","Complete")))</f>
        <v>Complete</v>
      </c>
      <c r="I1925" s="39" t="s">
        <v>2151</v>
      </c>
    </row>
    <row r="1926" spans="2:9" ht="15" customHeight="1" x14ac:dyDescent="0.25">
      <c r="B1926" s="37" t="s">
        <v>2144</v>
      </c>
      <c r="C1926" s="26">
        <v>8</v>
      </c>
      <c r="D1926" s="38" t="s">
        <v>2712</v>
      </c>
      <c r="E1926" s="59"/>
      <c r="F1926" s="59" t="str">
        <f>IF(INDEX(I.Gas.P4ElectricityGeneration,8)="","",INDEX(I.Gas.P4ElectricityGeneration,8))</f>
        <v/>
      </c>
      <c r="G1926" s="59"/>
      <c r="H1926" s="26" t="str">
        <f>IF(I.Developer.P4=FALSE,"Complete",IF(I.Product.P4GasToPower="No","Complete",IF(AND(I.Gas.P4Count&gt;=8,F1926=""),"Incomplete","Complete")))</f>
        <v>Complete</v>
      </c>
      <c r="I1926" s="39" t="s">
        <v>2152</v>
      </c>
    </row>
    <row r="1927" spans="2:9" ht="15" customHeight="1" x14ac:dyDescent="0.25">
      <c r="B1927" s="37" t="s">
        <v>2144</v>
      </c>
      <c r="C1927" s="26">
        <v>9</v>
      </c>
      <c r="D1927" s="38" t="s">
        <v>2712</v>
      </c>
      <c r="E1927" s="59"/>
      <c r="F1927" s="59" t="str">
        <f>IF(INDEX(I.Gas.P4ElectricityGeneration,9)="","",INDEX(I.Gas.P4ElectricityGeneration,9))</f>
        <v/>
      </c>
      <c r="G1927" s="59"/>
      <c r="H1927" s="26" t="str">
        <f>IF(I.Developer.P4=FALSE,"Complete",IF(I.Product.P4GasToPower="No","Complete",IF(AND(I.Gas.P4Count&gt;=9,F1927=""),"Incomplete","Complete")))</f>
        <v>Complete</v>
      </c>
      <c r="I1927" s="39" t="s">
        <v>2153</v>
      </c>
    </row>
    <row r="1928" spans="2:9" ht="15" customHeight="1" x14ac:dyDescent="0.25">
      <c r="B1928" s="37" t="s">
        <v>2144</v>
      </c>
      <c r="C1928" s="26">
        <v>10</v>
      </c>
      <c r="D1928" s="38" t="s">
        <v>2712</v>
      </c>
      <c r="E1928" s="59"/>
      <c r="F1928" s="59" t="str">
        <f>IF(INDEX(I.Gas.P4ElectricityGeneration,10)="","",INDEX(I.Gas.P4ElectricityGeneration,10))</f>
        <v/>
      </c>
      <c r="G1928" s="59"/>
      <c r="H1928" s="26" t="str">
        <f>IF(I.Developer.P4=FALSE,"Complete",IF(I.Product.P4GasToPower="No","Complete",IF(AND(I.Gas.P4Count&gt;=10,F1928=""),"Incomplete","Complete")))</f>
        <v>Complete</v>
      </c>
      <c r="I1928" s="39" t="s">
        <v>2154</v>
      </c>
    </row>
    <row r="1929" spans="2:9" ht="15" customHeight="1" x14ac:dyDescent="0.25">
      <c r="B1929" s="37" t="s">
        <v>2144</v>
      </c>
      <c r="C1929" s="26">
        <v>11</v>
      </c>
      <c r="D1929" s="38" t="s">
        <v>2712</v>
      </c>
      <c r="E1929" s="59"/>
      <c r="F1929" s="59" t="str">
        <f>IF(INDEX(I.Gas.P4ElectricityGeneration,11)="","",INDEX(I.Gas.P4ElectricityGeneration,11))</f>
        <v/>
      </c>
      <c r="G1929" s="59"/>
      <c r="H1929" s="26" t="str">
        <f>IF(I.Developer.P4=FALSE,"Complete",IF(I.Product.P4GasToPower="No","Complete",IF(AND(I.Gas.P4Count&gt;=11,F1929=""),"Incomplete","Complete")))</f>
        <v>Complete</v>
      </c>
      <c r="I1929" s="39" t="s">
        <v>2155</v>
      </c>
    </row>
    <row r="1930" spans="2:9" ht="15" customHeight="1" x14ac:dyDescent="0.25">
      <c r="B1930" s="37" t="s">
        <v>2144</v>
      </c>
      <c r="C1930" s="26">
        <v>12</v>
      </c>
      <c r="D1930" s="38" t="s">
        <v>2712</v>
      </c>
      <c r="E1930" s="59"/>
      <c r="F1930" s="59" t="str">
        <f>IF(INDEX(I.Gas.P4ElectricityGeneration,12)="","",INDEX(I.Gas.P4ElectricityGeneration,12))</f>
        <v/>
      </c>
      <c r="G1930" s="59"/>
      <c r="H1930" s="26" t="str">
        <f>IF(I.Developer.P4=FALSE,"Complete",IF(I.Product.P4GasToPower="No","Complete",IF(AND(I.Gas.P4Count&gt;=12,F1930=""),"Incomplete","Complete")))</f>
        <v>Complete</v>
      </c>
      <c r="I1930" s="39" t="s">
        <v>2156</v>
      </c>
    </row>
    <row r="1931" spans="2:9" ht="15" customHeight="1" x14ac:dyDescent="0.25">
      <c r="B1931" s="37" t="s">
        <v>2144</v>
      </c>
      <c r="C1931" s="26">
        <v>13</v>
      </c>
      <c r="D1931" s="38" t="s">
        <v>2712</v>
      </c>
      <c r="E1931" s="59"/>
      <c r="F1931" s="59" t="str">
        <f>IF(INDEX(I.Gas.P4ElectricityGeneration,13)="","",INDEX(I.Gas.P4ElectricityGeneration,13))</f>
        <v/>
      </c>
      <c r="G1931" s="59"/>
      <c r="H1931" s="26" t="str">
        <f>IF(I.Developer.P4=FALSE,"Complete",IF(I.Product.P4GasToPower="No","Complete",IF(AND(I.Gas.P4Count&gt;=13,F1931=""),"Incomplete","Complete")))</f>
        <v>Complete</v>
      </c>
      <c r="I1931" s="39" t="s">
        <v>2157</v>
      </c>
    </row>
    <row r="1932" spans="2:9" ht="15" customHeight="1" x14ac:dyDescent="0.25">
      <c r="B1932" s="37" t="s">
        <v>2144</v>
      </c>
      <c r="C1932" s="26">
        <v>14</v>
      </c>
      <c r="D1932" s="38" t="s">
        <v>2712</v>
      </c>
      <c r="E1932" s="59"/>
      <c r="F1932" s="59" t="str">
        <f>IF(INDEX(I.Gas.P4ElectricityGeneration,14)="","",INDEX(I.Gas.P4ElectricityGeneration,14))</f>
        <v/>
      </c>
      <c r="G1932" s="59"/>
      <c r="H1932" s="26" t="str">
        <f>IF(I.Developer.P4=FALSE,"Complete",IF(I.Product.P4GasToPower="No","Complete",IF(AND(I.Gas.P4Count&gt;=14,F1932=""),"Incomplete","Complete")))</f>
        <v>Complete</v>
      </c>
      <c r="I1932" s="39" t="s">
        <v>2158</v>
      </c>
    </row>
    <row r="1933" spans="2:9" ht="15" customHeight="1" x14ac:dyDescent="0.25">
      <c r="B1933" s="37" t="s">
        <v>2144</v>
      </c>
      <c r="C1933" s="26">
        <v>15</v>
      </c>
      <c r="D1933" s="38" t="s">
        <v>2712</v>
      </c>
      <c r="E1933" s="59"/>
      <c r="F1933" s="59" t="str">
        <f>IF(INDEX(I.Gas.P4ElectricityGeneration,15)="","",INDEX(I.Gas.P4ElectricityGeneration,15))</f>
        <v/>
      </c>
      <c r="G1933" s="59"/>
      <c r="H1933" s="26" t="str">
        <f>IF(I.Developer.P4=FALSE,"Complete",IF(I.Product.P4GasToPower="No","Complete",IF(AND(I.Gas.P4Count&gt;=15,F1933=""),"Incomplete","Complete")))</f>
        <v>Complete</v>
      </c>
      <c r="I1933" s="39" t="s">
        <v>2159</v>
      </c>
    </row>
    <row r="1934" spans="2:9" ht="15" customHeight="1" x14ac:dyDescent="0.25">
      <c r="B1934" s="37" t="s">
        <v>2144</v>
      </c>
      <c r="C1934" s="26">
        <v>16</v>
      </c>
      <c r="D1934" s="38" t="s">
        <v>2712</v>
      </c>
      <c r="E1934" s="59"/>
      <c r="F1934" s="59" t="str">
        <f>IF(INDEX(I.Gas.P4ElectricityGeneration,16)="","",INDEX(I.Gas.P4ElectricityGeneration,16))</f>
        <v/>
      </c>
      <c r="G1934" s="59"/>
      <c r="H1934" s="26" t="str">
        <f>IF(I.Developer.P4=FALSE,"Complete",IF(I.Product.P4GasToPower="No","Complete",IF(AND(I.Gas.P4Count&gt;=16,F1934=""),"Incomplete","Complete")))</f>
        <v>Complete</v>
      </c>
      <c r="I1934" s="39" t="s">
        <v>2160</v>
      </c>
    </row>
    <row r="1935" spans="2:9" ht="15" customHeight="1" x14ac:dyDescent="0.25">
      <c r="B1935" s="37" t="s">
        <v>2144</v>
      </c>
      <c r="C1935" s="26">
        <v>17</v>
      </c>
      <c r="D1935" s="38" t="s">
        <v>2712</v>
      </c>
      <c r="E1935" s="59"/>
      <c r="F1935" s="59" t="str">
        <f>IF(INDEX(I.Gas.P4ElectricityGeneration,17)="","",INDEX(I.Gas.P4ElectricityGeneration,17))</f>
        <v/>
      </c>
      <c r="G1935" s="59"/>
      <c r="H1935" s="26" t="str">
        <f>IF(I.Developer.P4=FALSE,"Complete",IF(I.Product.P4GasToPower="No","Complete",IF(AND(I.Gas.P4Count&gt;=17,F1935=""),"Incomplete","Complete")))</f>
        <v>Complete</v>
      </c>
      <c r="I1935" s="39" t="s">
        <v>2161</v>
      </c>
    </row>
    <row r="1936" spans="2:9" ht="15" customHeight="1" x14ac:dyDescent="0.25">
      <c r="B1936" s="37" t="s">
        <v>2144</v>
      </c>
      <c r="C1936" s="26">
        <v>18</v>
      </c>
      <c r="D1936" s="38" t="s">
        <v>2712</v>
      </c>
      <c r="E1936" s="59"/>
      <c r="F1936" s="59" t="str">
        <f>IF(INDEX(I.Gas.P4ElectricityGeneration,18)="","",INDEX(I.Gas.P4ElectricityGeneration,18))</f>
        <v/>
      </c>
      <c r="G1936" s="59"/>
      <c r="H1936" s="26" t="str">
        <f>IF(I.Developer.P4=FALSE,"Complete",IF(I.Product.P4GasToPower="No","Complete",IF(AND(I.Gas.P4Count&gt;=18,F1936=""),"Incomplete","Complete")))</f>
        <v>Complete</v>
      </c>
      <c r="I1936" s="39" t="s">
        <v>2162</v>
      </c>
    </row>
    <row r="1937" spans="2:9" ht="15" customHeight="1" x14ac:dyDescent="0.25">
      <c r="B1937" s="37" t="s">
        <v>2144</v>
      </c>
      <c r="C1937" s="26">
        <v>19</v>
      </c>
      <c r="D1937" s="38" t="s">
        <v>2712</v>
      </c>
      <c r="E1937" s="59"/>
      <c r="F1937" s="59" t="str">
        <f>IF(INDEX(I.Gas.P4ElectricityGeneration,19)="","",INDEX(I.Gas.P4ElectricityGeneration,19))</f>
        <v/>
      </c>
      <c r="G1937" s="59"/>
      <c r="H1937" s="26" t="str">
        <f>IF(I.Developer.P4=FALSE,"Complete",IF(I.Product.P4GasToPower="No","Complete",IF(AND(I.Gas.P4Count&gt;=19,F1937=""),"Incomplete","Complete")))</f>
        <v>Complete</v>
      </c>
      <c r="I1937" s="39" t="s">
        <v>2163</v>
      </c>
    </row>
    <row r="1938" spans="2:9" ht="15" customHeight="1" x14ac:dyDescent="0.25">
      <c r="B1938" s="37" t="s">
        <v>2144</v>
      </c>
      <c r="C1938" s="26">
        <v>20</v>
      </c>
      <c r="D1938" s="38" t="s">
        <v>2712</v>
      </c>
      <c r="E1938" s="59"/>
      <c r="F1938" s="59" t="str">
        <f>IF(INDEX(I.Gas.P4ElectricityGeneration,20)="","",INDEX(I.Gas.P4ElectricityGeneration,20))</f>
        <v/>
      </c>
      <c r="G1938" s="59"/>
      <c r="H1938" s="26" t="str">
        <f>IF(I.Developer.P4=FALSE,"Complete",IF(I.Product.P4GasToPower="No","Complete",IF(AND(I.Gas.P4Count&gt;=20,F1938=""),"Incomplete","Complete")))</f>
        <v>Complete</v>
      </c>
      <c r="I1938" s="39" t="s">
        <v>2164</v>
      </c>
    </row>
    <row r="1939" spans="2:9" ht="15" customHeight="1" x14ac:dyDescent="0.25">
      <c r="B1939" s="37" t="s">
        <v>2144</v>
      </c>
      <c r="C1939" s="26">
        <v>21</v>
      </c>
      <c r="D1939" s="38" t="s">
        <v>2712</v>
      </c>
      <c r="E1939" s="59"/>
      <c r="F1939" s="59" t="str">
        <f>IF(INDEX(I.Gas.P4ElectricityGeneration,21)="","",INDEX(I.Gas.P4ElectricityGeneration,21))</f>
        <v/>
      </c>
      <c r="G1939" s="59"/>
      <c r="H1939" s="26" t="str">
        <f>IF(I.Developer.P4=FALSE,"Complete",IF(I.Product.P4GasToPower="No","Complete",IF(AND(I.Gas.P4Count&gt;=21,F1939=""),"Incomplete","Complete")))</f>
        <v>Complete</v>
      </c>
      <c r="I1939" s="39" t="s">
        <v>2165</v>
      </c>
    </row>
    <row r="1940" spans="2:9" ht="15" customHeight="1" x14ac:dyDescent="0.25">
      <c r="B1940" s="37" t="s">
        <v>2144</v>
      </c>
      <c r="C1940" s="26">
        <v>22</v>
      </c>
      <c r="D1940" s="38" t="s">
        <v>2712</v>
      </c>
      <c r="E1940" s="59"/>
      <c r="F1940" s="59" t="str">
        <f>IF(INDEX(I.Gas.P4ElectricityGeneration,22)="","",INDEX(I.Gas.P4ElectricityGeneration,22))</f>
        <v/>
      </c>
      <c r="G1940" s="59"/>
      <c r="H1940" s="26" t="str">
        <f>IF(I.Developer.P4=FALSE,"Complete",IF(I.Product.P4GasToPower="No","Complete",IF(AND(I.Gas.P4Count&gt;=22,F1940=""),"Incomplete","Complete")))</f>
        <v>Complete</v>
      </c>
      <c r="I1940" s="39" t="s">
        <v>2166</v>
      </c>
    </row>
    <row r="1941" spans="2:9" ht="15" customHeight="1" x14ac:dyDescent="0.25">
      <c r="B1941" s="37" t="s">
        <v>2144</v>
      </c>
      <c r="C1941" s="26">
        <v>23</v>
      </c>
      <c r="D1941" s="38" t="s">
        <v>2712</v>
      </c>
      <c r="E1941" s="59"/>
      <c r="F1941" s="59" t="str">
        <f>IF(INDEX(I.Gas.P4ElectricityGeneration,23)="","",INDEX(I.Gas.P4ElectricityGeneration,23))</f>
        <v/>
      </c>
      <c r="G1941" s="59"/>
      <c r="H1941" s="26" t="str">
        <f>IF(I.Developer.P4=FALSE,"Complete",IF(I.Product.P4GasToPower="No","Complete",IF(AND(I.Gas.P4Count&gt;=23,F1941=""),"Incomplete","Complete")))</f>
        <v>Complete</v>
      </c>
      <c r="I1941" s="39" t="s">
        <v>2167</v>
      </c>
    </row>
    <row r="1942" spans="2:9" ht="15" customHeight="1" x14ac:dyDescent="0.25">
      <c r="B1942" s="37" t="s">
        <v>2144</v>
      </c>
      <c r="C1942" s="26">
        <v>24</v>
      </c>
      <c r="D1942" s="38" t="s">
        <v>2712</v>
      </c>
      <c r="E1942" s="59"/>
      <c r="F1942" s="59" t="str">
        <f>IF(INDEX(I.Gas.P4ElectricityGeneration,24)="","",INDEX(I.Gas.P4ElectricityGeneration,24))</f>
        <v/>
      </c>
      <c r="G1942" s="59"/>
      <c r="H1942" s="26" t="str">
        <f>IF(I.Developer.P4=FALSE,"Complete",IF(I.Product.P4GasToPower="No","Complete",IF(AND(I.Gas.P4Count&gt;=24,F1942=""),"Incomplete","Complete")))</f>
        <v>Complete</v>
      </c>
      <c r="I1942" s="39" t="s">
        <v>2168</v>
      </c>
    </row>
    <row r="1943" spans="2:9" ht="15" customHeight="1" x14ac:dyDescent="0.25">
      <c r="B1943" s="37" t="s">
        <v>2144</v>
      </c>
      <c r="C1943" s="26">
        <v>25</v>
      </c>
      <c r="D1943" s="38" t="s">
        <v>2712</v>
      </c>
      <c r="E1943" s="59"/>
      <c r="F1943" s="59" t="str">
        <f>IF(INDEX(I.Gas.P4ElectricityGeneration,25)="","",INDEX(I.Gas.P4ElectricityGeneration,25))</f>
        <v/>
      </c>
      <c r="G1943" s="59"/>
      <c r="H1943" s="26" t="str">
        <f>IF(I.Developer.P4=FALSE,"Complete",IF(I.Product.P4GasToPower="No","Complete",IF(AND(I.Gas.P4Count&gt;=25,F1943=""),"Incomplete","Complete")))</f>
        <v>Complete</v>
      </c>
      <c r="I1943" s="39" t="s">
        <v>2169</v>
      </c>
    </row>
    <row r="1944" spans="2:9" ht="15" customHeight="1" x14ac:dyDescent="0.25">
      <c r="B1944" s="37" t="s">
        <v>2144</v>
      </c>
      <c r="C1944" s="26">
        <v>26</v>
      </c>
      <c r="D1944" s="38" t="s">
        <v>2712</v>
      </c>
      <c r="E1944" s="59"/>
      <c r="F1944" s="59" t="str">
        <f>IF(INDEX(I.Gas.P4ElectricityGeneration,26)="","",INDEX(I.Gas.P4ElectricityGeneration,26))</f>
        <v/>
      </c>
      <c r="G1944" s="59"/>
      <c r="H1944" s="26" t="str">
        <f>IF(I.Developer.P4=FALSE,"Complete",IF(I.Product.P4GasToPower="No","Complete",IF(AND(I.Gas.P4Count&gt;=26,F1944=""),"Incomplete","Complete")))</f>
        <v>Complete</v>
      </c>
      <c r="I1944" s="39" t="s">
        <v>2170</v>
      </c>
    </row>
    <row r="1945" spans="2:9" ht="15" customHeight="1" x14ac:dyDescent="0.25">
      <c r="B1945" s="37" t="s">
        <v>2144</v>
      </c>
      <c r="C1945" s="26">
        <v>27</v>
      </c>
      <c r="D1945" s="38" t="s">
        <v>2712</v>
      </c>
      <c r="E1945" s="59"/>
      <c r="F1945" s="59" t="str">
        <f>IF(INDEX(I.Gas.P4ElectricityGeneration,27)="","",INDEX(I.Gas.P4ElectricityGeneration,27))</f>
        <v/>
      </c>
      <c r="G1945" s="59"/>
      <c r="H1945" s="26" t="str">
        <f>IF(I.Developer.P4=FALSE,"Complete",IF(I.Product.P4GasToPower="No","Complete",IF(AND(I.Gas.P4Count&gt;=27,F1945=""),"Incomplete","Complete")))</f>
        <v>Complete</v>
      </c>
      <c r="I1945" s="39" t="s">
        <v>2171</v>
      </c>
    </row>
    <row r="1946" spans="2:9" ht="15" customHeight="1" x14ac:dyDescent="0.25">
      <c r="B1946" s="37" t="s">
        <v>2144</v>
      </c>
      <c r="C1946" s="26">
        <v>28</v>
      </c>
      <c r="D1946" s="38" t="s">
        <v>2712</v>
      </c>
      <c r="E1946" s="59"/>
      <c r="F1946" s="59" t="str">
        <f>IF(INDEX(I.Gas.P4ElectricityGeneration,28)="","",INDEX(I.Gas.P4ElectricityGeneration,28))</f>
        <v/>
      </c>
      <c r="G1946" s="59"/>
      <c r="H1946" s="26" t="str">
        <f>IF(I.Developer.P4=FALSE,"Complete",IF(I.Product.P4GasToPower="No","Complete",IF(AND(I.Gas.P4Count&gt;=28,F1946=""),"Incomplete","Complete")))</f>
        <v>Complete</v>
      </c>
      <c r="I1946" s="39" t="s">
        <v>2172</v>
      </c>
    </row>
    <row r="1947" spans="2:9" ht="15" customHeight="1" x14ac:dyDescent="0.25">
      <c r="B1947" s="37" t="s">
        <v>2144</v>
      </c>
      <c r="C1947" s="26">
        <v>29</v>
      </c>
      <c r="D1947" s="38" t="s">
        <v>2712</v>
      </c>
      <c r="E1947" s="59"/>
      <c r="F1947" s="59" t="str">
        <f>IF(INDEX(I.Gas.P4ElectricityGeneration,29)="","",INDEX(I.Gas.P4ElectricityGeneration,29))</f>
        <v/>
      </c>
      <c r="G1947" s="59"/>
      <c r="H1947" s="26" t="str">
        <f>IF(I.Developer.P4=FALSE,"Complete",IF(I.Product.P4GasToPower="No","Complete",IF(AND(I.Gas.P4Count&gt;=29,F1947=""),"Incomplete","Complete")))</f>
        <v>Complete</v>
      </c>
      <c r="I1947" s="39" t="s">
        <v>2173</v>
      </c>
    </row>
    <row r="1948" spans="2:9" ht="15" customHeight="1" x14ac:dyDescent="0.25">
      <c r="B1948" s="37" t="s">
        <v>2144</v>
      </c>
      <c r="C1948" s="26">
        <v>30</v>
      </c>
      <c r="D1948" s="38" t="s">
        <v>2712</v>
      </c>
      <c r="E1948" s="59"/>
      <c r="F1948" s="59" t="str">
        <f>IF(INDEX(I.Gas.P4ElectricityGeneration,30)="","",INDEX(I.Gas.P4ElectricityGeneration,30))</f>
        <v/>
      </c>
      <c r="G1948" s="59"/>
      <c r="H1948" s="26" t="str">
        <f>IF(I.Developer.P4=FALSE,"Complete",IF(I.Product.P4GasToPower="No","Complete",IF(AND(I.Gas.P4Count&gt;=30,F1948=""),"Incomplete","Complete")))</f>
        <v>Complete</v>
      </c>
      <c r="I1948" s="39" t="s">
        <v>2174</v>
      </c>
    </row>
    <row r="1949" spans="2:9" ht="15" customHeight="1" x14ac:dyDescent="0.25">
      <c r="B1949" s="37" t="s">
        <v>2144</v>
      </c>
      <c r="C1949" s="26">
        <v>31</v>
      </c>
      <c r="D1949" s="38" t="s">
        <v>2712</v>
      </c>
      <c r="E1949" s="59"/>
      <c r="F1949" s="59" t="str">
        <f>IF(INDEX(I.Gas.P4ElectricityGeneration,31)="","",INDEX(I.Gas.P4ElectricityGeneration,31))</f>
        <v/>
      </c>
      <c r="G1949" s="59"/>
      <c r="H1949" s="26" t="str">
        <f>IF(I.Developer.P4=FALSE,"Complete",IF(I.Product.P4GasToPower="No","Complete",IF(AND(I.Gas.P4Count&gt;=31,F1949=""),"Incomplete","Complete")))</f>
        <v>Complete</v>
      </c>
      <c r="I1949" s="39" t="s">
        <v>2175</v>
      </c>
    </row>
    <row r="1950" spans="2:9" ht="15" customHeight="1" x14ac:dyDescent="0.25">
      <c r="B1950" s="37" t="s">
        <v>2144</v>
      </c>
      <c r="C1950" s="26">
        <v>32</v>
      </c>
      <c r="D1950" s="38" t="s">
        <v>2712</v>
      </c>
      <c r="E1950" s="59"/>
      <c r="F1950" s="59" t="str">
        <f>IF(INDEX(I.Gas.P4ElectricityGeneration,32)="","",INDEX(I.Gas.P4ElectricityGeneration,32))</f>
        <v/>
      </c>
      <c r="G1950" s="59"/>
      <c r="H1950" s="26" t="str">
        <f>IF(I.Developer.P4=FALSE,"Complete",IF(I.Product.P4GasToPower="No","Complete",IF(AND(I.Gas.P4Count&gt;=32,F1950=""),"Incomplete","Complete")))</f>
        <v>Complete</v>
      </c>
      <c r="I1950" s="39" t="s">
        <v>2176</v>
      </c>
    </row>
    <row r="1951" spans="2:9" ht="15" customHeight="1" x14ac:dyDescent="0.25">
      <c r="B1951" s="37" t="s">
        <v>2144</v>
      </c>
      <c r="C1951" s="26">
        <v>33</v>
      </c>
      <c r="D1951" s="38" t="s">
        <v>2712</v>
      </c>
      <c r="E1951" s="59"/>
      <c r="F1951" s="59" t="str">
        <f>IF(INDEX(I.Gas.P4ElectricityGeneration,33)="","",INDEX(I.Gas.P4ElectricityGeneration,33))</f>
        <v/>
      </c>
      <c r="G1951" s="59"/>
      <c r="H1951" s="26" t="str">
        <f>IF(I.Developer.P4=FALSE,"Complete",IF(I.Product.P4GasToPower="No","Complete",IF(AND(I.Gas.P4Count&gt;=33,F1951=""),"Incomplete","Complete")))</f>
        <v>Complete</v>
      </c>
      <c r="I1951" s="39" t="s">
        <v>2177</v>
      </c>
    </row>
    <row r="1952" spans="2:9" ht="15" customHeight="1" x14ac:dyDescent="0.25">
      <c r="B1952" s="37" t="s">
        <v>2144</v>
      </c>
      <c r="C1952" s="26">
        <v>34</v>
      </c>
      <c r="D1952" s="38" t="s">
        <v>2712</v>
      </c>
      <c r="E1952" s="59"/>
      <c r="F1952" s="59" t="str">
        <f>IF(INDEX(I.Gas.P4ElectricityGeneration,34)="","",INDEX(I.Gas.P4ElectricityGeneration,34))</f>
        <v/>
      </c>
      <c r="G1952" s="59"/>
      <c r="H1952" s="26" t="str">
        <f>IF(I.Developer.P4=FALSE,"Complete",IF(I.Product.P4GasToPower="No","Complete",IF(AND(I.Gas.P4Count&gt;=34,F1952=""),"Incomplete","Complete")))</f>
        <v>Complete</v>
      </c>
      <c r="I1952" s="39" t="s">
        <v>2178</v>
      </c>
    </row>
    <row r="1953" spans="2:9" ht="15" customHeight="1" x14ac:dyDescent="0.25">
      <c r="B1953" s="37" t="s">
        <v>2144</v>
      </c>
      <c r="C1953" s="26">
        <v>35</v>
      </c>
      <c r="D1953" s="38" t="s">
        <v>2712</v>
      </c>
      <c r="E1953" s="59"/>
      <c r="F1953" s="59" t="str">
        <f>IF(INDEX(I.Gas.P4ElectricityGeneration,35)="","",INDEX(I.Gas.P4ElectricityGeneration,35))</f>
        <v/>
      </c>
      <c r="G1953" s="59"/>
      <c r="H1953" s="26" t="str">
        <f>IF(I.Developer.P4=FALSE,"Complete",IF(I.Product.P4GasToPower="No","Complete",IF(AND(I.Gas.P4Count&gt;=35,F1953=""),"Incomplete","Complete")))</f>
        <v>Complete</v>
      </c>
      <c r="I1953" s="39" t="s">
        <v>2179</v>
      </c>
    </row>
    <row r="1954" spans="2:9" ht="15" customHeight="1" x14ac:dyDescent="0.25">
      <c r="B1954" s="37" t="s">
        <v>2144</v>
      </c>
      <c r="C1954" s="26">
        <v>36</v>
      </c>
      <c r="D1954" s="38" t="s">
        <v>2712</v>
      </c>
      <c r="E1954" s="59"/>
      <c r="F1954" s="59" t="str">
        <f>IF(INDEX(I.Gas.P4ElectricityGeneration,36)="","",INDEX(I.Gas.P4ElectricityGeneration,36))</f>
        <v/>
      </c>
      <c r="G1954" s="59"/>
      <c r="H1954" s="26" t="str">
        <f>IF(I.Developer.P4=FALSE,"Complete",IF(I.Product.P4GasToPower="No","Complete",IF(AND(I.Gas.P4Count&gt;=36,F1954=""),"Incomplete","Complete")))</f>
        <v>Complete</v>
      </c>
      <c r="I1954" s="39" t="s">
        <v>2180</v>
      </c>
    </row>
    <row r="1955" spans="2:9" ht="15" customHeight="1" x14ac:dyDescent="0.25">
      <c r="B1955" s="37" t="s">
        <v>2144</v>
      </c>
      <c r="C1955" s="26">
        <v>37</v>
      </c>
      <c r="D1955" s="38" t="s">
        <v>2712</v>
      </c>
      <c r="E1955" s="59"/>
      <c r="F1955" s="59" t="str">
        <f>IF(INDEX(I.Gas.P4ElectricityGeneration,37)="","",INDEX(I.Gas.P4ElectricityGeneration,37))</f>
        <v/>
      </c>
      <c r="G1955" s="59"/>
      <c r="H1955" s="26" t="str">
        <f>IF(I.Developer.P4=FALSE,"Complete",IF(I.Product.P4GasToPower="No","Complete",IF(AND(I.Gas.P4Count&gt;=37,F1955=""),"Incomplete","Complete")))</f>
        <v>Complete</v>
      </c>
      <c r="I1955" s="39" t="s">
        <v>2181</v>
      </c>
    </row>
    <row r="1956" spans="2:9" ht="15" customHeight="1" x14ac:dyDescent="0.25">
      <c r="B1956" s="37" t="s">
        <v>2144</v>
      </c>
      <c r="C1956" s="26">
        <v>38</v>
      </c>
      <c r="D1956" s="38" t="s">
        <v>2712</v>
      </c>
      <c r="E1956" s="59"/>
      <c r="F1956" s="59" t="str">
        <f>IF(INDEX(I.Gas.P4ElectricityGeneration,38)="","",INDEX(I.Gas.P4ElectricityGeneration,38))</f>
        <v/>
      </c>
      <c r="G1956" s="59"/>
      <c r="H1956" s="26" t="str">
        <f>IF(I.Developer.P4=FALSE,"Complete",IF(I.Product.P4GasToPower="No","Complete",IF(AND(I.Gas.P4Count&gt;=38,F1956=""),"Incomplete","Complete")))</f>
        <v>Complete</v>
      </c>
      <c r="I1956" s="39" t="s">
        <v>2182</v>
      </c>
    </row>
    <row r="1957" spans="2:9" ht="15" customHeight="1" x14ac:dyDescent="0.25">
      <c r="B1957" s="37" t="s">
        <v>2144</v>
      </c>
      <c r="C1957" s="26">
        <v>39</v>
      </c>
      <c r="D1957" s="38" t="s">
        <v>2712</v>
      </c>
      <c r="E1957" s="59"/>
      <c r="F1957" s="59" t="str">
        <f>IF(INDEX(I.Gas.P4ElectricityGeneration,39)="","",INDEX(I.Gas.P4ElectricityGeneration,39))</f>
        <v/>
      </c>
      <c r="G1957" s="59"/>
      <c r="H1957" s="26" t="str">
        <f>IF(I.Developer.P4=FALSE,"Complete",IF(I.Product.P4GasToPower="No","Complete",IF(AND(I.Gas.P4Count&gt;=39,F1957=""),"Incomplete","Complete")))</f>
        <v>Complete</v>
      </c>
      <c r="I1957" s="39" t="s">
        <v>2183</v>
      </c>
    </row>
    <row r="1958" spans="2:9" ht="15" customHeight="1" x14ac:dyDescent="0.25">
      <c r="B1958" s="37" t="s">
        <v>2144</v>
      </c>
      <c r="C1958" s="26">
        <v>40</v>
      </c>
      <c r="D1958" s="38" t="s">
        <v>2712</v>
      </c>
      <c r="E1958" s="59"/>
      <c r="F1958" s="59" t="str">
        <f>IF(INDEX(I.Gas.P4ElectricityGeneration,40)="","",INDEX(I.Gas.P4ElectricityGeneration,40))</f>
        <v/>
      </c>
      <c r="G1958" s="59"/>
      <c r="H1958" s="26" t="str">
        <f>IF(I.Developer.P4=FALSE,"Complete",IF(I.Product.P4GasToPower="No","Complete",IF(AND(I.Gas.P4Count&gt;=40,F1958=""),"Incomplete","Complete")))</f>
        <v>Complete</v>
      </c>
      <c r="I1958" s="39" t="s">
        <v>2184</v>
      </c>
    </row>
    <row r="1959" spans="2:9" ht="15" customHeight="1" x14ac:dyDescent="0.25">
      <c r="B1959" s="37" t="s">
        <v>2144</v>
      </c>
      <c r="C1959" s="26">
        <v>41</v>
      </c>
      <c r="D1959" s="38" t="s">
        <v>2712</v>
      </c>
      <c r="E1959" s="59"/>
      <c r="F1959" s="59" t="str">
        <f>IF(INDEX(I.Gas.P4ElectricityGeneration,41)="","",INDEX(I.Gas.P4ElectricityGeneration,41))</f>
        <v/>
      </c>
      <c r="G1959" s="59"/>
      <c r="H1959" s="26" t="str">
        <f>IF(I.Developer.P4=FALSE,"Complete",IF(I.Product.P4GasToPower="No","Complete",IF(AND(I.Gas.P4Count&gt;=41,F1959=""),"Incomplete","Complete")))</f>
        <v>Complete</v>
      </c>
      <c r="I1959" s="39" t="s">
        <v>2185</v>
      </c>
    </row>
    <row r="1960" spans="2:9" ht="15" customHeight="1" x14ac:dyDescent="0.25">
      <c r="B1960" s="37" t="s">
        <v>2144</v>
      </c>
      <c r="C1960" s="26">
        <v>42</v>
      </c>
      <c r="D1960" s="38" t="s">
        <v>2712</v>
      </c>
      <c r="E1960" s="59"/>
      <c r="F1960" s="59" t="str">
        <f>IF(INDEX(I.Gas.P4ElectricityGeneration,42)="","",INDEX(I.Gas.P4ElectricityGeneration,42))</f>
        <v/>
      </c>
      <c r="G1960" s="59"/>
      <c r="H1960" s="26" t="str">
        <f>IF(I.Developer.P4=FALSE,"Complete",IF(I.Product.P4GasToPower="No","Complete",IF(AND(I.Gas.P4Count&gt;=42,F1960=""),"Incomplete","Complete")))</f>
        <v>Complete</v>
      </c>
      <c r="I1960" s="39" t="s">
        <v>2186</v>
      </c>
    </row>
    <row r="1961" spans="2:9" ht="15" customHeight="1" x14ac:dyDescent="0.25">
      <c r="B1961" s="37" t="s">
        <v>2144</v>
      </c>
      <c r="C1961" s="26">
        <v>43</v>
      </c>
      <c r="D1961" s="38" t="s">
        <v>2712</v>
      </c>
      <c r="E1961" s="59"/>
      <c r="F1961" s="59" t="str">
        <f>IF(INDEX(I.Gas.P4ElectricityGeneration,43)="","",INDEX(I.Gas.P4ElectricityGeneration,43))</f>
        <v/>
      </c>
      <c r="G1961" s="59"/>
      <c r="H1961" s="26" t="str">
        <f>IF(I.Developer.P4=FALSE,"Complete",IF(I.Product.P4GasToPower="No","Complete",IF(AND(I.Gas.P4Count&gt;=43,F1961=""),"Incomplete","Complete")))</f>
        <v>Complete</v>
      </c>
      <c r="I1961" s="39" t="s">
        <v>2187</v>
      </c>
    </row>
    <row r="1962" spans="2:9" ht="15" customHeight="1" x14ac:dyDescent="0.25">
      <c r="B1962" s="37" t="s">
        <v>2144</v>
      </c>
      <c r="C1962" s="26">
        <v>44</v>
      </c>
      <c r="D1962" s="38" t="s">
        <v>2712</v>
      </c>
      <c r="E1962" s="59"/>
      <c r="F1962" s="59" t="str">
        <f>IF(INDEX(I.Gas.P4ElectricityGeneration,44)="","",INDEX(I.Gas.P4ElectricityGeneration,44))</f>
        <v/>
      </c>
      <c r="G1962" s="59"/>
      <c r="H1962" s="26" t="str">
        <f>IF(I.Developer.P4=FALSE,"Complete",IF(I.Product.P4GasToPower="No","Complete",IF(AND(I.Gas.P4Count&gt;=44,F1962=""),"Incomplete","Complete")))</f>
        <v>Complete</v>
      </c>
      <c r="I1962" s="39" t="s">
        <v>2188</v>
      </c>
    </row>
    <row r="1963" spans="2:9" ht="15" customHeight="1" x14ac:dyDescent="0.25">
      <c r="B1963" s="37" t="s">
        <v>2144</v>
      </c>
      <c r="C1963" s="26">
        <v>45</v>
      </c>
      <c r="D1963" s="38" t="s">
        <v>2712</v>
      </c>
      <c r="E1963" s="59"/>
      <c r="F1963" s="59" t="str">
        <f>IF(INDEX(I.Gas.P4ElectricityGeneration,45)="","",INDEX(I.Gas.P4ElectricityGeneration,45))</f>
        <v/>
      </c>
      <c r="G1963" s="59"/>
      <c r="H1963" s="26" t="str">
        <f>IF(I.Developer.P4=FALSE,"Complete",IF(I.Product.P4GasToPower="No","Complete",IF(AND(I.Gas.P4Count&gt;=45,F1963=""),"Incomplete","Complete")))</f>
        <v>Complete</v>
      </c>
      <c r="I1963" s="39" t="s">
        <v>2189</v>
      </c>
    </row>
    <row r="1964" spans="2:9" ht="15" customHeight="1" x14ac:dyDescent="0.25">
      <c r="B1964" s="37" t="s">
        <v>2144</v>
      </c>
      <c r="C1964" s="26">
        <v>46</v>
      </c>
      <c r="D1964" s="38" t="s">
        <v>2712</v>
      </c>
      <c r="E1964" s="59"/>
      <c r="F1964" s="59" t="str">
        <f>IF(INDEX(I.Gas.P4ElectricityGeneration,46)="","",INDEX(I.Gas.P4ElectricityGeneration,46))</f>
        <v/>
      </c>
      <c r="G1964" s="59"/>
      <c r="H1964" s="26" t="str">
        <f>IF(I.Developer.P4=FALSE,"Complete",IF(I.Product.P4GasToPower="No","Complete",IF(AND(I.Gas.P4Count&gt;=46,F1964=""),"Incomplete","Complete")))</f>
        <v>Complete</v>
      </c>
      <c r="I1964" s="39" t="s">
        <v>2190</v>
      </c>
    </row>
    <row r="1965" spans="2:9" ht="15" customHeight="1" x14ac:dyDescent="0.25">
      <c r="B1965" s="37" t="s">
        <v>2144</v>
      </c>
      <c r="C1965" s="26">
        <v>47</v>
      </c>
      <c r="D1965" s="38" t="s">
        <v>2712</v>
      </c>
      <c r="E1965" s="59"/>
      <c r="F1965" s="59" t="str">
        <f>IF(INDEX(I.Gas.P4ElectricityGeneration,47)="","",INDEX(I.Gas.P4ElectricityGeneration,47))</f>
        <v/>
      </c>
      <c r="G1965" s="59"/>
      <c r="H1965" s="26" t="str">
        <f>IF(I.Developer.P4=FALSE,"Complete",IF(I.Product.P4GasToPower="No","Complete",IF(AND(I.Gas.P4Count&gt;=47,F1965=""),"Incomplete","Complete")))</f>
        <v>Complete</v>
      </c>
      <c r="I1965" s="39" t="s">
        <v>2191</v>
      </c>
    </row>
    <row r="1966" spans="2:9" ht="15" customHeight="1" x14ac:dyDescent="0.25">
      <c r="B1966" s="37" t="s">
        <v>2144</v>
      </c>
      <c r="C1966" s="26">
        <v>48</v>
      </c>
      <c r="D1966" s="38" t="s">
        <v>2712</v>
      </c>
      <c r="E1966" s="59"/>
      <c r="F1966" s="59" t="str">
        <f>IF(INDEX(I.Gas.P4ElectricityGeneration,48)="","",INDEX(I.Gas.P4ElectricityGeneration,48))</f>
        <v/>
      </c>
      <c r="G1966" s="59"/>
      <c r="H1966" s="26" t="str">
        <f>IF(I.Developer.P4=FALSE,"Complete",IF(I.Product.P4GasToPower="No","Complete",IF(AND(I.Gas.P4Count&gt;=48,F1966=""),"Incomplete","Complete")))</f>
        <v>Complete</v>
      </c>
      <c r="I1966" s="39" t="s">
        <v>2192</v>
      </c>
    </row>
    <row r="1967" spans="2:9" ht="15" customHeight="1" x14ac:dyDescent="0.25">
      <c r="B1967" s="37" t="s">
        <v>2144</v>
      </c>
      <c r="C1967" s="26">
        <v>49</v>
      </c>
      <c r="D1967" s="38" t="s">
        <v>2712</v>
      </c>
      <c r="E1967" s="59"/>
      <c r="F1967" s="59" t="str">
        <f>IF(INDEX(I.Gas.P4ElectricityGeneration,49)="","",INDEX(I.Gas.P4ElectricityGeneration,49))</f>
        <v/>
      </c>
      <c r="G1967" s="59"/>
      <c r="H1967" s="26" t="str">
        <f>IF(I.Developer.P4=FALSE,"Complete",IF(I.Product.P4GasToPower="No","Complete",IF(AND(I.Gas.P4Count&gt;=49,F1967=""),"Incomplete","Complete")))</f>
        <v>Complete</v>
      </c>
      <c r="I1967" s="39" t="s">
        <v>2193</v>
      </c>
    </row>
    <row r="1968" spans="2:9" ht="15" customHeight="1" x14ac:dyDescent="0.25">
      <c r="B1968" s="40" t="s">
        <v>2144</v>
      </c>
      <c r="C1968" s="46">
        <v>50</v>
      </c>
      <c r="D1968" s="44" t="s">
        <v>2712</v>
      </c>
      <c r="E1968" s="63"/>
      <c r="F1968" s="63" t="str">
        <f>IF(INDEX(I.Gas.P4ElectricityGeneration,50)="","",INDEX(I.Gas.P4ElectricityGeneration,50))</f>
        <v/>
      </c>
      <c r="G1968" s="63"/>
      <c r="H1968" s="46" t="str">
        <f>IF(I.Developer.P4=FALSE,"Complete",IF(I.Product.P4GasToPower="No","Complete",IF(AND(I.Gas.P4Count&gt;=50,F1968=""),"Incomplete","Complete")))</f>
        <v>Complete</v>
      </c>
      <c r="I1968" s="47" t="s">
        <v>2194</v>
      </c>
    </row>
    <row r="1969" spans="2:9" ht="15" customHeight="1" x14ac:dyDescent="0.25">
      <c r="B1969" s="37" t="s">
        <v>2195</v>
      </c>
      <c r="C1969" s="26">
        <v>1</v>
      </c>
      <c r="D1969" s="38" t="s">
        <v>2713</v>
      </c>
      <c r="E1969" s="59"/>
      <c r="F1969" s="59" t="str">
        <f>IF(INDEX(I.Gas.P4C1V1,1)="","",INDEX(I.Gas.P4C1V1,1))</f>
        <v/>
      </c>
      <c r="G1969" s="59"/>
      <c r="H1969" s="26" t="str">
        <f>IF(OR(I.Developer.P4=FALSE,I.Facility.StandardPart&lt;&gt;"Part 2"),"Complete",IF(I.Product.P4GasToPower="No","Complete",IF(AND(I.Gas.P4Count&gt;=1,F1969=""),"Incomplete","Complete")))</f>
        <v>Complete</v>
      </c>
      <c r="I1969" s="39" t="s">
        <v>2196</v>
      </c>
    </row>
    <row r="1970" spans="2:9" ht="15" customHeight="1" x14ac:dyDescent="0.25">
      <c r="B1970" s="37" t="s">
        <v>2195</v>
      </c>
      <c r="C1970" s="26">
        <v>2</v>
      </c>
      <c r="D1970" s="38" t="s">
        <v>2713</v>
      </c>
      <c r="E1970" s="59"/>
      <c r="F1970" s="59" t="str">
        <f>IF(INDEX(I.Gas.P4C1V1,2)="","",INDEX(I.Gas.P4C1V1,2))</f>
        <v/>
      </c>
      <c r="G1970" s="59"/>
      <c r="H1970" s="26" t="str">
        <f>IF(OR(I.Developer.P4=FALSE,I.Facility.StandardPart&lt;&gt;"Part 2"),"Complete",IF(I.Product.P4GasToPower="No","Complete",IF(AND(I.Gas.P4Count&gt;=2,F1970=""),"Incomplete","Complete")))</f>
        <v>Complete</v>
      </c>
      <c r="I1970" s="39" t="s">
        <v>2197</v>
      </c>
    </row>
    <row r="1971" spans="2:9" ht="15" customHeight="1" x14ac:dyDescent="0.25">
      <c r="B1971" s="37" t="s">
        <v>2195</v>
      </c>
      <c r="C1971" s="26">
        <v>3</v>
      </c>
      <c r="D1971" s="38" t="s">
        <v>2713</v>
      </c>
      <c r="E1971" s="59"/>
      <c r="F1971" s="59" t="str">
        <f>IF(INDEX(I.Gas.P4C1V1,3)="","",INDEX(I.Gas.P4C1V1,3))</f>
        <v/>
      </c>
      <c r="G1971" s="59"/>
      <c r="H1971" s="26" t="str">
        <f>IF(OR(I.Developer.P4=FALSE,I.Facility.StandardPart&lt;&gt;"Part 2"),"Complete",IF(I.Product.P4GasToPower="No","Complete",IF(AND(I.Gas.P4Count&gt;=3,F1971=""),"Incomplete","Complete")))</f>
        <v>Complete</v>
      </c>
      <c r="I1971" s="39" t="s">
        <v>2198</v>
      </c>
    </row>
    <row r="1972" spans="2:9" ht="15" customHeight="1" x14ac:dyDescent="0.25">
      <c r="B1972" s="37" t="s">
        <v>2195</v>
      </c>
      <c r="C1972" s="26">
        <v>4</v>
      </c>
      <c r="D1972" s="38" t="s">
        <v>2713</v>
      </c>
      <c r="E1972" s="59"/>
      <c r="F1972" s="59" t="str">
        <f>IF(INDEX(I.Gas.P4C1V1,4)="","",INDEX(I.Gas.P4C1V1,4))</f>
        <v/>
      </c>
      <c r="G1972" s="59"/>
      <c r="H1972" s="26" t="str">
        <f>IF(OR(I.Developer.P4=FALSE,I.Facility.StandardPart&lt;&gt;"Part 2"),"Complete",IF(I.Product.P4GasToPower="No","Complete",IF(AND(I.Gas.P4Count&gt;=4,F1972=""),"Incomplete","Complete")))</f>
        <v>Complete</v>
      </c>
      <c r="I1972" s="39" t="s">
        <v>2199</v>
      </c>
    </row>
    <row r="1973" spans="2:9" ht="15" customHeight="1" x14ac:dyDescent="0.25">
      <c r="B1973" s="37" t="s">
        <v>2195</v>
      </c>
      <c r="C1973" s="26">
        <v>5</v>
      </c>
      <c r="D1973" s="38" t="s">
        <v>2713</v>
      </c>
      <c r="E1973" s="59"/>
      <c r="F1973" s="59" t="str">
        <f>IF(INDEX(I.Gas.P4C1V1,5)="","",INDEX(I.Gas.P4C1V1,5))</f>
        <v/>
      </c>
      <c r="G1973" s="59"/>
      <c r="H1973" s="26" t="str">
        <f>IF(OR(I.Developer.P4=FALSE,I.Facility.StandardPart&lt;&gt;"Part 2"),"Complete",IF(I.Product.P4GasToPower="No","Complete",IF(AND(I.Gas.P4Count&gt;=5,F1973=""),"Incomplete","Complete")))</f>
        <v>Complete</v>
      </c>
      <c r="I1973" s="39" t="s">
        <v>2200</v>
      </c>
    </row>
    <row r="1974" spans="2:9" ht="15" customHeight="1" x14ac:dyDescent="0.25">
      <c r="B1974" s="37" t="s">
        <v>2195</v>
      </c>
      <c r="C1974" s="26">
        <v>6</v>
      </c>
      <c r="D1974" s="38" t="s">
        <v>2713</v>
      </c>
      <c r="E1974" s="59"/>
      <c r="F1974" s="59" t="str">
        <f>IF(INDEX(I.Gas.P4C1V1,6)="","",INDEX(I.Gas.P4C1V1,6))</f>
        <v/>
      </c>
      <c r="G1974" s="59"/>
      <c r="H1974" s="26" t="str">
        <f>IF(OR(I.Developer.P4=FALSE,I.Facility.StandardPart&lt;&gt;"Part 2"),"Complete",IF(I.Product.P4GasToPower="No","Complete",IF(AND(I.Gas.P4Count&gt;=6,F1974=""),"Incomplete","Complete")))</f>
        <v>Complete</v>
      </c>
      <c r="I1974" s="39" t="s">
        <v>2201</v>
      </c>
    </row>
    <row r="1975" spans="2:9" ht="15" customHeight="1" x14ac:dyDescent="0.25">
      <c r="B1975" s="37" t="s">
        <v>2195</v>
      </c>
      <c r="C1975" s="26">
        <v>7</v>
      </c>
      <c r="D1975" s="38" t="s">
        <v>2713</v>
      </c>
      <c r="E1975" s="59"/>
      <c r="F1975" s="59" t="str">
        <f>IF(INDEX(I.Gas.P4C1V1,7)="","",INDEX(I.Gas.P4C1V1,7))</f>
        <v/>
      </c>
      <c r="G1975" s="59"/>
      <c r="H1975" s="26" t="str">
        <f>IF(OR(I.Developer.P4=FALSE,I.Facility.StandardPart&lt;&gt;"Part 2"),"Complete",IF(I.Product.P4GasToPower="No","Complete",IF(AND(I.Gas.P4Count&gt;=7,F1975=""),"Incomplete","Complete")))</f>
        <v>Complete</v>
      </c>
      <c r="I1975" s="39" t="s">
        <v>2202</v>
      </c>
    </row>
    <row r="1976" spans="2:9" ht="15" customHeight="1" x14ac:dyDescent="0.25">
      <c r="B1976" s="37" t="s">
        <v>2195</v>
      </c>
      <c r="C1976" s="26">
        <v>8</v>
      </c>
      <c r="D1976" s="38" t="s">
        <v>2713</v>
      </c>
      <c r="E1976" s="59"/>
      <c r="F1976" s="59" t="str">
        <f>IF(INDEX(I.Gas.P4C1V1,8)="","",INDEX(I.Gas.P4C1V1,8))</f>
        <v/>
      </c>
      <c r="G1976" s="59"/>
      <c r="H1976" s="26" t="str">
        <f>IF(OR(I.Developer.P4=FALSE,I.Facility.StandardPart&lt;&gt;"Part 2"),"Complete",IF(I.Product.P4GasToPower="No","Complete",IF(AND(I.Gas.P4Count&gt;=8,F1976=""),"Incomplete","Complete")))</f>
        <v>Complete</v>
      </c>
      <c r="I1976" s="39" t="s">
        <v>2203</v>
      </c>
    </row>
    <row r="1977" spans="2:9" ht="15" customHeight="1" x14ac:dyDescent="0.25">
      <c r="B1977" s="37" t="s">
        <v>2195</v>
      </c>
      <c r="C1977" s="26">
        <v>9</v>
      </c>
      <c r="D1977" s="38" t="s">
        <v>2713</v>
      </c>
      <c r="E1977" s="59"/>
      <c r="F1977" s="59" t="str">
        <f>IF(INDEX(I.Gas.P4C1V1,9)="","",INDEX(I.Gas.P4C1V1,9))</f>
        <v/>
      </c>
      <c r="G1977" s="59"/>
      <c r="H1977" s="26" t="str">
        <f>IF(OR(I.Developer.P4=FALSE,I.Facility.StandardPart&lt;&gt;"Part 2"),"Complete",IF(I.Product.P4GasToPower="No","Complete",IF(AND(I.Gas.P4Count&gt;=9,F1977=""),"Incomplete","Complete")))</f>
        <v>Complete</v>
      </c>
      <c r="I1977" s="39" t="s">
        <v>2204</v>
      </c>
    </row>
    <row r="1978" spans="2:9" ht="15" customHeight="1" x14ac:dyDescent="0.25">
      <c r="B1978" s="37" t="s">
        <v>2195</v>
      </c>
      <c r="C1978" s="26">
        <v>10</v>
      </c>
      <c r="D1978" s="38" t="s">
        <v>2713</v>
      </c>
      <c r="E1978" s="59"/>
      <c r="F1978" s="59" t="str">
        <f>IF(INDEX(I.Gas.P4C1V1,10)="","",INDEX(I.Gas.P4C1V1,10))</f>
        <v/>
      </c>
      <c r="G1978" s="59"/>
      <c r="H1978" s="26" t="str">
        <f>IF(OR(I.Developer.P4=FALSE,I.Facility.StandardPart&lt;&gt;"Part 2"),"Complete",IF(I.Product.P4GasToPower="No","Complete",IF(AND(I.Gas.P4Count&gt;=10,F1978=""),"Incomplete","Complete")))</f>
        <v>Complete</v>
      </c>
      <c r="I1978" s="39" t="s">
        <v>2205</v>
      </c>
    </row>
    <row r="1979" spans="2:9" ht="15" customHeight="1" x14ac:dyDescent="0.25">
      <c r="B1979" s="37" t="s">
        <v>2195</v>
      </c>
      <c r="C1979" s="26">
        <v>11</v>
      </c>
      <c r="D1979" s="38" t="s">
        <v>2713</v>
      </c>
      <c r="E1979" s="59"/>
      <c r="F1979" s="59" t="str">
        <f>IF(INDEX(I.Gas.P4C1V1,11)="","",INDEX(I.Gas.P4C1V1,11))</f>
        <v/>
      </c>
      <c r="G1979" s="59"/>
      <c r="H1979" s="26" t="str">
        <f>IF(OR(I.Developer.P4=FALSE,I.Facility.StandardPart&lt;&gt;"Part 2"),"Complete",IF(I.Product.P4GasToPower="No","Complete",IF(AND(I.Gas.P4Count&gt;=11,F1979=""),"Incomplete","Complete")))</f>
        <v>Complete</v>
      </c>
      <c r="I1979" s="39" t="s">
        <v>2206</v>
      </c>
    </row>
    <row r="1980" spans="2:9" ht="15" customHeight="1" x14ac:dyDescent="0.25">
      <c r="B1980" s="37" t="s">
        <v>2195</v>
      </c>
      <c r="C1980" s="26">
        <v>12</v>
      </c>
      <c r="D1980" s="38" t="s">
        <v>2713</v>
      </c>
      <c r="E1980" s="59"/>
      <c r="F1980" s="59" t="str">
        <f>IF(INDEX(I.Gas.P4C1V1,12)="","",INDEX(I.Gas.P4C1V1,12))</f>
        <v/>
      </c>
      <c r="G1980" s="59"/>
      <c r="H1980" s="26" t="str">
        <f>IF(OR(I.Developer.P4=FALSE,I.Facility.StandardPart&lt;&gt;"Part 2"),"Complete",IF(I.Product.P4GasToPower="No","Complete",IF(AND(I.Gas.P4Count&gt;=12,F1980=""),"Incomplete","Complete")))</f>
        <v>Complete</v>
      </c>
      <c r="I1980" s="39" t="s">
        <v>2207</v>
      </c>
    </row>
    <row r="1981" spans="2:9" ht="15" customHeight="1" x14ac:dyDescent="0.25">
      <c r="B1981" s="37" t="s">
        <v>2195</v>
      </c>
      <c r="C1981" s="26">
        <v>13</v>
      </c>
      <c r="D1981" s="38" t="s">
        <v>2713</v>
      </c>
      <c r="E1981" s="59"/>
      <c r="F1981" s="59" t="str">
        <f>IF(INDEX(I.Gas.P4C1V1,13)="","",INDEX(I.Gas.P4C1V1,13))</f>
        <v/>
      </c>
      <c r="G1981" s="59"/>
      <c r="H1981" s="26" t="str">
        <f>IF(OR(I.Developer.P4=FALSE,I.Facility.StandardPart&lt;&gt;"Part 2"),"Complete",IF(I.Product.P4GasToPower="No","Complete",IF(AND(I.Gas.P4Count&gt;=13,F1981=""),"Incomplete","Complete")))</f>
        <v>Complete</v>
      </c>
      <c r="I1981" s="39" t="s">
        <v>2208</v>
      </c>
    </row>
    <row r="1982" spans="2:9" ht="15" customHeight="1" x14ac:dyDescent="0.25">
      <c r="B1982" s="37" t="s">
        <v>2195</v>
      </c>
      <c r="C1982" s="26">
        <v>14</v>
      </c>
      <c r="D1982" s="38" t="s">
        <v>2713</v>
      </c>
      <c r="E1982" s="59"/>
      <c r="F1982" s="59" t="str">
        <f>IF(INDEX(I.Gas.P4C1V1,14)="","",INDEX(I.Gas.P4C1V1,14))</f>
        <v/>
      </c>
      <c r="G1982" s="59"/>
      <c r="H1982" s="26" t="str">
        <f>IF(OR(I.Developer.P4=FALSE,I.Facility.StandardPart&lt;&gt;"Part 2"),"Complete",IF(I.Product.P4GasToPower="No","Complete",IF(AND(I.Gas.P4Count&gt;=14,F1982=""),"Incomplete","Complete")))</f>
        <v>Complete</v>
      </c>
      <c r="I1982" s="39" t="s">
        <v>2209</v>
      </c>
    </row>
    <row r="1983" spans="2:9" ht="15" customHeight="1" x14ac:dyDescent="0.25">
      <c r="B1983" s="37" t="s">
        <v>2195</v>
      </c>
      <c r="C1983" s="26">
        <v>15</v>
      </c>
      <c r="D1983" s="38" t="s">
        <v>2713</v>
      </c>
      <c r="E1983" s="59"/>
      <c r="F1983" s="59" t="str">
        <f>IF(INDEX(I.Gas.P4C1V1,15)="","",INDEX(I.Gas.P4C1V1,15))</f>
        <v/>
      </c>
      <c r="G1983" s="59"/>
      <c r="H1983" s="26" t="str">
        <f>IF(OR(I.Developer.P4=FALSE,I.Facility.StandardPart&lt;&gt;"Part 2"),"Complete",IF(I.Product.P4GasToPower="No","Complete",IF(AND(I.Gas.P4Count&gt;=15,F1983=""),"Incomplete","Complete")))</f>
        <v>Complete</v>
      </c>
      <c r="I1983" s="39" t="s">
        <v>2210</v>
      </c>
    </row>
    <row r="1984" spans="2:9" ht="15" customHeight="1" x14ac:dyDescent="0.25">
      <c r="B1984" s="37" t="s">
        <v>2195</v>
      </c>
      <c r="C1984" s="26">
        <v>16</v>
      </c>
      <c r="D1984" s="38" t="s">
        <v>2713</v>
      </c>
      <c r="E1984" s="59"/>
      <c r="F1984" s="59" t="str">
        <f>IF(INDEX(I.Gas.P4C1V1,16)="","",INDEX(I.Gas.P4C1V1,16))</f>
        <v/>
      </c>
      <c r="G1984" s="59"/>
      <c r="H1984" s="26" t="str">
        <f>IF(OR(I.Developer.P4=FALSE,I.Facility.StandardPart&lt;&gt;"Part 2"),"Complete",IF(I.Product.P4GasToPower="No","Complete",IF(AND(I.Gas.P4Count&gt;=16,F1984=""),"Incomplete","Complete")))</f>
        <v>Complete</v>
      </c>
      <c r="I1984" s="39" t="s">
        <v>2211</v>
      </c>
    </row>
    <row r="1985" spans="2:9" ht="15" customHeight="1" x14ac:dyDescent="0.25">
      <c r="B1985" s="37" t="s">
        <v>2195</v>
      </c>
      <c r="C1985" s="26">
        <v>17</v>
      </c>
      <c r="D1985" s="38" t="s">
        <v>2713</v>
      </c>
      <c r="E1985" s="59"/>
      <c r="F1985" s="59" t="str">
        <f>IF(INDEX(I.Gas.P4C1V1,17)="","",INDEX(I.Gas.P4C1V1,17))</f>
        <v/>
      </c>
      <c r="G1985" s="59"/>
      <c r="H1985" s="26" t="str">
        <f>IF(OR(I.Developer.P4=FALSE,I.Facility.StandardPart&lt;&gt;"Part 2"),"Complete",IF(I.Product.P4GasToPower="No","Complete",IF(AND(I.Gas.P4Count&gt;=17,F1985=""),"Incomplete","Complete")))</f>
        <v>Complete</v>
      </c>
      <c r="I1985" s="39" t="s">
        <v>2212</v>
      </c>
    </row>
    <row r="1986" spans="2:9" ht="15" customHeight="1" x14ac:dyDescent="0.25">
      <c r="B1986" s="37" t="s">
        <v>2195</v>
      </c>
      <c r="C1986" s="26">
        <v>18</v>
      </c>
      <c r="D1986" s="38" t="s">
        <v>2713</v>
      </c>
      <c r="E1986" s="59"/>
      <c r="F1986" s="59" t="str">
        <f>IF(INDEX(I.Gas.P4C1V1,18)="","",INDEX(I.Gas.P4C1V1,18))</f>
        <v/>
      </c>
      <c r="G1986" s="59"/>
      <c r="H1986" s="26" t="str">
        <f>IF(OR(I.Developer.P4=FALSE,I.Facility.StandardPart&lt;&gt;"Part 2"),"Complete",IF(I.Product.P4GasToPower="No","Complete",IF(AND(I.Gas.P4Count&gt;=18,F1986=""),"Incomplete","Complete")))</f>
        <v>Complete</v>
      </c>
      <c r="I1986" s="39" t="s">
        <v>2213</v>
      </c>
    </row>
    <row r="1987" spans="2:9" ht="15" customHeight="1" x14ac:dyDescent="0.25">
      <c r="B1987" s="37" t="s">
        <v>2195</v>
      </c>
      <c r="C1987" s="26">
        <v>19</v>
      </c>
      <c r="D1987" s="38" t="s">
        <v>2713</v>
      </c>
      <c r="E1987" s="59"/>
      <c r="F1987" s="59" t="str">
        <f>IF(INDEX(I.Gas.P4C1V1,19)="","",INDEX(I.Gas.P4C1V1,19))</f>
        <v/>
      </c>
      <c r="G1987" s="59"/>
      <c r="H1987" s="26" t="str">
        <f>IF(OR(I.Developer.P4=FALSE,I.Facility.StandardPart&lt;&gt;"Part 2"),"Complete",IF(I.Product.P4GasToPower="No","Complete",IF(AND(I.Gas.P4Count&gt;=19,F1987=""),"Incomplete","Complete")))</f>
        <v>Complete</v>
      </c>
      <c r="I1987" s="39" t="s">
        <v>2214</v>
      </c>
    </row>
    <row r="1988" spans="2:9" ht="15" customHeight="1" x14ac:dyDescent="0.25">
      <c r="B1988" s="37" t="s">
        <v>2195</v>
      </c>
      <c r="C1988" s="26">
        <v>20</v>
      </c>
      <c r="D1988" s="38" t="s">
        <v>2713</v>
      </c>
      <c r="E1988" s="59"/>
      <c r="F1988" s="59" t="str">
        <f>IF(INDEX(I.Gas.P4C1V1,20)="","",INDEX(I.Gas.P4C1V1,20))</f>
        <v/>
      </c>
      <c r="G1988" s="59"/>
      <c r="H1988" s="26" t="str">
        <f>IF(OR(I.Developer.P4=FALSE,I.Facility.StandardPart&lt;&gt;"Part 2"),"Complete",IF(I.Product.P4GasToPower="No","Complete",IF(AND(I.Gas.P4Count&gt;=20,F1988=""),"Incomplete","Complete")))</f>
        <v>Complete</v>
      </c>
      <c r="I1988" s="39" t="s">
        <v>2215</v>
      </c>
    </row>
    <row r="1989" spans="2:9" ht="15" customHeight="1" x14ac:dyDescent="0.25">
      <c r="B1989" s="37" t="s">
        <v>2195</v>
      </c>
      <c r="C1989" s="26">
        <v>21</v>
      </c>
      <c r="D1989" s="38" t="s">
        <v>2713</v>
      </c>
      <c r="E1989" s="59"/>
      <c r="F1989" s="59" t="str">
        <f>IF(INDEX(I.Gas.P4C1V1,21)="","",INDEX(I.Gas.P4C1V1,21))</f>
        <v/>
      </c>
      <c r="G1989" s="59"/>
      <c r="H1989" s="26" t="str">
        <f>IF(OR(I.Developer.P4=FALSE,I.Facility.StandardPart&lt;&gt;"Part 2"),"Complete",IF(I.Product.P4GasToPower="No","Complete",IF(AND(I.Gas.P4Count&gt;=21,F1989=""),"Incomplete","Complete")))</f>
        <v>Complete</v>
      </c>
      <c r="I1989" s="39" t="s">
        <v>2216</v>
      </c>
    </row>
    <row r="1990" spans="2:9" ht="15" customHeight="1" x14ac:dyDescent="0.25">
      <c r="B1990" s="37" t="s">
        <v>2195</v>
      </c>
      <c r="C1990" s="26">
        <v>22</v>
      </c>
      <c r="D1990" s="38" t="s">
        <v>2713</v>
      </c>
      <c r="E1990" s="59"/>
      <c r="F1990" s="59" t="str">
        <f>IF(INDEX(I.Gas.P4C1V1,22)="","",INDEX(I.Gas.P4C1V1,22))</f>
        <v/>
      </c>
      <c r="G1990" s="59"/>
      <c r="H1990" s="26" t="str">
        <f>IF(OR(I.Developer.P4=FALSE,I.Facility.StandardPart&lt;&gt;"Part 2"),"Complete",IF(I.Product.P4GasToPower="No","Complete",IF(AND(I.Gas.P4Count&gt;=22,F1990=""),"Incomplete","Complete")))</f>
        <v>Complete</v>
      </c>
      <c r="I1990" s="39" t="s">
        <v>2217</v>
      </c>
    </row>
    <row r="1991" spans="2:9" ht="15" customHeight="1" x14ac:dyDescent="0.25">
      <c r="B1991" s="37" t="s">
        <v>2195</v>
      </c>
      <c r="C1991" s="26">
        <v>23</v>
      </c>
      <c r="D1991" s="38" t="s">
        <v>2713</v>
      </c>
      <c r="E1991" s="59"/>
      <c r="F1991" s="59" t="str">
        <f>IF(INDEX(I.Gas.P4C1V1,23)="","",INDEX(I.Gas.P4C1V1,23))</f>
        <v/>
      </c>
      <c r="G1991" s="59"/>
      <c r="H1991" s="26" t="str">
        <f>IF(OR(I.Developer.P4=FALSE,I.Facility.StandardPart&lt;&gt;"Part 2"),"Complete",IF(I.Product.P4GasToPower="No","Complete",IF(AND(I.Gas.P4Count&gt;=23,F1991=""),"Incomplete","Complete")))</f>
        <v>Complete</v>
      </c>
      <c r="I1991" s="39" t="s">
        <v>2218</v>
      </c>
    </row>
    <row r="1992" spans="2:9" ht="15" customHeight="1" x14ac:dyDescent="0.25">
      <c r="B1992" s="37" t="s">
        <v>2195</v>
      </c>
      <c r="C1992" s="26">
        <v>24</v>
      </c>
      <c r="D1992" s="38" t="s">
        <v>2713</v>
      </c>
      <c r="E1992" s="59"/>
      <c r="F1992" s="59" t="str">
        <f>IF(INDEX(I.Gas.P4C1V1,24)="","",INDEX(I.Gas.P4C1V1,24))</f>
        <v/>
      </c>
      <c r="G1992" s="59"/>
      <c r="H1992" s="26" t="str">
        <f>IF(OR(I.Developer.P4=FALSE,I.Facility.StandardPart&lt;&gt;"Part 2"),"Complete",IF(I.Product.P4GasToPower="No","Complete",IF(AND(I.Gas.P4Count&gt;=24,F1992=""),"Incomplete","Complete")))</f>
        <v>Complete</v>
      </c>
      <c r="I1992" s="39" t="s">
        <v>2219</v>
      </c>
    </row>
    <row r="1993" spans="2:9" ht="15" customHeight="1" x14ac:dyDescent="0.25">
      <c r="B1993" s="37" t="s">
        <v>2195</v>
      </c>
      <c r="C1993" s="26">
        <v>25</v>
      </c>
      <c r="D1993" s="38" t="s">
        <v>2713</v>
      </c>
      <c r="E1993" s="59"/>
      <c r="F1993" s="59" t="str">
        <f>IF(INDEX(I.Gas.P4C1V1,25)="","",INDEX(I.Gas.P4C1V1,25))</f>
        <v/>
      </c>
      <c r="G1993" s="59"/>
      <c r="H1993" s="26" t="str">
        <f>IF(OR(I.Developer.P4=FALSE,I.Facility.StandardPart&lt;&gt;"Part 2"),"Complete",IF(I.Product.P4GasToPower="No","Complete",IF(AND(I.Gas.P4Count&gt;=25,F1993=""),"Incomplete","Complete")))</f>
        <v>Complete</v>
      </c>
      <c r="I1993" s="39" t="s">
        <v>2220</v>
      </c>
    </row>
    <row r="1994" spans="2:9" ht="15" customHeight="1" x14ac:dyDescent="0.25">
      <c r="B1994" s="37" t="s">
        <v>2195</v>
      </c>
      <c r="C1994" s="26">
        <v>26</v>
      </c>
      <c r="D1994" s="38" t="s">
        <v>2713</v>
      </c>
      <c r="E1994" s="59"/>
      <c r="F1994" s="59" t="str">
        <f>IF(INDEX(I.Gas.P4C1V1,26)="","",INDEX(I.Gas.P4C1V1,26))</f>
        <v/>
      </c>
      <c r="G1994" s="59"/>
      <c r="H1994" s="26" t="str">
        <f>IF(OR(I.Developer.P4=FALSE,I.Facility.StandardPart&lt;&gt;"Part 2"),"Complete",IF(I.Product.P4GasToPower="No","Complete",IF(AND(I.Gas.P4Count&gt;=26,F1994=""),"Incomplete","Complete")))</f>
        <v>Complete</v>
      </c>
      <c r="I1994" s="39" t="s">
        <v>2221</v>
      </c>
    </row>
    <row r="1995" spans="2:9" ht="15" customHeight="1" x14ac:dyDescent="0.25">
      <c r="B1995" s="37" t="s">
        <v>2195</v>
      </c>
      <c r="C1995" s="26">
        <v>27</v>
      </c>
      <c r="D1995" s="38" t="s">
        <v>2713</v>
      </c>
      <c r="E1995" s="59"/>
      <c r="F1995" s="59" t="str">
        <f>IF(INDEX(I.Gas.P4C1V1,27)="","",INDEX(I.Gas.P4C1V1,27))</f>
        <v/>
      </c>
      <c r="G1995" s="59"/>
      <c r="H1995" s="26" t="str">
        <f>IF(OR(I.Developer.P4=FALSE,I.Facility.StandardPart&lt;&gt;"Part 2"),"Complete",IF(I.Product.P4GasToPower="No","Complete",IF(AND(I.Gas.P4Count&gt;=27,F1995=""),"Incomplete","Complete")))</f>
        <v>Complete</v>
      </c>
      <c r="I1995" s="39" t="s">
        <v>2222</v>
      </c>
    </row>
    <row r="1996" spans="2:9" ht="15" customHeight="1" x14ac:dyDescent="0.25">
      <c r="B1996" s="37" t="s">
        <v>2195</v>
      </c>
      <c r="C1996" s="26">
        <v>28</v>
      </c>
      <c r="D1996" s="38" t="s">
        <v>2713</v>
      </c>
      <c r="E1996" s="59"/>
      <c r="F1996" s="59" t="str">
        <f>IF(INDEX(I.Gas.P4C1V1,28)="","",INDEX(I.Gas.P4C1V1,28))</f>
        <v/>
      </c>
      <c r="G1996" s="59"/>
      <c r="H1996" s="26" t="str">
        <f>IF(OR(I.Developer.P4=FALSE,I.Facility.StandardPart&lt;&gt;"Part 2"),"Complete",IF(I.Product.P4GasToPower="No","Complete",IF(AND(I.Gas.P4Count&gt;=28,F1996=""),"Incomplete","Complete")))</f>
        <v>Complete</v>
      </c>
      <c r="I1996" s="39" t="s">
        <v>2223</v>
      </c>
    </row>
    <row r="1997" spans="2:9" ht="15" customHeight="1" x14ac:dyDescent="0.25">
      <c r="B1997" s="37" t="s">
        <v>2195</v>
      </c>
      <c r="C1997" s="26">
        <v>29</v>
      </c>
      <c r="D1997" s="38" t="s">
        <v>2713</v>
      </c>
      <c r="E1997" s="59"/>
      <c r="F1997" s="59" t="str">
        <f>IF(INDEX(I.Gas.P4C1V1,29)="","",INDEX(I.Gas.P4C1V1,29))</f>
        <v/>
      </c>
      <c r="G1997" s="59"/>
      <c r="H1997" s="26" t="str">
        <f>IF(OR(I.Developer.P4=FALSE,I.Facility.StandardPart&lt;&gt;"Part 2"),"Complete",IF(I.Product.P4GasToPower="No","Complete",IF(AND(I.Gas.P4Count&gt;=29,F1997=""),"Incomplete","Complete")))</f>
        <v>Complete</v>
      </c>
      <c r="I1997" s="39" t="s">
        <v>2224</v>
      </c>
    </row>
    <row r="1998" spans="2:9" ht="15" customHeight="1" x14ac:dyDescent="0.25">
      <c r="B1998" s="37" t="s">
        <v>2195</v>
      </c>
      <c r="C1998" s="26">
        <v>30</v>
      </c>
      <c r="D1998" s="38" t="s">
        <v>2713</v>
      </c>
      <c r="E1998" s="59"/>
      <c r="F1998" s="59" t="str">
        <f>IF(INDEX(I.Gas.P4C1V1,30)="","",INDEX(I.Gas.P4C1V1,30))</f>
        <v/>
      </c>
      <c r="G1998" s="59"/>
      <c r="H1998" s="26" t="str">
        <f>IF(OR(I.Developer.P4=FALSE,I.Facility.StandardPart&lt;&gt;"Part 2"),"Complete",IF(I.Product.P4GasToPower="No","Complete",IF(AND(I.Gas.P4Count&gt;=30,F1998=""),"Incomplete","Complete")))</f>
        <v>Complete</v>
      </c>
      <c r="I1998" s="39" t="s">
        <v>2225</v>
      </c>
    </row>
    <row r="1999" spans="2:9" ht="15" customHeight="1" x14ac:dyDescent="0.25">
      <c r="B1999" s="37" t="s">
        <v>2195</v>
      </c>
      <c r="C1999" s="26">
        <v>31</v>
      </c>
      <c r="D1999" s="38" t="s">
        <v>2713</v>
      </c>
      <c r="E1999" s="59"/>
      <c r="F1999" s="59" t="str">
        <f>IF(INDEX(I.Gas.P4C1V1,31)="","",INDEX(I.Gas.P4C1V1,31))</f>
        <v/>
      </c>
      <c r="G1999" s="59"/>
      <c r="H1999" s="26" t="str">
        <f>IF(OR(I.Developer.P4=FALSE,I.Facility.StandardPart&lt;&gt;"Part 2"),"Complete",IF(I.Product.P4GasToPower="No","Complete",IF(AND(I.Gas.P4Count&gt;=31,F1999=""),"Incomplete","Complete")))</f>
        <v>Complete</v>
      </c>
      <c r="I1999" s="39" t="s">
        <v>2226</v>
      </c>
    </row>
    <row r="2000" spans="2:9" ht="15" customHeight="1" x14ac:dyDescent="0.25">
      <c r="B2000" s="37" t="s">
        <v>2195</v>
      </c>
      <c r="C2000" s="26">
        <v>32</v>
      </c>
      <c r="D2000" s="38" t="s">
        <v>2713</v>
      </c>
      <c r="E2000" s="59"/>
      <c r="F2000" s="59" t="str">
        <f>IF(INDEX(I.Gas.P4C1V1,32)="","",INDEX(I.Gas.P4C1V1,32))</f>
        <v/>
      </c>
      <c r="G2000" s="59"/>
      <c r="H2000" s="26" t="str">
        <f>IF(OR(I.Developer.P4=FALSE,I.Facility.StandardPart&lt;&gt;"Part 2"),"Complete",IF(I.Product.P4GasToPower="No","Complete",IF(AND(I.Gas.P4Count&gt;=32,F2000=""),"Incomplete","Complete")))</f>
        <v>Complete</v>
      </c>
      <c r="I2000" s="39" t="s">
        <v>2227</v>
      </c>
    </row>
    <row r="2001" spans="2:9" ht="15" customHeight="1" x14ac:dyDescent="0.25">
      <c r="B2001" s="37" t="s">
        <v>2195</v>
      </c>
      <c r="C2001" s="26">
        <v>33</v>
      </c>
      <c r="D2001" s="38" t="s">
        <v>2713</v>
      </c>
      <c r="E2001" s="59"/>
      <c r="F2001" s="59" t="str">
        <f>IF(INDEX(I.Gas.P4C1V1,33)="","",INDEX(I.Gas.P4C1V1,33))</f>
        <v/>
      </c>
      <c r="G2001" s="59"/>
      <c r="H2001" s="26" t="str">
        <f>IF(OR(I.Developer.P4=FALSE,I.Facility.StandardPart&lt;&gt;"Part 2"),"Complete",IF(I.Product.P4GasToPower="No","Complete",IF(AND(I.Gas.P4Count&gt;=33,F2001=""),"Incomplete","Complete")))</f>
        <v>Complete</v>
      </c>
      <c r="I2001" s="39" t="s">
        <v>2228</v>
      </c>
    </row>
    <row r="2002" spans="2:9" ht="15" customHeight="1" x14ac:dyDescent="0.25">
      <c r="B2002" s="37" t="s">
        <v>2195</v>
      </c>
      <c r="C2002" s="26">
        <v>34</v>
      </c>
      <c r="D2002" s="38" t="s">
        <v>2713</v>
      </c>
      <c r="E2002" s="59"/>
      <c r="F2002" s="59" t="str">
        <f>IF(INDEX(I.Gas.P4C1V1,34)="","",INDEX(I.Gas.P4C1V1,34))</f>
        <v/>
      </c>
      <c r="G2002" s="59"/>
      <c r="H2002" s="26" t="str">
        <f>IF(OR(I.Developer.P4=FALSE,I.Facility.StandardPart&lt;&gt;"Part 2"),"Complete",IF(I.Product.P4GasToPower="No","Complete",IF(AND(I.Gas.P4Count&gt;=34,F2002=""),"Incomplete","Complete")))</f>
        <v>Complete</v>
      </c>
      <c r="I2002" s="39" t="s">
        <v>2229</v>
      </c>
    </row>
    <row r="2003" spans="2:9" ht="15" customHeight="1" x14ac:dyDescent="0.25">
      <c r="B2003" s="37" t="s">
        <v>2195</v>
      </c>
      <c r="C2003" s="26">
        <v>35</v>
      </c>
      <c r="D2003" s="38" t="s">
        <v>2713</v>
      </c>
      <c r="E2003" s="59"/>
      <c r="F2003" s="59" t="str">
        <f>IF(INDEX(I.Gas.P4C1V1,35)="","",INDEX(I.Gas.P4C1V1,35))</f>
        <v/>
      </c>
      <c r="G2003" s="59"/>
      <c r="H2003" s="26" t="str">
        <f>IF(OR(I.Developer.P4=FALSE,I.Facility.StandardPart&lt;&gt;"Part 2"),"Complete",IF(I.Product.P4GasToPower="No","Complete",IF(AND(I.Gas.P4Count&gt;=35,F2003=""),"Incomplete","Complete")))</f>
        <v>Complete</v>
      </c>
      <c r="I2003" s="39" t="s">
        <v>2230</v>
      </c>
    </row>
    <row r="2004" spans="2:9" ht="15" customHeight="1" x14ac:dyDescent="0.25">
      <c r="B2004" s="37" t="s">
        <v>2195</v>
      </c>
      <c r="C2004" s="26">
        <v>36</v>
      </c>
      <c r="D2004" s="38" t="s">
        <v>2713</v>
      </c>
      <c r="E2004" s="59"/>
      <c r="F2004" s="59" t="str">
        <f>IF(INDEX(I.Gas.P4C1V1,36)="","",INDEX(I.Gas.P4C1V1,36))</f>
        <v/>
      </c>
      <c r="G2004" s="59"/>
      <c r="H2004" s="26" t="str">
        <f>IF(OR(I.Developer.P4=FALSE,I.Facility.StandardPart&lt;&gt;"Part 2"),"Complete",IF(I.Product.P4GasToPower="No","Complete",IF(AND(I.Gas.P4Count&gt;=36,F2004=""),"Incomplete","Complete")))</f>
        <v>Complete</v>
      </c>
      <c r="I2004" s="39" t="s">
        <v>2231</v>
      </c>
    </row>
    <row r="2005" spans="2:9" ht="15" customHeight="1" x14ac:dyDescent="0.25">
      <c r="B2005" s="37" t="s">
        <v>2195</v>
      </c>
      <c r="C2005" s="26">
        <v>37</v>
      </c>
      <c r="D2005" s="38" t="s">
        <v>2713</v>
      </c>
      <c r="E2005" s="59"/>
      <c r="F2005" s="59" t="str">
        <f>IF(INDEX(I.Gas.P4C1V1,37)="","",INDEX(I.Gas.P4C1V1,37))</f>
        <v/>
      </c>
      <c r="G2005" s="59"/>
      <c r="H2005" s="26" t="str">
        <f>IF(OR(I.Developer.P4=FALSE,I.Facility.StandardPart&lt;&gt;"Part 2"),"Complete",IF(I.Product.P4GasToPower="No","Complete",IF(AND(I.Gas.P4Count&gt;=37,F2005=""),"Incomplete","Complete")))</f>
        <v>Complete</v>
      </c>
      <c r="I2005" s="39" t="s">
        <v>2232</v>
      </c>
    </row>
    <row r="2006" spans="2:9" ht="15" customHeight="1" x14ac:dyDescent="0.25">
      <c r="B2006" s="37" t="s">
        <v>2195</v>
      </c>
      <c r="C2006" s="26">
        <v>38</v>
      </c>
      <c r="D2006" s="38" t="s">
        <v>2713</v>
      </c>
      <c r="E2006" s="59"/>
      <c r="F2006" s="59" t="str">
        <f>IF(INDEX(I.Gas.P4C1V1,38)="","",INDEX(I.Gas.P4C1V1,38))</f>
        <v/>
      </c>
      <c r="G2006" s="59"/>
      <c r="H2006" s="26" t="str">
        <f>IF(OR(I.Developer.P4=FALSE,I.Facility.StandardPart&lt;&gt;"Part 2"),"Complete",IF(I.Product.P4GasToPower="No","Complete",IF(AND(I.Gas.P4Count&gt;=38,F2006=""),"Incomplete","Complete")))</f>
        <v>Complete</v>
      </c>
      <c r="I2006" s="39" t="s">
        <v>2233</v>
      </c>
    </row>
    <row r="2007" spans="2:9" ht="15" customHeight="1" x14ac:dyDescent="0.25">
      <c r="B2007" s="37" t="s">
        <v>2195</v>
      </c>
      <c r="C2007" s="26">
        <v>39</v>
      </c>
      <c r="D2007" s="38" t="s">
        <v>2713</v>
      </c>
      <c r="E2007" s="59"/>
      <c r="F2007" s="59" t="str">
        <f>IF(INDEX(I.Gas.P4C1V1,39)="","",INDEX(I.Gas.P4C1V1,39))</f>
        <v/>
      </c>
      <c r="G2007" s="59"/>
      <c r="H2007" s="26" t="str">
        <f>IF(OR(I.Developer.P4=FALSE,I.Facility.StandardPart&lt;&gt;"Part 2"),"Complete",IF(I.Product.P4GasToPower="No","Complete",IF(AND(I.Gas.P4Count&gt;=39,F2007=""),"Incomplete","Complete")))</f>
        <v>Complete</v>
      </c>
      <c r="I2007" s="39" t="s">
        <v>2234</v>
      </c>
    </row>
    <row r="2008" spans="2:9" ht="15" customHeight="1" x14ac:dyDescent="0.25">
      <c r="B2008" s="37" t="s">
        <v>2195</v>
      </c>
      <c r="C2008" s="26">
        <v>40</v>
      </c>
      <c r="D2008" s="38" t="s">
        <v>2713</v>
      </c>
      <c r="E2008" s="59"/>
      <c r="F2008" s="59" t="str">
        <f>IF(INDEX(I.Gas.P4C1V1,40)="","",INDEX(I.Gas.P4C1V1,40))</f>
        <v/>
      </c>
      <c r="G2008" s="59"/>
      <c r="H2008" s="26" t="str">
        <f>IF(OR(I.Developer.P4=FALSE,I.Facility.StandardPart&lt;&gt;"Part 2"),"Complete",IF(I.Product.P4GasToPower="No","Complete",IF(AND(I.Gas.P4Count&gt;=40,F2008=""),"Incomplete","Complete")))</f>
        <v>Complete</v>
      </c>
      <c r="I2008" s="39" t="s">
        <v>2235</v>
      </c>
    </row>
    <row r="2009" spans="2:9" ht="15" customHeight="1" x14ac:dyDescent="0.25">
      <c r="B2009" s="37" t="s">
        <v>2195</v>
      </c>
      <c r="C2009" s="26">
        <v>41</v>
      </c>
      <c r="D2009" s="38" t="s">
        <v>2713</v>
      </c>
      <c r="E2009" s="59"/>
      <c r="F2009" s="59" t="str">
        <f>IF(INDEX(I.Gas.P4C1V1,41)="","",INDEX(I.Gas.P4C1V1,41))</f>
        <v/>
      </c>
      <c r="G2009" s="59"/>
      <c r="H2009" s="26" t="str">
        <f>IF(OR(I.Developer.P4=FALSE,I.Facility.StandardPart&lt;&gt;"Part 2"),"Complete",IF(I.Product.P4GasToPower="No","Complete",IF(AND(I.Gas.P4Count&gt;=41,F2009=""),"Incomplete","Complete")))</f>
        <v>Complete</v>
      </c>
      <c r="I2009" s="39" t="s">
        <v>2236</v>
      </c>
    </row>
    <row r="2010" spans="2:9" ht="15" customHeight="1" x14ac:dyDescent="0.25">
      <c r="B2010" s="37" t="s">
        <v>2195</v>
      </c>
      <c r="C2010" s="26">
        <v>42</v>
      </c>
      <c r="D2010" s="38" t="s">
        <v>2713</v>
      </c>
      <c r="E2010" s="59"/>
      <c r="F2010" s="59" t="str">
        <f>IF(INDEX(I.Gas.P4C1V1,42)="","",INDEX(I.Gas.P4C1V1,42))</f>
        <v/>
      </c>
      <c r="G2010" s="59"/>
      <c r="H2010" s="26" t="str">
        <f>IF(OR(I.Developer.P4=FALSE,I.Facility.StandardPart&lt;&gt;"Part 2"),"Complete",IF(I.Product.P4GasToPower="No","Complete",IF(AND(I.Gas.P4Count&gt;=42,F2010=""),"Incomplete","Complete")))</f>
        <v>Complete</v>
      </c>
      <c r="I2010" s="39" t="s">
        <v>2237</v>
      </c>
    </row>
    <row r="2011" spans="2:9" ht="15" customHeight="1" x14ac:dyDescent="0.25">
      <c r="B2011" s="37" t="s">
        <v>2195</v>
      </c>
      <c r="C2011" s="26">
        <v>43</v>
      </c>
      <c r="D2011" s="38" t="s">
        <v>2713</v>
      </c>
      <c r="E2011" s="59"/>
      <c r="F2011" s="59" t="str">
        <f>IF(INDEX(I.Gas.P4C1V1,43)="","",INDEX(I.Gas.P4C1V1,43))</f>
        <v/>
      </c>
      <c r="G2011" s="59"/>
      <c r="H2011" s="26" t="str">
        <f>IF(OR(I.Developer.P4=FALSE,I.Facility.StandardPart&lt;&gt;"Part 2"),"Complete",IF(I.Product.P4GasToPower="No","Complete",IF(AND(I.Gas.P4Count&gt;=43,F2011=""),"Incomplete","Complete")))</f>
        <v>Complete</v>
      </c>
      <c r="I2011" s="39" t="s">
        <v>2238</v>
      </c>
    </row>
    <row r="2012" spans="2:9" ht="15" customHeight="1" x14ac:dyDescent="0.25">
      <c r="B2012" s="37" t="s">
        <v>2195</v>
      </c>
      <c r="C2012" s="26">
        <v>44</v>
      </c>
      <c r="D2012" s="38" t="s">
        <v>2713</v>
      </c>
      <c r="E2012" s="59"/>
      <c r="F2012" s="59" t="str">
        <f>IF(INDEX(I.Gas.P4C1V1,44)="","",INDEX(I.Gas.P4C1V1,44))</f>
        <v/>
      </c>
      <c r="G2012" s="59"/>
      <c r="H2012" s="26" t="str">
        <f>IF(OR(I.Developer.P4=FALSE,I.Facility.StandardPart&lt;&gt;"Part 2"),"Complete",IF(I.Product.P4GasToPower="No","Complete",IF(AND(I.Gas.P4Count&gt;=44,F2012=""),"Incomplete","Complete")))</f>
        <v>Complete</v>
      </c>
      <c r="I2012" s="39" t="s">
        <v>2239</v>
      </c>
    </row>
    <row r="2013" spans="2:9" ht="15" customHeight="1" x14ac:dyDescent="0.25">
      <c r="B2013" s="37" t="s">
        <v>2195</v>
      </c>
      <c r="C2013" s="26">
        <v>45</v>
      </c>
      <c r="D2013" s="38" t="s">
        <v>2713</v>
      </c>
      <c r="E2013" s="59"/>
      <c r="F2013" s="59" t="str">
        <f>IF(INDEX(I.Gas.P4C1V1,45)="","",INDEX(I.Gas.P4C1V1,45))</f>
        <v/>
      </c>
      <c r="G2013" s="59"/>
      <c r="H2013" s="26" t="str">
        <f>IF(OR(I.Developer.P4=FALSE,I.Facility.StandardPart&lt;&gt;"Part 2"),"Complete",IF(I.Product.P4GasToPower="No","Complete",IF(AND(I.Gas.P4Count&gt;=45,F2013=""),"Incomplete","Complete")))</f>
        <v>Complete</v>
      </c>
      <c r="I2013" s="39" t="s">
        <v>2240</v>
      </c>
    </row>
    <row r="2014" spans="2:9" ht="15" customHeight="1" x14ac:dyDescent="0.25">
      <c r="B2014" s="37" t="s">
        <v>2195</v>
      </c>
      <c r="C2014" s="26">
        <v>46</v>
      </c>
      <c r="D2014" s="38" t="s">
        <v>2713</v>
      </c>
      <c r="E2014" s="59"/>
      <c r="F2014" s="59" t="str">
        <f>IF(INDEX(I.Gas.P4C1V1,46)="","",INDEX(I.Gas.P4C1V1,46))</f>
        <v/>
      </c>
      <c r="G2014" s="59"/>
      <c r="H2014" s="26" t="str">
        <f>IF(OR(I.Developer.P4=FALSE,I.Facility.StandardPart&lt;&gt;"Part 2"),"Complete",IF(I.Product.P4GasToPower="No","Complete",IF(AND(I.Gas.P4Count&gt;=46,F2014=""),"Incomplete","Complete")))</f>
        <v>Complete</v>
      </c>
      <c r="I2014" s="39" t="s">
        <v>2241</v>
      </c>
    </row>
    <row r="2015" spans="2:9" ht="15" customHeight="1" x14ac:dyDescent="0.25">
      <c r="B2015" s="37" t="s">
        <v>2195</v>
      </c>
      <c r="C2015" s="26">
        <v>47</v>
      </c>
      <c r="D2015" s="38" t="s">
        <v>2713</v>
      </c>
      <c r="E2015" s="59"/>
      <c r="F2015" s="59" t="str">
        <f>IF(INDEX(I.Gas.P4C1V1,47)="","",INDEX(I.Gas.P4C1V1,47))</f>
        <v/>
      </c>
      <c r="G2015" s="59"/>
      <c r="H2015" s="26" t="str">
        <f>IF(OR(I.Developer.P4=FALSE,I.Facility.StandardPart&lt;&gt;"Part 2"),"Complete",IF(I.Product.P4GasToPower="No","Complete",IF(AND(I.Gas.P4Count&gt;=47,F2015=""),"Incomplete","Complete")))</f>
        <v>Complete</v>
      </c>
      <c r="I2015" s="39" t="s">
        <v>2242</v>
      </c>
    </row>
    <row r="2016" spans="2:9" ht="15" customHeight="1" x14ac:dyDescent="0.25">
      <c r="B2016" s="37" t="s">
        <v>2195</v>
      </c>
      <c r="C2016" s="26">
        <v>48</v>
      </c>
      <c r="D2016" s="38" t="s">
        <v>2713</v>
      </c>
      <c r="E2016" s="59"/>
      <c r="F2016" s="59" t="str">
        <f>IF(INDEX(I.Gas.P4C1V1,48)="","",INDEX(I.Gas.P4C1V1,48))</f>
        <v/>
      </c>
      <c r="G2016" s="59"/>
      <c r="H2016" s="26" t="str">
        <f>IF(OR(I.Developer.P4=FALSE,I.Facility.StandardPart&lt;&gt;"Part 2"),"Complete",IF(I.Product.P4GasToPower="No","Complete",IF(AND(I.Gas.P4Count&gt;=48,F2016=""),"Incomplete","Complete")))</f>
        <v>Complete</v>
      </c>
      <c r="I2016" s="39" t="s">
        <v>2243</v>
      </c>
    </row>
    <row r="2017" spans="2:9" ht="15" customHeight="1" x14ac:dyDescent="0.25">
      <c r="B2017" s="37" t="s">
        <v>2195</v>
      </c>
      <c r="C2017" s="26">
        <v>49</v>
      </c>
      <c r="D2017" s="38" t="s">
        <v>2713</v>
      </c>
      <c r="E2017" s="59"/>
      <c r="F2017" s="59" t="str">
        <f>IF(INDEX(I.Gas.P4C1V1,49)="","",INDEX(I.Gas.P4C1V1,49))</f>
        <v/>
      </c>
      <c r="G2017" s="59"/>
      <c r="H2017" s="26" t="str">
        <f>IF(OR(I.Developer.P4=FALSE,I.Facility.StandardPart&lt;&gt;"Part 2"),"Complete",IF(I.Product.P4GasToPower="No","Complete",IF(AND(I.Gas.P4Count&gt;=49,F2017=""),"Incomplete","Complete")))</f>
        <v>Complete</v>
      </c>
      <c r="I2017" s="39" t="s">
        <v>2244</v>
      </c>
    </row>
    <row r="2018" spans="2:9" ht="15" customHeight="1" x14ac:dyDescent="0.25">
      <c r="B2018" s="40" t="s">
        <v>2195</v>
      </c>
      <c r="C2018" s="46">
        <v>50</v>
      </c>
      <c r="D2018" s="44" t="s">
        <v>2713</v>
      </c>
      <c r="E2018" s="63"/>
      <c r="F2018" s="63" t="str">
        <f>IF(INDEX(I.Gas.P4C1V1,50)="","",INDEX(I.Gas.P4C1V1,50))</f>
        <v/>
      </c>
      <c r="G2018" s="63"/>
      <c r="H2018" s="46" t="str">
        <f>IF(OR(I.Developer.P4=FALSE,I.Facility.StandardPart&lt;&gt;"Part 2"),"Complete",IF(I.Product.P4GasToPower="No","Complete",IF(AND(I.Gas.P4Count&gt;=50,F2018=""),"Incomplete","Complete")))</f>
        <v>Complete</v>
      </c>
      <c r="I2018" s="47" t="s">
        <v>2245</v>
      </c>
    </row>
    <row r="2019" spans="2:9" ht="15" customHeight="1" x14ac:dyDescent="0.25">
      <c r="B2019" s="37" t="s">
        <v>2246</v>
      </c>
      <c r="C2019" s="26">
        <v>1</v>
      </c>
      <c r="D2019" s="38" t="s">
        <v>2714</v>
      </c>
      <c r="E2019" s="59"/>
      <c r="F2019" s="59" t="str">
        <f>IF(INDEX(I.Gas.P4C1E1,1)="","",INDEX(I.Gas.P4C1E1,1))</f>
        <v/>
      </c>
      <c r="G2019" s="59"/>
      <c r="H2019" s="26" t="str">
        <f>IF(OR(I.Developer.P4=FALSE,I.Facility.StandardPart="Part 2"),"Complete",IF(I.Product.P4GasToPower="No","Complete",IF(AND(I.Gas.P4Count&gt;=1,F2019=""),"Incomplete","Complete")))</f>
        <v>Complete</v>
      </c>
      <c r="I2019" s="39" t="s">
        <v>2247</v>
      </c>
    </row>
    <row r="2020" spans="2:9" ht="15" customHeight="1" x14ac:dyDescent="0.25">
      <c r="B2020" s="37" t="s">
        <v>2246</v>
      </c>
      <c r="C2020" s="26">
        <v>2</v>
      </c>
      <c r="D2020" s="38" t="s">
        <v>2714</v>
      </c>
      <c r="E2020" s="59"/>
      <c r="F2020" s="59" t="str">
        <f>IF(INDEX(I.Gas.P4C1E1,2)="","",INDEX(I.Gas.P4C1E1,2))</f>
        <v/>
      </c>
      <c r="G2020" s="59"/>
      <c r="H2020" s="26" t="str">
        <f>IF(OR(I.Developer.P4=FALSE,I.Facility.StandardPart="Part 2"),"Complete",IF(I.Product.P4GasToPower="No","Complete",IF(AND(I.Gas.P4Count&gt;=2,F2020=""),"Incomplete","Complete")))</f>
        <v>Complete</v>
      </c>
      <c r="I2020" s="39" t="s">
        <v>2248</v>
      </c>
    </row>
    <row r="2021" spans="2:9" ht="15" customHeight="1" x14ac:dyDescent="0.25">
      <c r="B2021" s="37" t="s">
        <v>2246</v>
      </c>
      <c r="C2021" s="26">
        <v>3</v>
      </c>
      <c r="D2021" s="38" t="s">
        <v>2714</v>
      </c>
      <c r="E2021" s="59"/>
      <c r="F2021" s="59" t="str">
        <f>IF(INDEX(I.Gas.P4C1E1,3)="","",INDEX(I.Gas.P4C1E1,3))</f>
        <v/>
      </c>
      <c r="G2021" s="59"/>
      <c r="H2021" s="26" t="str">
        <f>IF(OR(I.Developer.P4=FALSE,I.Facility.StandardPart="Part 2"),"Complete",IF(I.Product.P4GasToPower="No","Complete",IF(AND(I.Gas.P4Count&gt;=3,F2021=""),"Incomplete","Complete")))</f>
        <v>Complete</v>
      </c>
      <c r="I2021" s="39" t="s">
        <v>2249</v>
      </c>
    </row>
    <row r="2022" spans="2:9" ht="15" customHeight="1" x14ac:dyDescent="0.25">
      <c r="B2022" s="37" t="s">
        <v>2246</v>
      </c>
      <c r="C2022" s="26">
        <v>4</v>
      </c>
      <c r="D2022" s="38" t="s">
        <v>2714</v>
      </c>
      <c r="E2022" s="59"/>
      <c r="F2022" s="59" t="str">
        <f>IF(INDEX(I.Gas.P4C1E1,4)="","",INDEX(I.Gas.P4C1E1,4))</f>
        <v/>
      </c>
      <c r="G2022" s="59"/>
      <c r="H2022" s="26" t="str">
        <f>IF(OR(I.Developer.P4=FALSE,I.Facility.StandardPart="Part 2"),"Complete",IF(I.Product.P4GasToPower="No","Complete",IF(AND(I.Gas.P4Count&gt;=4,F2022=""),"Incomplete","Complete")))</f>
        <v>Complete</v>
      </c>
      <c r="I2022" s="39" t="s">
        <v>2250</v>
      </c>
    </row>
    <row r="2023" spans="2:9" ht="15" customHeight="1" x14ac:dyDescent="0.25">
      <c r="B2023" s="37" t="s">
        <v>2246</v>
      </c>
      <c r="C2023" s="26">
        <v>5</v>
      </c>
      <c r="D2023" s="38" t="s">
        <v>2714</v>
      </c>
      <c r="E2023" s="59"/>
      <c r="F2023" s="59" t="str">
        <f>IF(INDEX(I.Gas.P4C1E1,5)="","",INDEX(I.Gas.P4C1E1,5))</f>
        <v/>
      </c>
      <c r="G2023" s="59"/>
      <c r="H2023" s="26" t="str">
        <f>IF(OR(I.Developer.P4=FALSE,I.Facility.StandardPart="Part 2"),"Complete",IF(I.Product.P4GasToPower="No","Complete",IF(AND(I.Gas.P4Count&gt;=5,F2023=""),"Incomplete","Complete")))</f>
        <v>Complete</v>
      </c>
      <c r="I2023" s="39" t="s">
        <v>2251</v>
      </c>
    </row>
    <row r="2024" spans="2:9" ht="15" customHeight="1" x14ac:dyDescent="0.25">
      <c r="B2024" s="37" t="s">
        <v>2246</v>
      </c>
      <c r="C2024" s="26">
        <v>6</v>
      </c>
      <c r="D2024" s="38" t="s">
        <v>2714</v>
      </c>
      <c r="E2024" s="59"/>
      <c r="F2024" s="59" t="str">
        <f>IF(INDEX(I.Gas.P4C1E1,6)="","",INDEX(I.Gas.P4C1E1,6))</f>
        <v/>
      </c>
      <c r="G2024" s="59"/>
      <c r="H2024" s="26" t="str">
        <f>IF(OR(I.Developer.P4=FALSE,I.Facility.StandardPart="Part 2"),"Complete",IF(I.Product.P4GasToPower="No","Complete",IF(AND(I.Gas.P4Count&gt;=6,F2024=""),"Incomplete","Complete")))</f>
        <v>Complete</v>
      </c>
      <c r="I2024" s="39" t="s">
        <v>2252</v>
      </c>
    </row>
    <row r="2025" spans="2:9" ht="15" customHeight="1" x14ac:dyDescent="0.25">
      <c r="B2025" s="37" t="s">
        <v>2246</v>
      </c>
      <c r="C2025" s="26">
        <v>7</v>
      </c>
      <c r="D2025" s="38" t="s">
        <v>2714</v>
      </c>
      <c r="E2025" s="59"/>
      <c r="F2025" s="59" t="str">
        <f>IF(INDEX(I.Gas.P4C1E1,7)="","",INDEX(I.Gas.P4C1E1,7))</f>
        <v/>
      </c>
      <c r="G2025" s="59"/>
      <c r="H2025" s="26" t="str">
        <f>IF(OR(I.Developer.P4=FALSE,I.Facility.StandardPart="Part 2"),"Complete",IF(I.Product.P4GasToPower="No","Complete",IF(AND(I.Gas.P4Count&gt;=7,F2025=""),"Incomplete","Complete")))</f>
        <v>Complete</v>
      </c>
      <c r="I2025" s="39" t="s">
        <v>2253</v>
      </c>
    </row>
    <row r="2026" spans="2:9" ht="15" customHeight="1" x14ac:dyDescent="0.25">
      <c r="B2026" s="37" t="s">
        <v>2246</v>
      </c>
      <c r="C2026" s="26">
        <v>8</v>
      </c>
      <c r="D2026" s="38" t="s">
        <v>2714</v>
      </c>
      <c r="E2026" s="59"/>
      <c r="F2026" s="59" t="str">
        <f>IF(INDEX(I.Gas.P4C1E1,8)="","",INDEX(I.Gas.P4C1E1,8))</f>
        <v/>
      </c>
      <c r="G2026" s="59"/>
      <c r="H2026" s="26" t="str">
        <f>IF(OR(I.Developer.P4=FALSE,I.Facility.StandardPart="Part 2"),"Complete",IF(I.Product.P4GasToPower="No","Complete",IF(AND(I.Gas.P4Count&gt;=8,F2026=""),"Incomplete","Complete")))</f>
        <v>Complete</v>
      </c>
      <c r="I2026" s="39" t="s">
        <v>2254</v>
      </c>
    </row>
    <row r="2027" spans="2:9" ht="15" customHeight="1" x14ac:dyDescent="0.25">
      <c r="B2027" s="37" t="s">
        <v>2246</v>
      </c>
      <c r="C2027" s="26">
        <v>9</v>
      </c>
      <c r="D2027" s="38" t="s">
        <v>2714</v>
      </c>
      <c r="E2027" s="59"/>
      <c r="F2027" s="59" t="str">
        <f>IF(INDEX(I.Gas.P4C1E1,9)="","",INDEX(I.Gas.P4C1E1,9))</f>
        <v/>
      </c>
      <c r="G2027" s="59"/>
      <c r="H2027" s="26" t="str">
        <f>IF(OR(I.Developer.P4=FALSE,I.Facility.StandardPart="Part 2"),"Complete",IF(I.Product.P4GasToPower="No","Complete",IF(AND(I.Gas.P4Count&gt;=9,F2027=""),"Incomplete","Complete")))</f>
        <v>Complete</v>
      </c>
      <c r="I2027" s="39" t="s">
        <v>2255</v>
      </c>
    </row>
    <row r="2028" spans="2:9" ht="15" customHeight="1" x14ac:dyDescent="0.25">
      <c r="B2028" s="37" t="s">
        <v>2246</v>
      </c>
      <c r="C2028" s="26">
        <v>10</v>
      </c>
      <c r="D2028" s="38" t="s">
        <v>2714</v>
      </c>
      <c r="E2028" s="59"/>
      <c r="F2028" s="59" t="str">
        <f>IF(INDEX(I.Gas.P4C1E1,10)="","",INDEX(I.Gas.P4C1E1,10))</f>
        <v/>
      </c>
      <c r="G2028" s="59"/>
      <c r="H2028" s="26" t="str">
        <f>IF(OR(I.Developer.P4=FALSE,I.Facility.StandardPart="Part 2"),"Complete",IF(I.Product.P4GasToPower="No","Complete",IF(AND(I.Gas.P4Count&gt;=10,F2028=""),"Incomplete","Complete")))</f>
        <v>Complete</v>
      </c>
      <c r="I2028" s="39" t="s">
        <v>2256</v>
      </c>
    </row>
    <row r="2029" spans="2:9" ht="15" customHeight="1" x14ac:dyDescent="0.25">
      <c r="B2029" s="37" t="s">
        <v>2246</v>
      </c>
      <c r="C2029" s="26">
        <v>11</v>
      </c>
      <c r="D2029" s="38" t="s">
        <v>2714</v>
      </c>
      <c r="E2029" s="59"/>
      <c r="F2029" s="59" t="str">
        <f>IF(INDEX(I.Gas.P4C1E1,11)="","",INDEX(I.Gas.P4C1E1,11))</f>
        <v/>
      </c>
      <c r="G2029" s="59"/>
      <c r="H2029" s="26" t="str">
        <f>IF(OR(I.Developer.P4=FALSE,I.Facility.StandardPart="Part 2"),"Complete",IF(I.Product.P4GasToPower="No","Complete",IF(AND(I.Gas.P4Count&gt;=11,F2029=""),"Incomplete","Complete")))</f>
        <v>Complete</v>
      </c>
      <c r="I2029" s="39" t="s">
        <v>2257</v>
      </c>
    </row>
    <row r="2030" spans="2:9" ht="15" customHeight="1" x14ac:dyDescent="0.25">
      <c r="B2030" s="37" t="s">
        <v>2246</v>
      </c>
      <c r="C2030" s="26">
        <v>12</v>
      </c>
      <c r="D2030" s="38" t="s">
        <v>2714</v>
      </c>
      <c r="E2030" s="59"/>
      <c r="F2030" s="59" t="str">
        <f>IF(INDEX(I.Gas.P4C1E1,12)="","",INDEX(I.Gas.P4C1E1,12))</f>
        <v/>
      </c>
      <c r="G2030" s="59"/>
      <c r="H2030" s="26" t="str">
        <f>IF(OR(I.Developer.P4=FALSE,I.Facility.StandardPart="Part 2"),"Complete",IF(I.Product.P4GasToPower="No","Complete",IF(AND(I.Gas.P4Count&gt;=12,F2030=""),"Incomplete","Complete")))</f>
        <v>Complete</v>
      </c>
      <c r="I2030" s="39" t="s">
        <v>2258</v>
      </c>
    </row>
    <row r="2031" spans="2:9" ht="15" customHeight="1" x14ac:dyDescent="0.25">
      <c r="B2031" s="37" t="s">
        <v>2246</v>
      </c>
      <c r="C2031" s="26">
        <v>13</v>
      </c>
      <c r="D2031" s="38" t="s">
        <v>2714</v>
      </c>
      <c r="E2031" s="59"/>
      <c r="F2031" s="59" t="str">
        <f>IF(INDEX(I.Gas.P4C1E1,13)="","",INDEX(I.Gas.P4C1E1,13))</f>
        <v/>
      </c>
      <c r="G2031" s="59"/>
      <c r="H2031" s="26" t="str">
        <f>IF(OR(I.Developer.P4=FALSE,I.Facility.StandardPart="Part 2"),"Complete",IF(I.Product.P4GasToPower="No","Complete",IF(AND(I.Gas.P4Count&gt;=13,F2031=""),"Incomplete","Complete")))</f>
        <v>Complete</v>
      </c>
      <c r="I2031" s="39" t="s">
        <v>2259</v>
      </c>
    </row>
    <row r="2032" spans="2:9" ht="15" customHeight="1" x14ac:dyDescent="0.25">
      <c r="B2032" s="37" t="s">
        <v>2246</v>
      </c>
      <c r="C2032" s="26">
        <v>14</v>
      </c>
      <c r="D2032" s="38" t="s">
        <v>2714</v>
      </c>
      <c r="E2032" s="59"/>
      <c r="F2032" s="59" t="str">
        <f>IF(INDEX(I.Gas.P4C1E1,14)="","",INDEX(I.Gas.P4C1E1,14))</f>
        <v/>
      </c>
      <c r="G2032" s="59"/>
      <c r="H2032" s="26" t="str">
        <f>IF(OR(I.Developer.P4=FALSE,I.Facility.StandardPart="Part 2"),"Complete",IF(I.Product.P4GasToPower="No","Complete",IF(AND(I.Gas.P4Count&gt;=14,F2032=""),"Incomplete","Complete")))</f>
        <v>Complete</v>
      </c>
      <c r="I2032" s="39" t="s">
        <v>2260</v>
      </c>
    </row>
    <row r="2033" spans="2:9" ht="15" customHeight="1" x14ac:dyDescent="0.25">
      <c r="B2033" s="37" t="s">
        <v>2246</v>
      </c>
      <c r="C2033" s="26">
        <v>15</v>
      </c>
      <c r="D2033" s="38" t="s">
        <v>2714</v>
      </c>
      <c r="E2033" s="59"/>
      <c r="F2033" s="59" t="str">
        <f>IF(INDEX(I.Gas.P4C1E1,15)="","",INDEX(I.Gas.P4C1E1,15))</f>
        <v/>
      </c>
      <c r="G2033" s="59"/>
      <c r="H2033" s="26" t="str">
        <f>IF(OR(I.Developer.P4=FALSE,I.Facility.StandardPart="Part 2"),"Complete",IF(I.Product.P4GasToPower="No","Complete",IF(AND(I.Gas.P4Count&gt;=15,F2033=""),"Incomplete","Complete")))</f>
        <v>Complete</v>
      </c>
      <c r="I2033" s="39" t="s">
        <v>2261</v>
      </c>
    </row>
    <row r="2034" spans="2:9" ht="15" customHeight="1" x14ac:dyDescent="0.25">
      <c r="B2034" s="37" t="s">
        <v>2246</v>
      </c>
      <c r="C2034" s="26">
        <v>16</v>
      </c>
      <c r="D2034" s="38" t="s">
        <v>2714</v>
      </c>
      <c r="E2034" s="59"/>
      <c r="F2034" s="59" t="str">
        <f>IF(INDEX(I.Gas.P4C1E1,16)="","",INDEX(I.Gas.P4C1E1,16))</f>
        <v/>
      </c>
      <c r="G2034" s="59"/>
      <c r="H2034" s="26" t="str">
        <f>IF(OR(I.Developer.P4=FALSE,I.Facility.StandardPart="Part 2"),"Complete",IF(I.Product.P4GasToPower="No","Complete",IF(AND(I.Gas.P4Count&gt;=16,F2034=""),"Incomplete","Complete")))</f>
        <v>Complete</v>
      </c>
      <c r="I2034" s="39" t="s">
        <v>2262</v>
      </c>
    </row>
    <row r="2035" spans="2:9" ht="15" customHeight="1" x14ac:dyDescent="0.25">
      <c r="B2035" s="37" t="s">
        <v>2246</v>
      </c>
      <c r="C2035" s="26">
        <v>17</v>
      </c>
      <c r="D2035" s="38" t="s">
        <v>2714</v>
      </c>
      <c r="E2035" s="59"/>
      <c r="F2035" s="59" t="str">
        <f>IF(INDEX(I.Gas.P4C1E1,17)="","",INDEX(I.Gas.P4C1E1,17))</f>
        <v/>
      </c>
      <c r="G2035" s="59"/>
      <c r="H2035" s="26" t="str">
        <f>IF(OR(I.Developer.P4=FALSE,I.Facility.StandardPart="Part 2"),"Complete",IF(I.Product.P4GasToPower="No","Complete",IF(AND(I.Gas.P4Count&gt;=17,F2035=""),"Incomplete","Complete")))</f>
        <v>Complete</v>
      </c>
      <c r="I2035" s="39" t="s">
        <v>2263</v>
      </c>
    </row>
    <row r="2036" spans="2:9" ht="15" customHeight="1" x14ac:dyDescent="0.25">
      <c r="B2036" s="37" t="s">
        <v>2246</v>
      </c>
      <c r="C2036" s="26">
        <v>18</v>
      </c>
      <c r="D2036" s="38" t="s">
        <v>2714</v>
      </c>
      <c r="E2036" s="59"/>
      <c r="F2036" s="59" t="str">
        <f>IF(INDEX(I.Gas.P4C1E1,18)="","",INDEX(I.Gas.P4C1E1,18))</f>
        <v/>
      </c>
      <c r="G2036" s="59"/>
      <c r="H2036" s="26" t="str">
        <f>IF(OR(I.Developer.P4=FALSE,I.Facility.StandardPart="Part 2"),"Complete",IF(I.Product.P4GasToPower="No","Complete",IF(AND(I.Gas.P4Count&gt;=18,F2036=""),"Incomplete","Complete")))</f>
        <v>Complete</v>
      </c>
      <c r="I2036" s="39" t="s">
        <v>2264</v>
      </c>
    </row>
    <row r="2037" spans="2:9" ht="15" customHeight="1" x14ac:dyDescent="0.25">
      <c r="B2037" s="37" t="s">
        <v>2246</v>
      </c>
      <c r="C2037" s="26">
        <v>19</v>
      </c>
      <c r="D2037" s="38" t="s">
        <v>2714</v>
      </c>
      <c r="E2037" s="59"/>
      <c r="F2037" s="59" t="str">
        <f>IF(INDEX(I.Gas.P4C1E1,19)="","",INDEX(I.Gas.P4C1E1,19))</f>
        <v/>
      </c>
      <c r="G2037" s="59"/>
      <c r="H2037" s="26" t="str">
        <f>IF(OR(I.Developer.P4=FALSE,I.Facility.StandardPart="Part 2"),"Complete",IF(I.Product.P4GasToPower="No","Complete",IF(AND(I.Gas.P4Count&gt;=19,F2037=""),"Incomplete","Complete")))</f>
        <v>Complete</v>
      </c>
      <c r="I2037" s="39" t="s">
        <v>2265</v>
      </c>
    </row>
    <row r="2038" spans="2:9" ht="15" customHeight="1" x14ac:dyDescent="0.25">
      <c r="B2038" s="37" t="s">
        <v>2246</v>
      </c>
      <c r="C2038" s="26">
        <v>20</v>
      </c>
      <c r="D2038" s="38" t="s">
        <v>2714</v>
      </c>
      <c r="E2038" s="59"/>
      <c r="F2038" s="59" t="str">
        <f>IF(INDEX(I.Gas.P4C1E1,20)="","",INDEX(I.Gas.P4C1E1,20))</f>
        <v/>
      </c>
      <c r="G2038" s="59"/>
      <c r="H2038" s="26" t="str">
        <f>IF(OR(I.Developer.P4=FALSE,I.Facility.StandardPart="Part 2"),"Complete",IF(I.Product.P4GasToPower="No","Complete",IF(AND(I.Gas.P4Count&gt;=20,F2038=""),"Incomplete","Complete")))</f>
        <v>Complete</v>
      </c>
      <c r="I2038" s="39" t="s">
        <v>2266</v>
      </c>
    </row>
    <row r="2039" spans="2:9" ht="15" customHeight="1" x14ac:dyDescent="0.25">
      <c r="B2039" s="37" t="s">
        <v>2246</v>
      </c>
      <c r="C2039" s="26">
        <v>21</v>
      </c>
      <c r="D2039" s="38" t="s">
        <v>2714</v>
      </c>
      <c r="E2039" s="59"/>
      <c r="F2039" s="59" t="str">
        <f>IF(INDEX(I.Gas.P4C1E1,21)="","",INDEX(I.Gas.P4C1E1,21))</f>
        <v/>
      </c>
      <c r="G2039" s="59"/>
      <c r="H2039" s="26" t="str">
        <f>IF(OR(I.Developer.P4=FALSE,I.Facility.StandardPart="Part 2"),"Complete",IF(I.Product.P4GasToPower="No","Complete",IF(AND(I.Gas.P4Count&gt;=21,F2039=""),"Incomplete","Complete")))</f>
        <v>Complete</v>
      </c>
      <c r="I2039" s="39" t="s">
        <v>2267</v>
      </c>
    </row>
    <row r="2040" spans="2:9" ht="15" customHeight="1" x14ac:dyDescent="0.25">
      <c r="B2040" s="37" t="s">
        <v>2246</v>
      </c>
      <c r="C2040" s="26">
        <v>22</v>
      </c>
      <c r="D2040" s="38" t="s">
        <v>2714</v>
      </c>
      <c r="E2040" s="59"/>
      <c r="F2040" s="59" t="str">
        <f>IF(INDEX(I.Gas.P4C1E1,22)="","",INDEX(I.Gas.P4C1E1,22))</f>
        <v/>
      </c>
      <c r="G2040" s="59"/>
      <c r="H2040" s="26" t="str">
        <f>IF(OR(I.Developer.P4=FALSE,I.Facility.StandardPart="Part 2"),"Complete",IF(I.Product.P4GasToPower="No","Complete",IF(AND(I.Gas.P4Count&gt;=22,F2040=""),"Incomplete","Complete")))</f>
        <v>Complete</v>
      </c>
      <c r="I2040" s="39" t="s">
        <v>2268</v>
      </c>
    </row>
    <row r="2041" spans="2:9" ht="15" customHeight="1" x14ac:dyDescent="0.25">
      <c r="B2041" s="37" t="s">
        <v>2246</v>
      </c>
      <c r="C2041" s="26">
        <v>23</v>
      </c>
      <c r="D2041" s="38" t="s">
        <v>2714</v>
      </c>
      <c r="E2041" s="59"/>
      <c r="F2041" s="59" t="str">
        <f>IF(INDEX(I.Gas.P4C1E1,23)="","",INDEX(I.Gas.P4C1E1,23))</f>
        <v/>
      </c>
      <c r="G2041" s="59"/>
      <c r="H2041" s="26" t="str">
        <f>IF(OR(I.Developer.P4=FALSE,I.Facility.StandardPart="Part 2"),"Complete",IF(I.Product.P4GasToPower="No","Complete",IF(AND(I.Gas.P4Count&gt;=23,F2041=""),"Incomplete","Complete")))</f>
        <v>Complete</v>
      </c>
      <c r="I2041" s="39" t="s">
        <v>2269</v>
      </c>
    </row>
    <row r="2042" spans="2:9" ht="15" customHeight="1" x14ac:dyDescent="0.25">
      <c r="B2042" s="37" t="s">
        <v>2246</v>
      </c>
      <c r="C2042" s="26">
        <v>24</v>
      </c>
      <c r="D2042" s="38" t="s">
        <v>2714</v>
      </c>
      <c r="E2042" s="59"/>
      <c r="F2042" s="59" t="str">
        <f>IF(INDEX(I.Gas.P4C1E1,24)="","",INDEX(I.Gas.P4C1E1,24))</f>
        <v/>
      </c>
      <c r="G2042" s="59"/>
      <c r="H2042" s="26" t="str">
        <f>IF(OR(I.Developer.P4=FALSE,I.Facility.StandardPart="Part 2"),"Complete",IF(I.Product.P4GasToPower="No","Complete",IF(AND(I.Gas.P4Count&gt;=24,F2042=""),"Incomplete","Complete")))</f>
        <v>Complete</v>
      </c>
      <c r="I2042" s="39" t="s">
        <v>2270</v>
      </c>
    </row>
    <row r="2043" spans="2:9" ht="15" customHeight="1" x14ac:dyDescent="0.25">
      <c r="B2043" s="37" t="s">
        <v>2246</v>
      </c>
      <c r="C2043" s="26">
        <v>25</v>
      </c>
      <c r="D2043" s="38" t="s">
        <v>2714</v>
      </c>
      <c r="E2043" s="59"/>
      <c r="F2043" s="59" t="str">
        <f>IF(INDEX(I.Gas.P4C1E1,25)="","",INDEX(I.Gas.P4C1E1,25))</f>
        <v/>
      </c>
      <c r="G2043" s="59"/>
      <c r="H2043" s="26" t="str">
        <f>IF(OR(I.Developer.P4=FALSE,I.Facility.StandardPart="Part 2"),"Complete",IF(I.Product.P4GasToPower="No","Complete",IF(AND(I.Gas.P4Count&gt;=25,F2043=""),"Incomplete","Complete")))</f>
        <v>Complete</v>
      </c>
      <c r="I2043" s="39" t="s">
        <v>2271</v>
      </c>
    </row>
    <row r="2044" spans="2:9" ht="15" customHeight="1" x14ac:dyDescent="0.25">
      <c r="B2044" s="37" t="s">
        <v>2246</v>
      </c>
      <c r="C2044" s="26">
        <v>26</v>
      </c>
      <c r="D2044" s="38" t="s">
        <v>2714</v>
      </c>
      <c r="E2044" s="59"/>
      <c r="F2044" s="59" t="str">
        <f>IF(INDEX(I.Gas.P4C1E1,26)="","",INDEX(I.Gas.P4C1E1,26))</f>
        <v/>
      </c>
      <c r="G2044" s="59"/>
      <c r="H2044" s="26" t="str">
        <f>IF(OR(I.Developer.P4=FALSE,I.Facility.StandardPart="Part 2"),"Complete",IF(I.Product.P4GasToPower="No","Complete",IF(AND(I.Gas.P4Count&gt;=26,F2044=""),"Incomplete","Complete")))</f>
        <v>Complete</v>
      </c>
      <c r="I2044" s="39" t="s">
        <v>2272</v>
      </c>
    </row>
    <row r="2045" spans="2:9" ht="15" customHeight="1" x14ac:dyDescent="0.25">
      <c r="B2045" s="37" t="s">
        <v>2246</v>
      </c>
      <c r="C2045" s="26">
        <v>27</v>
      </c>
      <c r="D2045" s="38" t="s">
        <v>2714</v>
      </c>
      <c r="E2045" s="59"/>
      <c r="F2045" s="59" t="str">
        <f>IF(INDEX(I.Gas.P4C1E1,27)="","",INDEX(I.Gas.P4C1E1,27))</f>
        <v/>
      </c>
      <c r="G2045" s="59"/>
      <c r="H2045" s="26" t="str">
        <f>IF(OR(I.Developer.P4=FALSE,I.Facility.StandardPart="Part 2"),"Complete",IF(I.Product.P4GasToPower="No","Complete",IF(AND(I.Gas.P4Count&gt;=27,F2045=""),"Incomplete","Complete")))</f>
        <v>Complete</v>
      </c>
      <c r="I2045" s="39" t="s">
        <v>2273</v>
      </c>
    </row>
    <row r="2046" spans="2:9" ht="15" customHeight="1" x14ac:dyDescent="0.25">
      <c r="B2046" s="37" t="s">
        <v>2246</v>
      </c>
      <c r="C2046" s="26">
        <v>28</v>
      </c>
      <c r="D2046" s="38" t="s">
        <v>2714</v>
      </c>
      <c r="E2046" s="59"/>
      <c r="F2046" s="59" t="str">
        <f>IF(INDEX(I.Gas.P4C1E1,28)="","",INDEX(I.Gas.P4C1E1,28))</f>
        <v/>
      </c>
      <c r="G2046" s="59"/>
      <c r="H2046" s="26" t="str">
        <f>IF(OR(I.Developer.P4=FALSE,I.Facility.StandardPart="Part 2"),"Complete",IF(I.Product.P4GasToPower="No","Complete",IF(AND(I.Gas.P4Count&gt;=28,F2046=""),"Incomplete","Complete")))</f>
        <v>Complete</v>
      </c>
      <c r="I2046" s="39" t="s">
        <v>2274</v>
      </c>
    </row>
    <row r="2047" spans="2:9" ht="15" customHeight="1" x14ac:dyDescent="0.25">
      <c r="B2047" s="37" t="s">
        <v>2246</v>
      </c>
      <c r="C2047" s="26">
        <v>29</v>
      </c>
      <c r="D2047" s="38" t="s">
        <v>2714</v>
      </c>
      <c r="E2047" s="59"/>
      <c r="F2047" s="59" t="str">
        <f>IF(INDEX(I.Gas.P4C1E1,29)="","",INDEX(I.Gas.P4C1E1,29))</f>
        <v/>
      </c>
      <c r="G2047" s="59"/>
      <c r="H2047" s="26" t="str">
        <f>IF(OR(I.Developer.P4=FALSE,I.Facility.StandardPart="Part 2"),"Complete",IF(I.Product.P4GasToPower="No","Complete",IF(AND(I.Gas.P4Count&gt;=29,F2047=""),"Incomplete","Complete")))</f>
        <v>Complete</v>
      </c>
      <c r="I2047" s="39" t="s">
        <v>2275</v>
      </c>
    </row>
    <row r="2048" spans="2:9" ht="15" customHeight="1" x14ac:dyDescent="0.25">
      <c r="B2048" s="37" t="s">
        <v>2246</v>
      </c>
      <c r="C2048" s="26">
        <v>30</v>
      </c>
      <c r="D2048" s="38" t="s">
        <v>2714</v>
      </c>
      <c r="E2048" s="59"/>
      <c r="F2048" s="59" t="str">
        <f>IF(INDEX(I.Gas.P4C1E1,30)="","",INDEX(I.Gas.P4C1E1,30))</f>
        <v/>
      </c>
      <c r="G2048" s="59"/>
      <c r="H2048" s="26" t="str">
        <f>IF(OR(I.Developer.P4=FALSE,I.Facility.StandardPart="Part 2"),"Complete",IF(I.Product.P4GasToPower="No","Complete",IF(AND(I.Gas.P4Count&gt;=30,F2048=""),"Incomplete","Complete")))</f>
        <v>Complete</v>
      </c>
      <c r="I2048" s="39" t="s">
        <v>2276</v>
      </c>
    </row>
    <row r="2049" spans="2:9" ht="15" customHeight="1" x14ac:dyDescent="0.25">
      <c r="B2049" s="37" t="s">
        <v>2246</v>
      </c>
      <c r="C2049" s="26">
        <v>31</v>
      </c>
      <c r="D2049" s="38" t="s">
        <v>2714</v>
      </c>
      <c r="E2049" s="59"/>
      <c r="F2049" s="59" t="str">
        <f>IF(INDEX(I.Gas.P4C1E1,31)="","",INDEX(I.Gas.P4C1E1,31))</f>
        <v/>
      </c>
      <c r="G2049" s="59"/>
      <c r="H2049" s="26" t="str">
        <f>IF(OR(I.Developer.P4=FALSE,I.Facility.StandardPart="Part 2"),"Complete",IF(I.Product.P4GasToPower="No","Complete",IF(AND(I.Gas.P4Count&gt;=31,F2049=""),"Incomplete","Complete")))</f>
        <v>Complete</v>
      </c>
      <c r="I2049" s="39" t="s">
        <v>2277</v>
      </c>
    </row>
    <row r="2050" spans="2:9" ht="15" customHeight="1" x14ac:dyDescent="0.25">
      <c r="B2050" s="37" t="s">
        <v>2246</v>
      </c>
      <c r="C2050" s="26">
        <v>32</v>
      </c>
      <c r="D2050" s="38" t="s">
        <v>2714</v>
      </c>
      <c r="E2050" s="59"/>
      <c r="F2050" s="59" t="str">
        <f>IF(INDEX(I.Gas.P4C1E1,32)="","",INDEX(I.Gas.P4C1E1,32))</f>
        <v/>
      </c>
      <c r="G2050" s="59"/>
      <c r="H2050" s="26" t="str">
        <f>IF(OR(I.Developer.P4=FALSE,I.Facility.StandardPart="Part 2"),"Complete",IF(I.Product.P4GasToPower="No","Complete",IF(AND(I.Gas.P4Count&gt;=32,F2050=""),"Incomplete","Complete")))</f>
        <v>Complete</v>
      </c>
      <c r="I2050" s="39" t="s">
        <v>2278</v>
      </c>
    </row>
    <row r="2051" spans="2:9" ht="15" customHeight="1" x14ac:dyDescent="0.25">
      <c r="B2051" s="37" t="s">
        <v>2246</v>
      </c>
      <c r="C2051" s="26">
        <v>33</v>
      </c>
      <c r="D2051" s="38" t="s">
        <v>2714</v>
      </c>
      <c r="E2051" s="59"/>
      <c r="F2051" s="59" t="str">
        <f>IF(INDEX(I.Gas.P4C1E1,33)="","",INDEX(I.Gas.P4C1E1,33))</f>
        <v/>
      </c>
      <c r="G2051" s="59"/>
      <c r="H2051" s="26" t="str">
        <f>IF(OR(I.Developer.P4=FALSE,I.Facility.StandardPart="Part 2"),"Complete",IF(I.Product.P4GasToPower="No","Complete",IF(AND(I.Gas.P4Count&gt;=33,F2051=""),"Incomplete","Complete")))</f>
        <v>Complete</v>
      </c>
      <c r="I2051" s="39" t="s">
        <v>2279</v>
      </c>
    </row>
    <row r="2052" spans="2:9" ht="15" customHeight="1" x14ac:dyDescent="0.25">
      <c r="B2052" s="37" t="s">
        <v>2246</v>
      </c>
      <c r="C2052" s="26">
        <v>34</v>
      </c>
      <c r="D2052" s="38" t="s">
        <v>2714</v>
      </c>
      <c r="E2052" s="59"/>
      <c r="F2052" s="59" t="str">
        <f>IF(INDEX(I.Gas.P4C1E1,34)="","",INDEX(I.Gas.P4C1E1,34))</f>
        <v/>
      </c>
      <c r="G2052" s="59"/>
      <c r="H2052" s="26" t="str">
        <f>IF(OR(I.Developer.P4=FALSE,I.Facility.StandardPart="Part 2"),"Complete",IF(I.Product.P4GasToPower="No","Complete",IF(AND(I.Gas.P4Count&gt;=34,F2052=""),"Incomplete","Complete")))</f>
        <v>Complete</v>
      </c>
      <c r="I2052" s="39" t="s">
        <v>2280</v>
      </c>
    </row>
    <row r="2053" spans="2:9" ht="15" customHeight="1" x14ac:dyDescent="0.25">
      <c r="B2053" s="37" t="s">
        <v>2246</v>
      </c>
      <c r="C2053" s="26">
        <v>35</v>
      </c>
      <c r="D2053" s="38" t="s">
        <v>2714</v>
      </c>
      <c r="E2053" s="59"/>
      <c r="F2053" s="59" t="str">
        <f>IF(INDEX(I.Gas.P4C1E1,35)="","",INDEX(I.Gas.P4C1E1,35))</f>
        <v/>
      </c>
      <c r="G2053" s="59"/>
      <c r="H2053" s="26" t="str">
        <f>IF(OR(I.Developer.P4=FALSE,I.Facility.StandardPart="Part 2"),"Complete",IF(I.Product.P4GasToPower="No","Complete",IF(AND(I.Gas.P4Count&gt;=35,F2053=""),"Incomplete","Complete")))</f>
        <v>Complete</v>
      </c>
      <c r="I2053" s="39" t="s">
        <v>2281</v>
      </c>
    </row>
    <row r="2054" spans="2:9" ht="15" customHeight="1" x14ac:dyDescent="0.25">
      <c r="B2054" s="37" t="s">
        <v>2246</v>
      </c>
      <c r="C2054" s="26">
        <v>36</v>
      </c>
      <c r="D2054" s="38" t="s">
        <v>2714</v>
      </c>
      <c r="E2054" s="59"/>
      <c r="F2054" s="59" t="str">
        <f>IF(INDEX(I.Gas.P4C1E1,36)="","",INDEX(I.Gas.P4C1E1,36))</f>
        <v/>
      </c>
      <c r="G2054" s="59"/>
      <c r="H2054" s="26" t="str">
        <f>IF(OR(I.Developer.P4=FALSE,I.Facility.StandardPart="Part 2"),"Complete",IF(I.Product.P4GasToPower="No","Complete",IF(AND(I.Gas.P4Count&gt;=36,F2054=""),"Incomplete","Complete")))</f>
        <v>Complete</v>
      </c>
      <c r="I2054" s="39" t="s">
        <v>2282</v>
      </c>
    </row>
    <row r="2055" spans="2:9" ht="15" customHeight="1" x14ac:dyDescent="0.25">
      <c r="B2055" s="37" t="s">
        <v>2246</v>
      </c>
      <c r="C2055" s="26">
        <v>37</v>
      </c>
      <c r="D2055" s="38" t="s">
        <v>2714</v>
      </c>
      <c r="E2055" s="59"/>
      <c r="F2055" s="59" t="str">
        <f>IF(INDEX(I.Gas.P4C1E1,37)="","",INDEX(I.Gas.P4C1E1,37))</f>
        <v/>
      </c>
      <c r="G2055" s="59"/>
      <c r="H2055" s="26" t="str">
        <f>IF(OR(I.Developer.P4=FALSE,I.Facility.StandardPart="Part 2"),"Complete",IF(I.Product.P4GasToPower="No","Complete",IF(AND(I.Gas.P4Count&gt;=37,F2055=""),"Incomplete","Complete")))</f>
        <v>Complete</v>
      </c>
      <c r="I2055" s="39" t="s">
        <v>2283</v>
      </c>
    </row>
    <row r="2056" spans="2:9" ht="15" customHeight="1" x14ac:dyDescent="0.25">
      <c r="B2056" s="37" t="s">
        <v>2246</v>
      </c>
      <c r="C2056" s="26">
        <v>38</v>
      </c>
      <c r="D2056" s="38" t="s">
        <v>2714</v>
      </c>
      <c r="E2056" s="59"/>
      <c r="F2056" s="59" t="str">
        <f>IF(INDEX(I.Gas.P4C1E1,38)="","",INDEX(I.Gas.P4C1E1,38))</f>
        <v/>
      </c>
      <c r="G2056" s="59"/>
      <c r="H2056" s="26" t="str">
        <f>IF(OR(I.Developer.P4=FALSE,I.Facility.StandardPart="Part 2"),"Complete",IF(I.Product.P4GasToPower="No","Complete",IF(AND(I.Gas.P4Count&gt;=38,F2056=""),"Incomplete","Complete")))</f>
        <v>Complete</v>
      </c>
      <c r="I2056" s="39" t="s">
        <v>2284</v>
      </c>
    </row>
    <row r="2057" spans="2:9" ht="15" customHeight="1" x14ac:dyDescent="0.25">
      <c r="B2057" s="37" t="s">
        <v>2246</v>
      </c>
      <c r="C2057" s="26">
        <v>39</v>
      </c>
      <c r="D2057" s="38" t="s">
        <v>2714</v>
      </c>
      <c r="E2057" s="59"/>
      <c r="F2057" s="59" t="str">
        <f>IF(INDEX(I.Gas.P4C1E1,39)="","",INDEX(I.Gas.P4C1E1,39))</f>
        <v/>
      </c>
      <c r="G2057" s="59"/>
      <c r="H2057" s="26" t="str">
        <f>IF(OR(I.Developer.P4=FALSE,I.Facility.StandardPart="Part 2"),"Complete",IF(I.Product.P4GasToPower="No","Complete",IF(AND(I.Gas.P4Count&gt;=39,F2057=""),"Incomplete","Complete")))</f>
        <v>Complete</v>
      </c>
      <c r="I2057" s="39" t="s">
        <v>2285</v>
      </c>
    </row>
    <row r="2058" spans="2:9" ht="15" customHeight="1" x14ac:dyDescent="0.25">
      <c r="B2058" s="37" t="s">
        <v>2246</v>
      </c>
      <c r="C2058" s="26">
        <v>40</v>
      </c>
      <c r="D2058" s="38" t="s">
        <v>2714</v>
      </c>
      <c r="E2058" s="59"/>
      <c r="F2058" s="59" t="str">
        <f>IF(INDEX(I.Gas.P4C1E1,40)="","",INDEX(I.Gas.P4C1E1,40))</f>
        <v/>
      </c>
      <c r="G2058" s="59"/>
      <c r="H2058" s="26" t="str">
        <f>IF(OR(I.Developer.P4=FALSE,I.Facility.StandardPart="Part 2"),"Complete",IF(I.Product.P4GasToPower="No","Complete",IF(AND(I.Gas.P4Count&gt;=40,F2058=""),"Incomplete","Complete")))</f>
        <v>Complete</v>
      </c>
      <c r="I2058" s="39" t="s">
        <v>2286</v>
      </c>
    </row>
    <row r="2059" spans="2:9" ht="15" customHeight="1" x14ac:dyDescent="0.25">
      <c r="B2059" s="37" t="s">
        <v>2246</v>
      </c>
      <c r="C2059" s="26">
        <v>41</v>
      </c>
      <c r="D2059" s="38" t="s">
        <v>2714</v>
      </c>
      <c r="E2059" s="59"/>
      <c r="F2059" s="59" t="str">
        <f>IF(INDEX(I.Gas.P4C1E1,41)="","",INDEX(I.Gas.P4C1E1,41))</f>
        <v/>
      </c>
      <c r="G2059" s="59"/>
      <c r="H2059" s="26" t="str">
        <f>IF(OR(I.Developer.P4=FALSE,I.Facility.StandardPart="Part 2"),"Complete",IF(I.Product.P4GasToPower="No","Complete",IF(AND(I.Gas.P4Count&gt;=41,F2059=""),"Incomplete","Complete")))</f>
        <v>Complete</v>
      </c>
      <c r="I2059" s="39" t="s">
        <v>2287</v>
      </c>
    </row>
    <row r="2060" spans="2:9" ht="15" customHeight="1" x14ac:dyDescent="0.25">
      <c r="B2060" s="37" t="s">
        <v>2246</v>
      </c>
      <c r="C2060" s="26">
        <v>42</v>
      </c>
      <c r="D2060" s="38" t="s">
        <v>2714</v>
      </c>
      <c r="E2060" s="59"/>
      <c r="F2060" s="59" t="str">
        <f>IF(INDEX(I.Gas.P4C1E1,42)="","",INDEX(I.Gas.P4C1E1,42))</f>
        <v/>
      </c>
      <c r="G2060" s="59"/>
      <c r="H2060" s="26" t="str">
        <f>IF(OR(I.Developer.P4=FALSE,I.Facility.StandardPart="Part 2"),"Complete",IF(I.Product.P4GasToPower="No","Complete",IF(AND(I.Gas.P4Count&gt;=42,F2060=""),"Incomplete","Complete")))</f>
        <v>Complete</v>
      </c>
      <c r="I2060" s="39" t="s">
        <v>2288</v>
      </c>
    </row>
    <row r="2061" spans="2:9" ht="15" customHeight="1" x14ac:dyDescent="0.25">
      <c r="B2061" s="37" t="s">
        <v>2246</v>
      </c>
      <c r="C2061" s="26">
        <v>43</v>
      </c>
      <c r="D2061" s="38" t="s">
        <v>2714</v>
      </c>
      <c r="E2061" s="59"/>
      <c r="F2061" s="59" t="str">
        <f>IF(INDEX(I.Gas.P4C1E1,43)="","",INDEX(I.Gas.P4C1E1,43))</f>
        <v/>
      </c>
      <c r="G2061" s="59"/>
      <c r="H2061" s="26" t="str">
        <f>IF(OR(I.Developer.P4=FALSE,I.Facility.StandardPart="Part 2"),"Complete",IF(I.Product.P4GasToPower="No","Complete",IF(AND(I.Gas.P4Count&gt;=43,F2061=""),"Incomplete","Complete")))</f>
        <v>Complete</v>
      </c>
      <c r="I2061" s="39" t="s">
        <v>2289</v>
      </c>
    </row>
    <row r="2062" spans="2:9" ht="15" customHeight="1" x14ac:dyDescent="0.25">
      <c r="B2062" s="37" t="s">
        <v>2246</v>
      </c>
      <c r="C2062" s="26">
        <v>44</v>
      </c>
      <c r="D2062" s="38" t="s">
        <v>2714</v>
      </c>
      <c r="E2062" s="59"/>
      <c r="F2062" s="59" t="str">
        <f>IF(INDEX(I.Gas.P4C1E1,44)="","",INDEX(I.Gas.P4C1E1,44))</f>
        <v/>
      </c>
      <c r="G2062" s="59"/>
      <c r="H2062" s="26" t="str">
        <f>IF(OR(I.Developer.P4=FALSE,I.Facility.StandardPart="Part 2"),"Complete",IF(I.Product.P4GasToPower="No","Complete",IF(AND(I.Gas.P4Count&gt;=44,F2062=""),"Incomplete","Complete")))</f>
        <v>Complete</v>
      </c>
      <c r="I2062" s="39" t="s">
        <v>2290</v>
      </c>
    </row>
    <row r="2063" spans="2:9" ht="15" customHeight="1" x14ac:dyDescent="0.25">
      <c r="B2063" s="37" t="s">
        <v>2246</v>
      </c>
      <c r="C2063" s="26">
        <v>45</v>
      </c>
      <c r="D2063" s="38" t="s">
        <v>2714</v>
      </c>
      <c r="E2063" s="59"/>
      <c r="F2063" s="59" t="str">
        <f>IF(INDEX(I.Gas.P4C1E1,45)="","",INDEX(I.Gas.P4C1E1,45))</f>
        <v/>
      </c>
      <c r="G2063" s="59"/>
      <c r="H2063" s="26" t="str">
        <f>IF(OR(I.Developer.P4=FALSE,I.Facility.StandardPart="Part 2"),"Complete",IF(I.Product.P4GasToPower="No","Complete",IF(AND(I.Gas.P4Count&gt;=45,F2063=""),"Incomplete","Complete")))</f>
        <v>Complete</v>
      </c>
      <c r="I2063" s="39" t="s">
        <v>2291</v>
      </c>
    </row>
    <row r="2064" spans="2:9" ht="15" customHeight="1" x14ac:dyDescent="0.25">
      <c r="B2064" s="37" t="s">
        <v>2246</v>
      </c>
      <c r="C2064" s="26">
        <v>46</v>
      </c>
      <c r="D2064" s="38" t="s">
        <v>2714</v>
      </c>
      <c r="E2064" s="59"/>
      <c r="F2064" s="59" t="str">
        <f>IF(INDEX(I.Gas.P4C1E1,46)="","",INDEX(I.Gas.P4C1E1,46))</f>
        <v/>
      </c>
      <c r="G2064" s="59"/>
      <c r="H2064" s="26" t="str">
        <f>IF(OR(I.Developer.P4=FALSE,I.Facility.StandardPart="Part 2"),"Complete",IF(I.Product.P4GasToPower="No","Complete",IF(AND(I.Gas.P4Count&gt;=46,F2064=""),"Incomplete","Complete")))</f>
        <v>Complete</v>
      </c>
      <c r="I2064" s="39" t="s">
        <v>2292</v>
      </c>
    </row>
    <row r="2065" spans="2:9" ht="15" customHeight="1" x14ac:dyDescent="0.25">
      <c r="B2065" s="37" t="s">
        <v>2246</v>
      </c>
      <c r="C2065" s="26">
        <v>47</v>
      </c>
      <c r="D2065" s="38" t="s">
        <v>2714</v>
      </c>
      <c r="E2065" s="59"/>
      <c r="F2065" s="59" t="str">
        <f>IF(INDEX(I.Gas.P4C1E1,47)="","",INDEX(I.Gas.P4C1E1,47))</f>
        <v/>
      </c>
      <c r="G2065" s="59"/>
      <c r="H2065" s="26" t="str">
        <f>IF(OR(I.Developer.P4=FALSE,I.Facility.StandardPart="Part 2"),"Complete",IF(I.Product.P4GasToPower="No","Complete",IF(AND(I.Gas.P4Count&gt;=47,F2065=""),"Incomplete","Complete")))</f>
        <v>Complete</v>
      </c>
      <c r="I2065" s="39" t="s">
        <v>2293</v>
      </c>
    </row>
    <row r="2066" spans="2:9" ht="15" customHeight="1" x14ac:dyDescent="0.25">
      <c r="B2066" s="37" t="s">
        <v>2246</v>
      </c>
      <c r="C2066" s="26">
        <v>48</v>
      </c>
      <c r="D2066" s="38" t="s">
        <v>2714</v>
      </c>
      <c r="E2066" s="59"/>
      <c r="F2066" s="59" t="str">
        <f>IF(INDEX(I.Gas.P4C1E1,48)="","",INDEX(I.Gas.P4C1E1,48))</f>
        <v/>
      </c>
      <c r="G2066" s="59"/>
      <c r="H2066" s="26" t="str">
        <f>IF(OR(I.Developer.P4=FALSE,I.Facility.StandardPart="Part 2"),"Complete",IF(I.Product.P4GasToPower="No","Complete",IF(AND(I.Gas.P4Count&gt;=48,F2066=""),"Incomplete","Complete")))</f>
        <v>Complete</v>
      </c>
      <c r="I2066" s="39" t="s">
        <v>2294</v>
      </c>
    </row>
    <row r="2067" spans="2:9" ht="15" customHeight="1" x14ac:dyDescent="0.25">
      <c r="B2067" s="37" t="s">
        <v>2246</v>
      </c>
      <c r="C2067" s="26">
        <v>49</v>
      </c>
      <c r="D2067" s="38" t="s">
        <v>2714</v>
      </c>
      <c r="E2067" s="59"/>
      <c r="F2067" s="59" t="str">
        <f>IF(INDEX(I.Gas.P4C1E1,49)="","",INDEX(I.Gas.P4C1E1,49))</f>
        <v/>
      </c>
      <c r="G2067" s="59"/>
      <c r="H2067" s="26" t="str">
        <f>IF(OR(I.Developer.P4=FALSE,I.Facility.StandardPart="Part 2"),"Complete",IF(I.Product.P4GasToPower="No","Complete",IF(AND(I.Gas.P4Count&gt;=49,F2067=""),"Incomplete","Complete")))</f>
        <v>Complete</v>
      </c>
      <c r="I2067" s="39" t="s">
        <v>2295</v>
      </c>
    </row>
    <row r="2068" spans="2:9" ht="15" customHeight="1" x14ac:dyDescent="0.25">
      <c r="B2068" s="40" t="s">
        <v>2246</v>
      </c>
      <c r="C2068" s="46">
        <v>50</v>
      </c>
      <c r="D2068" s="44" t="s">
        <v>2714</v>
      </c>
      <c r="E2068" s="63"/>
      <c r="F2068" s="63" t="str">
        <f>IF(INDEX(I.Gas.P4C1E1,50)="","",INDEX(I.Gas.P4C1E1,50))</f>
        <v/>
      </c>
      <c r="G2068" s="63"/>
      <c r="H2068" s="46" t="str">
        <f>IF(OR(I.Developer.P4=FALSE,I.Facility.StandardPart="Part 2"),"Complete",IF(I.Product.P4GasToPower="No","Complete",IF(AND(I.Gas.P4Count&gt;=50,F2068=""),"Incomplete","Complete")))</f>
        <v>Complete</v>
      </c>
      <c r="I2068" s="47" t="s">
        <v>2296</v>
      </c>
    </row>
    <row r="2069" spans="2:9" ht="15" customHeight="1" x14ac:dyDescent="0.25">
      <c r="B2069" s="37" t="s">
        <v>2297</v>
      </c>
      <c r="C2069" s="26">
        <v>1</v>
      </c>
      <c r="D2069" s="38" t="s">
        <v>2715</v>
      </c>
      <c r="E2069" s="59"/>
      <c r="F2069" s="59" t="str">
        <f>IF(INDEX(I.Gas.P4C1E2,1)="","",INDEX(I.Gas.P4C1E2,1))</f>
        <v/>
      </c>
      <c r="G2069" s="59"/>
      <c r="H2069" s="26" t="str">
        <f>IF(OR(I.Developer.P4=FALSE,I.Facility.StandardPart="Part 2"),"Complete",IF(I.Product.P4GasToPower="No","Complete",IF(AND(I.Gas.P4Count&gt;=1,F2069=""),"Incomplete","Complete")))</f>
        <v>Complete</v>
      </c>
      <c r="I2069" s="39" t="s">
        <v>2298</v>
      </c>
    </row>
    <row r="2070" spans="2:9" ht="15" customHeight="1" x14ac:dyDescent="0.25">
      <c r="B2070" s="37" t="s">
        <v>2297</v>
      </c>
      <c r="C2070" s="26">
        <v>2</v>
      </c>
      <c r="D2070" s="38" t="s">
        <v>2715</v>
      </c>
      <c r="E2070" s="59"/>
      <c r="F2070" s="59" t="str">
        <f>IF(INDEX(I.Gas.P4C1E2,2)="","",INDEX(I.Gas.P4C1E2,2))</f>
        <v/>
      </c>
      <c r="G2070" s="59"/>
      <c r="H2070" s="26" t="str">
        <f>IF(OR(I.Developer.P4=FALSE,I.Facility.StandardPart="Part 2"),"Complete",IF(I.Product.P4GasToPower="No","Complete",IF(AND(I.Gas.P4Count&gt;=2,F2070=""),"Incomplete","Complete")))</f>
        <v>Complete</v>
      </c>
      <c r="I2070" s="39" t="s">
        <v>2299</v>
      </c>
    </row>
    <row r="2071" spans="2:9" ht="15" customHeight="1" x14ac:dyDescent="0.25">
      <c r="B2071" s="37" t="s">
        <v>2297</v>
      </c>
      <c r="C2071" s="26">
        <v>3</v>
      </c>
      <c r="D2071" s="38" t="s">
        <v>2715</v>
      </c>
      <c r="E2071" s="59"/>
      <c r="F2071" s="59" t="str">
        <f>IF(INDEX(I.Gas.P4C1E2,3)="","",INDEX(I.Gas.P4C1E2,3))</f>
        <v/>
      </c>
      <c r="G2071" s="59"/>
      <c r="H2071" s="26" t="str">
        <f>IF(OR(I.Developer.P4=FALSE,I.Facility.StandardPart="Part 2"),"Complete",IF(I.Product.P4GasToPower="No","Complete",IF(AND(I.Gas.P4Count&gt;=3,F2071=""),"Incomplete","Complete")))</f>
        <v>Complete</v>
      </c>
      <c r="I2071" s="39" t="s">
        <v>2300</v>
      </c>
    </row>
    <row r="2072" spans="2:9" ht="15" customHeight="1" x14ac:dyDescent="0.25">
      <c r="B2072" s="37" t="s">
        <v>2297</v>
      </c>
      <c r="C2072" s="26">
        <v>4</v>
      </c>
      <c r="D2072" s="38" t="s">
        <v>2715</v>
      </c>
      <c r="E2072" s="59"/>
      <c r="F2072" s="59" t="str">
        <f>IF(INDEX(I.Gas.P4C1E2,4)="","",INDEX(I.Gas.P4C1E2,4))</f>
        <v/>
      </c>
      <c r="G2072" s="59"/>
      <c r="H2072" s="26" t="str">
        <f>IF(OR(I.Developer.P4=FALSE,I.Facility.StandardPart="Part 2"),"Complete",IF(I.Product.P4GasToPower="No","Complete",IF(AND(I.Gas.P4Count&gt;=4,F2072=""),"Incomplete","Complete")))</f>
        <v>Complete</v>
      </c>
      <c r="I2072" s="39" t="s">
        <v>2301</v>
      </c>
    </row>
    <row r="2073" spans="2:9" ht="15" customHeight="1" x14ac:dyDescent="0.25">
      <c r="B2073" s="37" t="s">
        <v>2297</v>
      </c>
      <c r="C2073" s="26">
        <v>5</v>
      </c>
      <c r="D2073" s="38" t="s">
        <v>2715</v>
      </c>
      <c r="E2073" s="59"/>
      <c r="F2073" s="59" t="str">
        <f>IF(INDEX(I.Gas.P4C1E2,5)="","",INDEX(I.Gas.P4C1E2,5))</f>
        <v/>
      </c>
      <c r="G2073" s="59"/>
      <c r="H2073" s="26" t="str">
        <f>IF(OR(I.Developer.P4=FALSE,I.Facility.StandardPart="Part 2"),"Complete",IF(I.Product.P4GasToPower="No","Complete",IF(AND(I.Gas.P4Count&gt;=5,F2073=""),"Incomplete","Complete")))</f>
        <v>Complete</v>
      </c>
      <c r="I2073" s="39" t="s">
        <v>2302</v>
      </c>
    </row>
    <row r="2074" spans="2:9" ht="15" customHeight="1" x14ac:dyDescent="0.25">
      <c r="B2074" s="37" t="s">
        <v>2297</v>
      </c>
      <c r="C2074" s="26">
        <v>6</v>
      </c>
      <c r="D2074" s="38" t="s">
        <v>2715</v>
      </c>
      <c r="E2074" s="59"/>
      <c r="F2074" s="59" t="str">
        <f>IF(INDEX(I.Gas.P4C1E2,6)="","",INDEX(I.Gas.P4C1E2,6))</f>
        <v/>
      </c>
      <c r="G2074" s="59"/>
      <c r="H2074" s="26" t="str">
        <f>IF(OR(I.Developer.P4=FALSE,I.Facility.StandardPart="Part 2"),"Complete",IF(I.Product.P4GasToPower="No","Complete",IF(AND(I.Gas.P4Count&gt;=6,F2074=""),"Incomplete","Complete")))</f>
        <v>Complete</v>
      </c>
      <c r="I2074" s="39" t="s">
        <v>2303</v>
      </c>
    </row>
    <row r="2075" spans="2:9" ht="15" customHeight="1" x14ac:dyDescent="0.25">
      <c r="B2075" s="37" t="s">
        <v>2297</v>
      </c>
      <c r="C2075" s="26">
        <v>7</v>
      </c>
      <c r="D2075" s="38" t="s">
        <v>2715</v>
      </c>
      <c r="E2075" s="59"/>
      <c r="F2075" s="59" t="str">
        <f>IF(INDEX(I.Gas.P4C1E2,7)="","",INDEX(I.Gas.P4C1E2,7))</f>
        <v/>
      </c>
      <c r="G2075" s="59"/>
      <c r="H2075" s="26" t="str">
        <f>IF(OR(I.Developer.P4=FALSE,I.Facility.StandardPart="Part 2"),"Complete",IF(I.Product.P4GasToPower="No","Complete",IF(AND(I.Gas.P4Count&gt;=7,F2075=""),"Incomplete","Complete")))</f>
        <v>Complete</v>
      </c>
      <c r="I2075" s="39" t="s">
        <v>2304</v>
      </c>
    </row>
    <row r="2076" spans="2:9" ht="15" customHeight="1" x14ac:dyDescent="0.25">
      <c r="B2076" s="37" t="s">
        <v>2297</v>
      </c>
      <c r="C2076" s="26">
        <v>8</v>
      </c>
      <c r="D2076" s="38" t="s">
        <v>2715</v>
      </c>
      <c r="E2076" s="59"/>
      <c r="F2076" s="59" t="str">
        <f>IF(INDEX(I.Gas.P4C1E2,8)="","",INDEX(I.Gas.P4C1E2,8))</f>
        <v/>
      </c>
      <c r="G2076" s="59"/>
      <c r="H2076" s="26" t="str">
        <f>IF(OR(I.Developer.P4=FALSE,I.Facility.StandardPart="Part 2"),"Complete",IF(I.Product.P4GasToPower="No","Complete",IF(AND(I.Gas.P4Count&gt;=8,F2076=""),"Incomplete","Complete")))</f>
        <v>Complete</v>
      </c>
      <c r="I2076" s="39" t="s">
        <v>2305</v>
      </c>
    </row>
    <row r="2077" spans="2:9" ht="15" customHeight="1" x14ac:dyDescent="0.25">
      <c r="B2077" s="37" t="s">
        <v>2297</v>
      </c>
      <c r="C2077" s="26">
        <v>9</v>
      </c>
      <c r="D2077" s="38" t="s">
        <v>2715</v>
      </c>
      <c r="E2077" s="59"/>
      <c r="F2077" s="59" t="str">
        <f>IF(INDEX(I.Gas.P4C1E2,9)="","",INDEX(I.Gas.P4C1E2,9))</f>
        <v/>
      </c>
      <c r="G2077" s="59"/>
      <c r="H2077" s="26" t="str">
        <f>IF(OR(I.Developer.P4=FALSE,I.Facility.StandardPart="Part 2"),"Complete",IF(I.Product.P4GasToPower="No","Complete",IF(AND(I.Gas.P4Count&gt;=9,F2077=""),"Incomplete","Complete")))</f>
        <v>Complete</v>
      </c>
      <c r="I2077" s="39" t="s">
        <v>2306</v>
      </c>
    </row>
    <row r="2078" spans="2:9" ht="15" customHeight="1" x14ac:dyDescent="0.25">
      <c r="B2078" s="37" t="s">
        <v>2297</v>
      </c>
      <c r="C2078" s="26">
        <v>10</v>
      </c>
      <c r="D2078" s="38" t="s">
        <v>2715</v>
      </c>
      <c r="E2078" s="59"/>
      <c r="F2078" s="59" t="str">
        <f>IF(INDEX(I.Gas.P4C1E2,10)="","",INDEX(I.Gas.P4C1E2,10))</f>
        <v/>
      </c>
      <c r="G2078" s="59"/>
      <c r="H2078" s="26" t="str">
        <f>IF(OR(I.Developer.P4=FALSE,I.Facility.StandardPart="Part 2"),"Complete",IF(I.Product.P4GasToPower="No","Complete",IF(AND(I.Gas.P4Count&gt;=10,F2078=""),"Incomplete","Complete")))</f>
        <v>Complete</v>
      </c>
      <c r="I2078" s="39" t="s">
        <v>2307</v>
      </c>
    </row>
    <row r="2079" spans="2:9" ht="15" customHeight="1" x14ac:dyDescent="0.25">
      <c r="B2079" s="37" t="s">
        <v>2297</v>
      </c>
      <c r="C2079" s="26">
        <v>11</v>
      </c>
      <c r="D2079" s="38" t="s">
        <v>2715</v>
      </c>
      <c r="E2079" s="59"/>
      <c r="F2079" s="59" t="str">
        <f>IF(INDEX(I.Gas.P4C1E2,11)="","",INDEX(I.Gas.P4C1E2,11))</f>
        <v/>
      </c>
      <c r="G2079" s="59"/>
      <c r="H2079" s="26" t="str">
        <f>IF(OR(I.Developer.P4=FALSE,I.Facility.StandardPart="Part 2"),"Complete",IF(I.Product.P4GasToPower="No","Complete",IF(AND(I.Gas.P4Count&gt;=11,F2079=""),"Incomplete","Complete")))</f>
        <v>Complete</v>
      </c>
      <c r="I2079" s="39" t="s">
        <v>2308</v>
      </c>
    </row>
    <row r="2080" spans="2:9" ht="15" customHeight="1" x14ac:dyDescent="0.25">
      <c r="B2080" s="37" t="s">
        <v>2297</v>
      </c>
      <c r="C2080" s="26">
        <v>12</v>
      </c>
      <c r="D2080" s="38" t="s">
        <v>2715</v>
      </c>
      <c r="E2080" s="59"/>
      <c r="F2080" s="59" t="str">
        <f>IF(INDEX(I.Gas.P4C1E2,12)="","",INDEX(I.Gas.P4C1E2,12))</f>
        <v/>
      </c>
      <c r="G2080" s="59"/>
      <c r="H2080" s="26" t="str">
        <f>IF(OR(I.Developer.P4=FALSE,I.Facility.StandardPart="Part 2"),"Complete",IF(I.Product.P4GasToPower="No","Complete",IF(AND(I.Gas.P4Count&gt;=12,F2080=""),"Incomplete","Complete")))</f>
        <v>Complete</v>
      </c>
      <c r="I2080" s="39" t="s">
        <v>2309</v>
      </c>
    </row>
    <row r="2081" spans="2:9" ht="15" customHeight="1" x14ac:dyDescent="0.25">
      <c r="B2081" s="37" t="s">
        <v>2297</v>
      </c>
      <c r="C2081" s="26">
        <v>13</v>
      </c>
      <c r="D2081" s="38" t="s">
        <v>2715</v>
      </c>
      <c r="E2081" s="59"/>
      <c r="F2081" s="59" t="str">
        <f>IF(INDEX(I.Gas.P4C1E2,13)="","",INDEX(I.Gas.P4C1E2,13))</f>
        <v/>
      </c>
      <c r="G2081" s="59"/>
      <c r="H2081" s="26" t="str">
        <f>IF(OR(I.Developer.P4=FALSE,I.Facility.StandardPart="Part 2"),"Complete",IF(I.Product.P4GasToPower="No","Complete",IF(AND(I.Gas.P4Count&gt;=13,F2081=""),"Incomplete","Complete")))</f>
        <v>Complete</v>
      </c>
      <c r="I2081" s="39" t="s">
        <v>2310</v>
      </c>
    </row>
    <row r="2082" spans="2:9" ht="15" customHeight="1" x14ac:dyDescent="0.25">
      <c r="B2082" s="37" t="s">
        <v>2297</v>
      </c>
      <c r="C2082" s="26">
        <v>14</v>
      </c>
      <c r="D2082" s="38" t="s">
        <v>2715</v>
      </c>
      <c r="E2082" s="59"/>
      <c r="F2082" s="59" t="str">
        <f>IF(INDEX(I.Gas.P4C1E2,14)="","",INDEX(I.Gas.P4C1E2,14))</f>
        <v/>
      </c>
      <c r="G2082" s="59"/>
      <c r="H2082" s="26" t="str">
        <f>IF(OR(I.Developer.P4=FALSE,I.Facility.StandardPart="Part 2"),"Complete",IF(I.Product.P4GasToPower="No","Complete",IF(AND(I.Gas.P4Count&gt;=14,F2082=""),"Incomplete","Complete")))</f>
        <v>Complete</v>
      </c>
      <c r="I2082" s="39" t="s">
        <v>2311</v>
      </c>
    </row>
    <row r="2083" spans="2:9" ht="15" customHeight="1" x14ac:dyDescent="0.25">
      <c r="B2083" s="37" t="s">
        <v>2297</v>
      </c>
      <c r="C2083" s="26">
        <v>15</v>
      </c>
      <c r="D2083" s="38" t="s">
        <v>2715</v>
      </c>
      <c r="E2083" s="59"/>
      <c r="F2083" s="59" t="str">
        <f>IF(INDEX(I.Gas.P4C1E2,15)="","",INDEX(I.Gas.P4C1E2,15))</f>
        <v/>
      </c>
      <c r="G2083" s="59"/>
      <c r="H2083" s="26" t="str">
        <f>IF(OR(I.Developer.P4=FALSE,I.Facility.StandardPart="Part 2"),"Complete",IF(I.Product.P4GasToPower="No","Complete",IF(AND(I.Gas.P4Count&gt;=15,F2083=""),"Incomplete","Complete")))</f>
        <v>Complete</v>
      </c>
      <c r="I2083" s="39" t="s">
        <v>2312</v>
      </c>
    </row>
    <row r="2084" spans="2:9" ht="15" customHeight="1" x14ac:dyDescent="0.25">
      <c r="B2084" s="37" t="s">
        <v>2297</v>
      </c>
      <c r="C2084" s="26">
        <v>16</v>
      </c>
      <c r="D2084" s="38" t="s">
        <v>2715</v>
      </c>
      <c r="E2084" s="59"/>
      <c r="F2084" s="59" t="str">
        <f>IF(INDEX(I.Gas.P4C1E2,16)="","",INDEX(I.Gas.P4C1E2,16))</f>
        <v/>
      </c>
      <c r="G2084" s="59"/>
      <c r="H2084" s="26" t="str">
        <f>IF(OR(I.Developer.P4=FALSE,I.Facility.StandardPart="Part 2"),"Complete",IF(I.Product.P4GasToPower="No","Complete",IF(AND(I.Gas.P4Count&gt;=16,F2084=""),"Incomplete","Complete")))</f>
        <v>Complete</v>
      </c>
      <c r="I2084" s="39" t="s">
        <v>2313</v>
      </c>
    </row>
    <row r="2085" spans="2:9" ht="15" customHeight="1" x14ac:dyDescent="0.25">
      <c r="B2085" s="37" t="s">
        <v>2297</v>
      </c>
      <c r="C2085" s="26">
        <v>17</v>
      </c>
      <c r="D2085" s="38" t="s">
        <v>2715</v>
      </c>
      <c r="E2085" s="59"/>
      <c r="F2085" s="59" t="str">
        <f>IF(INDEX(I.Gas.P4C1E2,17)="","",INDEX(I.Gas.P4C1E2,17))</f>
        <v/>
      </c>
      <c r="G2085" s="59"/>
      <c r="H2085" s="26" t="str">
        <f>IF(OR(I.Developer.P4=FALSE,I.Facility.StandardPart="Part 2"),"Complete",IF(I.Product.P4GasToPower="No","Complete",IF(AND(I.Gas.P4Count&gt;=17,F2085=""),"Incomplete","Complete")))</f>
        <v>Complete</v>
      </c>
      <c r="I2085" s="39" t="s">
        <v>2314</v>
      </c>
    </row>
    <row r="2086" spans="2:9" ht="15" customHeight="1" x14ac:dyDescent="0.25">
      <c r="B2086" s="37" t="s">
        <v>2297</v>
      </c>
      <c r="C2086" s="26">
        <v>18</v>
      </c>
      <c r="D2086" s="38" t="s">
        <v>2715</v>
      </c>
      <c r="E2086" s="59"/>
      <c r="F2086" s="59" t="str">
        <f>IF(INDEX(I.Gas.P4C1E2,18)="","",INDEX(I.Gas.P4C1E2,18))</f>
        <v/>
      </c>
      <c r="G2086" s="59"/>
      <c r="H2086" s="26" t="str">
        <f>IF(OR(I.Developer.P4=FALSE,I.Facility.StandardPart="Part 2"),"Complete",IF(I.Product.P4GasToPower="No","Complete",IF(AND(I.Gas.P4Count&gt;=18,F2086=""),"Incomplete","Complete")))</f>
        <v>Complete</v>
      </c>
      <c r="I2086" s="39" t="s">
        <v>2315</v>
      </c>
    </row>
    <row r="2087" spans="2:9" ht="15" customHeight="1" x14ac:dyDescent="0.25">
      <c r="B2087" s="37" t="s">
        <v>2297</v>
      </c>
      <c r="C2087" s="26">
        <v>19</v>
      </c>
      <c r="D2087" s="38" t="s">
        <v>2715</v>
      </c>
      <c r="E2087" s="59"/>
      <c r="F2087" s="59" t="str">
        <f>IF(INDEX(I.Gas.P4C1E2,19)="","",INDEX(I.Gas.P4C1E2,19))</f>
        <v/>
      </c>
      <c r="G2087" s="59"/>
      <c r="H2087" s="26" t="str">
        <f>IF(OR(I.Developer.P4=FALSE,I.Facility.StandardPart="Part 2"),"Complete",IF(I.Product.P4GasToPower="No","Complete",IF(AND(I.Gas.P4Count&gt;=19,F2087=""),"Incomplete","Complete")))</f>
        <v>Complete</v>
      </c>
      <c r="I2087" s="39" t="s">
        <v>2316</v>
      </c>
    </row>
    <row r="2088" spans="2:9" ht="15" customHeight="1" x14ac:dyDescent="0.25">
      <c r="B2088" s="37" t="s">
        <v>2297</v>
      </c>
      <c r="C2088" s="26">
        <v>20</v>
      </c>
      <c r="D2088" s="38" t="s">
        <v>2715</v>
      </c>
      <c r="E2088" s="59"/>
      <c r="F2088" s="59" t="str">
        <f>IF(INDEX(I.Gas.P4C1E2,20)="","",INDEX(I.Gas.P4C1E2,20))</f>
        <v/>
      </c>
      <c r="G2088" s="59"/>
      <c r="H2088" s="26" t="str">
        <f>IF(OR(I.Developer.P4=FALSE,I.Facility.StandardPart="Part 2"),"Complete",IF(I.Product.P4GasToPower="No","Complete",IF(AND(I.Gas.P4Count&gt;=20,F2088=""),"Incomplete","Complete")))</f>
        <v>Complete</v>
      </c>
      <c r="I2088" s="39" t="s">
        <v>2317</v>
      </c>
    </row>
    <row r="2089" spans="2:9" ht="15" customHeight="1" x14ac:dyDescent="0.25">
      <c r="B2089" s="37" t="s">
        <v>2297</v>
      </c>
      <c r="C2089" s="26">
        <v>21</v>
      </c>
      <c r="D2089" s="38" t="s">
        <v>2715</v>
      </c>
      <c r="E2089" s="59"/>
      <c r="F2089" s="59" t="str">
        <f>IF(INDEX(I.Gas.P4C1E2,21)="","",INDEX(I.Gas.P4C1E2,21))</f>
        <v/>
      </c>
      <c r="G2089" s="59"/>
      <c r="H2089" s="26" t="str">
        <f>IF(OR(I.Developer.P4=FALSE,I.Facility.StandardPart="Part 2"),"Complete",IF(I.Product.P4GasToPower="No","Complete",IF(AND(I.Gas.P4Count&gt;=21,F2089=""),"Incomplete","Complete")))</f>
        <v>Complete</v>
      </c>
      <c r="I2089" s="39" t="s">
        <v>2318</v>
      </c>
    </row>
    <row r="2090" spans="2:9" ht="15" customHeight="1" x14ac:dyDescent="0.25">
      <c r="B2090" s="37" t="s">
        <v>2297</v>
      </c>
      <c r="C2090" s="26">
        <v>22</v>
      </c>
      <c r="D2090" s="38" t="s">
        <v>2715</v>
      </c>
      <c r="E2090" s="59"/>
      <c r="F2090" s="59" t="str">
        <f>IF(INDEX(I.Gas.P4C1E2,22)="","",INDEX(I.Gas.P4C1E2,22))</f>
        <v/>
      </c>
      <c r="G2090" s="59"/>
      <c r="H2090" s="26" t="str">
        <f>IF(OR(I.Developer.P4=FALSE,I.Facility.StandardPart="Part 2"),"Complete",IF(I.Product.P4GasToPower="No","Complete",IF(AND(I.Gas.P4Count&gt;=22,F2090=""),"Incomplete","Complete")))</f>
        <v>Complete</v>
      </c>
      <c r="I2090" s="39" t="s">
        <v>2319</v>
      </c>
    </row>
    <row r="2091" spans="2:9" ht="15" customHeight="1" x14ac:dyDescent="0.25">
      <c r="B2091" s="37" t="s">
        <v>2297</v>
      </c>
      <c r="C2091" s="26">
        <v>23</v>
      </c>
      <c r="D2091" s="38" t="s">
        <v>2715</v>
      </c>
      <c r="E2091" s="59"/>
      <c r="F2091" s="59" t="str">
        <f>IF(INDEX(I.Gas.P4C1E2,23)="","",INDEX(I.Gas.P4C1E2,23))</f>
        <v/>
      </c>
      <c r="G2091" s="59"/>
      <c r="H2091" s="26" t="str">
        <f>IF(OR(I.Developer.P4=FALSE,I.Facility.StandardPart="Part 2"),"Complete",IF(I.Product.P4GasToPower="No","Complete",IF(AND(I.Gas.P4Count&gt;=23,F2091=""),"Incomplete","Complete")))</f>
        <v>Complete</v>
      </c>
      <c r="I2091" s="39" t="s">
        <v>2320</v>
      </c>
    </row>
    <row r="2092" spans="2:9" ht="15" customHeight="1" x14ac:dyDescent="0.25">
      <c r="B2092" s="37" t="s">
        <v>2297</v>
      </c>
      <c r="C2092" s="26">
        <v>24</v>
      </c>
      <c r="D2092" s="38" t="s">
        <v>2715</v>
      </c>
      <c r="E2092" s="59"/>
      <c r="F2092" s="59" t="str">
        <f>IF(INDEX(I.Gas.P4C1E2,24)="","",INDEX(I.Gas.P4C1E2,24))</f>
        <v/>
      </c>
      <c r="G2092" s="59"/>
      <c r="H2092" s="26" t="str">
        <f>IF(OR(I.Developer.P4=FALSE,I.Facility.StandardPart="Part 2"),"Complete",IF(I.Product.P4GasToPower="No","Complete",IF(AND(I.Gas.P4Count&gt;=24,F2092=""),"Incomplete","Complete")))</f>
        <v>Complete</v>
      </c>
      <c r="I2092" s="39" t="s">
        <v>2321</v>
      </c>
    </row>
    <row r="2093" spans="2:9" ht="15" customHeight="1" x14ac:dyDescent="0.25">
      <c r="B2093" s="37" t="s">
        <v>2297</v>
      </c>
      <c r="C2093" s="26">
        <v>25</v>
      </c>
      <c r="D2093" s="38" t="s">
        <v>2715</v>
      </c>
      <c r="E2093" s="59"/>
      <c r="F2093" s="59" t="str">
        <f>IF(INDEX(I.Gas.P4C1E2,25)="","",INDEX(I.Gas.P4C1E2,25))</f>
        <v/>
      </c>
      <c r="G2093" s="59"/>
      <c r="H2093" s="26" t="str">
        <f>IF(OR(I.Developer.P4=FALSE,I.Facility.StandardPart="Part 2"),"Complete",IF(I.Product.P4GasToPower="No","Complete",IF(AND(I.Gas.P4Count&gt;=25,F2093=""),"Incomplete","Complete")))</f>
        <v>Complete</v>
      </c>
      <c r="I2093" s="39" t="s">
        <v>2322</v>
      </c>
    </row>
    <row r="2094" spans="2:9" ht="15" customHeight="1" x14ac:dyDescent="0.25">
      <c r="B2094" s="37" t="s">
        <v>2297</v>
      </c>
      <c r="C2094" s="26">
        <v>26</v>
      </c>
      <c r="D2094" s="38" t="s">
        <v>2715</v>
      </c>
      <c r="E2094" s="59"/>
      <c r="F2094" s="59" t="str">
        <f>IF(INDEX(I.Gas.P4C1E2,26)="","",INDEX(I.Gas.P4C1E2,26))</f>
        <v/>
      </c>
      <c r="G2094" s="59"/>
      <c r="H2094" s="26" t="str">
        <f>IF(OR(I.Developer.P4=FALSE,I.Facility.StandardPart="Part 2"),"Complete",IF(I.Product.P4GasToPower="No","Complete",IF(AND(I.Gas.P4Count&gt;=26,F2094=""),"Incomplete","Complete")))</f>
        <v>Complete</v>
      </c>
      <c r="I2094" s="39" t="s">
        <v>2323</v>
      </c>
    </row>
    <row r="2095" spans="2:9" ht="15" customHeight="1" x14ac:dyDescent="0.25">
      <c r="B2095" s="37" t="s">
        <v>2297</v>
      </c>
      <c r="C2095" s="26">
        <v>27</v>
      </c>
      <c r="D2095" s="38" t="s">
        <v>2715</v>
      </c>
      <c r="E2095" s="59"/>
      <c r="F2095" s="59" t="str">
        <f>IF(INDEX(I.Gas.P4C1E2,27)="","",INDEX(I.Gas.P4C1E2,27))</f>
        <v/>
      </c>
      <c r="G2095" s="59"/>
      <c r="H2095" s="26" t="str">
        <f>IF(OR(I.Developer.P4=FALSE,I.Facility.StandardPart="Part 2"),"Complete",IF(I.Product.P4GasToPower="No","Complete",IF(AND(I.Gas.P4Count&gt;=27,F2095=""),"Incomplete","Complete")))</f>
        <v>Complete</v>
      </c>
      <c r="I2095" s="39" t="s">
        <v>2324</v>
      </c>
    </row>
    <row r="2096" spans="2:9" ht="15" customHeight="1" x14ac:dyDescent="0.25">
      <c r="B2096" s="37" t="s">
        <v>2297</v>
      </c>
      <c r="C2096" s="26">
        <v>28</v>
      </c>
      <c r="D2096" s="38" t="s">
        <v>2715</v>
      </c>
      <c r="E2096" s="59"/>
      <c r="F2096" s="59" t="str">
        <f>IF(INDEX(I.Gas.P4C1E2,28)="","",INDEX(I.Gas.P4C1E2,28))</f>
        <v/>
      </c>
      <c r="G2096" s="59"/>
      <c r="H2096" s="26" t="str">
        <f>IF(OR(I.Developer.P4=FALSE,I.Facility.StandardPart="Part 2"),"Complete",IF(I.Product.P4GasToPower="No","Complete",IF(AND(I.Gas.P4Count&gt;=28,F2096=""),"Incomplete","Complete")))</f>
        <v>Complete</v>
      </c>
      <c r="I2096" s="39" t="s">
        <v>2325</v>
      </c>
    </row>
    <row r="2097" spans="2:9" ht="15" customHeight="1" x14ac:dyDescent="0.25">
      <c r="B2097" s="37" t="s">
        <v>2297</v>
      </c>
      <c r="C2097" s="26">
        <v>29</v>
      </c>
      <c r="D2097" s="38" t="s">
        <v>2715</v>
      </c>
      <c r="E2097" s="59"/>
      <c r="F2097" s="59" t="str">
        <f>IF(INDEX(I.Gas.P4C1E2,29)="","",INDEX(I.Gas.P4C1E2,29))</f>
        <v/>
      </c>
      <c r="G2097" s="59"/>
      <c r="H2097" s="26" t="str">
        <f>IF(OR(I.Developer.P4=FALSE,I.Facility.StandardPart="Part 2"),"Complete",IF(I.Product.P4GasToPower="No","Complete",IF(AND(I.Gas.P4Count&gt;=29,F2097=""),"Incomplete","Complete")))</f>
        <v>Complete</v>
      </c>
      <c r="I2097" s="39" t="s">
        <v>2326</v>
      </c>
    </row>
    <row r="2098" spans="2:9" ht="15" customHeight="1" x14ac:dyDescent="0.25">
      <c r="B2098" s="37" t="s">
        <v>2297</v>
      </c>
      <c r="C2098" s="26">
        <v>30</v>
      </c>
      <c r="D2098" s="38" t="s">
        <v>2715</v>
      </c>
      <c r="E2098" s="59"/>
      <c r="F2098" s="59" t="str">
        <f>IF(INDEX(I.Gas.P4C1E2,30)="","",INDEX(I.Gas.P4C1E2,30))</f>
        <v/>
      </c>
      <c r="G2098" s="59"/>
      <c r="H2098" s="26" t="str">
        <f>IF(OR(I.Developer.P4=FALSE,I.Facility.StandardPart="Part 2"),"Complete",IF(I.Product.P4GasToPower="No","Complete",IF(AND(I.Gas.P4Count&gt;=30,F2098=""),"Incomplete","Complete")))</f>
        <v>Complete</v>
      </c>
      <c r="I2098" s="39" t="s">
        <v>2327</v>
      </c>
    </row>
    <row r="2099" spans="2:9" ht="15" customHeight="1" x14ac:dyDescent="0.25">
      <c r="B2099" s="37" t="s">
        <v>2297</v>
      </c>
      <c r="C2099" s="26">
        <v>31</v>
      </c>
      <c r="D2099" s="38" t="s">
        <v>2715</v>
      </c>
      <c r="E2099" s="59"/>
      <c r="F2099" s="59" t="str">
        <f>IF(INDEX(I.Gas.P4C1E2,31)="","",INDEX(I.Gas.P4C1E2,31))</f>
        <v/>
      </c>
      <c r="G2099" s="59"/>
      <c r="H2099" s="26" t="str">
        <f>IF(OR(I.Developer.P4=FALSE,I.Facility.StandardPart="Part 2"),"Complete",IF(I.Product.P4GasToPower="No","Complete",IF(AND(I.Gas.P4Count&gt;=31,F2099=""),"Incomplete","Complete")))</f>
        <v>Complete</v>
      </c>
      <c r="I2099" s="39" t="s">
        <v>2328</v>
      </c>
    </row>
    <row r="2100" spans="2:9" ht="15" customHeight="1" x14ac:dyDescent="0.25">
      <c r="B2100" s="37" t="s">
        <v>2297</v>
      </c>
      <c r="C2100" s="26">
        <v>32</v>
      </c>
      <c r="D2100" s="38" t="s">
        <v>2715</v>
      </c>
      <c r="E2100" s="59"/>
      <c r="F2100" s="59" t="str">
        <f>IF(INDEX(I.Gas.P4C1E2,32)="","",INDEX(I.Gas.P4C1E2,32))</f>
        <v/>
      </c>
      <c r="G2100" s="59"/>
      <c r="H2100" s="26" t="str">
        <f>IF(OR(I.Developer.P4=FALSE,I.Facility.StandardPart="Part 2"),"Complete",IF(I.Product.P4GasToPower="No","Complete",IF(AND(I.Gas.P4Count&gt;=32,F2100=""),"Incomplete","Complete")))</f>
        <v>Complete</v>
      </c>
      <c r="I2100" s="39" t="s">
        <v>2329</v>
      </c>
    </row>
    <row r="2101" spans="2:9" ht="15" customHeight="1" x14ac:dyDescent="0.25">
      <c r="B2101" s="37" t="s">
        <v>2297</v>
      </c>
      <c r="C2101" s="26">
        <v>33</v>
      </c>
      <c r="D2101" s="38" t="s">
        <v>2715</v>
      </c>
      <c r="E2101" s="59"/>
      <c r="F2101" s="59" t="str">
        <f>IF(INDEX(I.Gas.P4C1E2,33)="","",INDEX(I.Gas.P4C1E2,33))</f>
        <v/>
      </c>
      <c r="G2101" s="59"/>
      <c r="H2101" s="26" t="str">
        <f>IF(OR(I.Developer.P4=FALSE,I.Facility.StandardPart="Part 2"),"Complete",IF(I.Product.P4GasToPower="No","Complete",IF(AND(I.Gas.P4Count&gt;=33,F2101=""),"Incomplete","Complete")))</f>
        <v>Complete</v>
      </c>
      <c r="I2101" s="39" t="s">
        <v>2330</v>
      </c>
    </row>
    <row r="2102" spans="2:9" ht="15" customHeight="1" x14ac:dyDescent="0.25">
      <c r="B2102" s="37" t="s">
        <v>2297</v>
      </c>
      <c r="C2102" s="26">
        <v>34</v>
      </c>
      <c r="D2102" s="38" t="s">
        <v>2715</v>
      </c>
      <c r="E2102" s="59"/>
      <c r="F2102" s="59" t="str">
        <f>IF(INDEX(I.Gas.P4C1E2,34)="","",INDEX(I.Gas.P4C1E2,34))</f>
        <v/>
      </c>
      <c r="G2102" s="59"/>
      <c r="H2102" s="26" t="str">
        <f>IF(OR(I.Developer.P4=FALSE,I.Facility.StandardPart="Part 2"),"Complete",IF(I.Product.P4GasToPower="No","Complete",IF(AND(I.Gas.P4Count&gt;=34,F2102=""),"Incomplete","Complete")))</f>
        <v>Complete</v>
      </c>
      <c r="I2102" s="39" t="s">
        <v>2331</v>
      </c>
    </row>
    <row r="2103" spans="2:9" ht="15" customHeight="1" x14ac:dyDescent="0.25">
      <c r="B2103" s="37" t="s">
        <v>2297</v>
      </c>
      <c r="C2103" s="26">
        <v>35</v>
      </c>
      <c r="D2103" s="38" t="s">
        <v>2715</v>
      </c>
      <c r="E2103" s="59"/>
      <c r="F2103" s="59" t="str">
        <f>IF(INDEX(I.Gas.P4C1E2,35)="","",INDEX(I.Gas.P4C1E2,35))</f>
        <v/>
      </c>
      <c r="G2103" s="59"/>
      <c r="H2103" s="26" t="str">
        <f>IF(OR(I.Developer.P4=FALSE,I.Facility.StandardPart="Part 2"),"Complete",IF(I.Product.P4GasToPower="No","Complete",IF(AND(I.Gas.P4Count&gt;=35,F2103=""),"Incomplete","Complete")))</f>
        <v>Complete</v>
      </c>
      <c r="I2103" s="39" t="s">
        <v>2332</v>
      </c>
    </row>
    <row r="2104" spans="2:9" ht="15" customHeight="1" x14ac:dyDescent="0.25">
      <c r="B2104" s="37" t="s">
        <v>2297</v>
      </c>
      <c r="C2104" s="26">
        <v>36</v>
      </c>
      <c r="D2104" s="38" t="s">
        <v>2715</v>
      </c>
      <c r="E2104" s="59"/>
      <c r="F2104" s="59" t="str">
        <f>IF(INDEX(I.Gas.P4C1E2,36)="","",INDEX(I.Gas.P4C1E2,36))</f>
        <v/>
      </c>
      <c r="G2104" s="59"/>
      <c r="H2104" s="26" t="str">
        <f>IF(OR(I.Developer.P4=FALSE,I.Facility.StandardPart="Part 2"),"Complete",IF(I.Product.P4GasToPower="No","Complete",IF(AND(I.Gas.P4Count&gt;=36,F2104=""),"Incomplete","Complete")))</f>
        <v>Complete</v>
      </c>
      <c r="I2104" s="39" t="s">
        <v>2333</v>
      </c>
    </row>
    <row r="2105" spans="2:9" ht="15" customHeight="1" x14ac:dyDescent="0.25">
      <c r="B2105" s="37" t="s">
        <v>2297</v>
      </c>
      <c r="C2105" s="26">
        <v>37</v>
      </c>
      <c r="D2105" s="38" t="s">
        <v>2715</v>
      </c>
      <c r="E2105" s="59"/>
      <c r="F2105" s="59" t="str">
        <f>IF(INDEX(I.Gas.P4C1E2,37)="","",INDEX(I.Gas.P4C1E2,37))</f>
        <v/>
      </c>
      <c r="G2105" s="59"/>
      <c r="H2105" s="26" t="str">
        <f>IF(OR(I.Developer.P4=FALSE,I.Facility.StandardPart="Part 2"),"Complete",IF(I.Product.P4GasToPower="No","Complete",IF(AND(I.Gas.P4Count&gt;=37,F2105=""),"Incomplete","Complete")))</f>
        <v>Complete</v>
      </c>
      <c r="I2105" s="39" t="s">
        <v>2334</v>
      </c>
    </row>
    <row r="2106" spans="2:9" ht="15" customHeight="1" x14ac:dyDescent="0.25">
      <c r="B2106" s="37" t="s">
        <v>2297</v>
      </c>
      <c r="C2106" s="26">
        <v>38</v>
      </c>
      <c r="D2106" s="38" t="s">
        <v>2715</v>
      </c>
      <c r="E2106" s="59"/>
      <c r="F2106" s="59" t="str">
        <f>IF(INDEX(I.Gas.P4C1E2,38)="","",INDEX(I.Gas.P4C1E2,38))</f>
        <v/>
      </c>
      <c r="G2106" s="59"/>
      <c r="H2106" s="26" t="str">
        <f>IF(OR(I.Developer.P4=FALSE,I.Facility.StandardPart="Part 2"),"Complete",IF(I.Product.P4GasToPower="No","Complete",IF(AND(I.Gas.P4Count&gt;=38,F2106=""),"Incomplete","Complete")))</f>
        <v>Complete</v>
      </c>
      <c r="I2106" s="39" t="s">
        <v>2335</v>
      </c>
    </row>
    <row r="2107" spans="2:9" ht="15" customHeight="1" x14ac:dyDescent="0.25">
      <c r="B2107" s="37" t="s">
        <v>2297</v>
      </c>
      <c r="C2107" s="26">
        <v>39</v>
      </c>
      <c r="D2107" s="38" t="s">
        <v>2715</v>
      </c>
      <c r="E2107" s="59"/>
      <c r="F2107" s="59" t="str">
        <f>IF(INDEX(I.Gas.P4C1E2,39)="","",INDEX(I.Gas.P4C1E2,39))</f>
        <v/>
      </c>
      <c r="G2107" s="59"/>
      <c r="H2107" s="26" t="str">
        <f>IF(OR(I.Developer.P4=FALSE,I.Facility.StandardPart="Part 2"),"Complete",IF(I.Product.P4GasToPower="No","Complete",IF(AND(I.Gas.P4Count&gt;=39,F2107=""),"Incomplete","Complete")))</f>
        <v>Complete</v>
      </c>
      <c r="I2107" s="39" t="s">
        <v>2336</v>
      </c>
    </row>
    <row r="2108" spans="2:9" ht="15" customHeight="1" x14ac:dyDescent="0.25">
      <c r="B2108" s="37" t="s">
        <v>2297</v>
      </c>
      <c r="C2108" s="26">
        <v>40</v>
      </c>
      <c r="D2108" s="38" t="s">
        <v>2715</v>
      </c>
      <c r="E2108" s="59"/>
      <c r="F2108" s="59" t="str">
        <f>IF(INDEX(I.Gas.P4C1E2,40)="","",INDEX(I.Gas.P4C1E2,40))</f>
        <v/>
      </c>
      <c r="G2108" s="59"/>
      <c r="H2108" s="26" t="str">
        <f>IF(OR(I.Developer.P4=FALSE,I.Facility.StandardPart="Part 2"),"Complete",IF(I.Product.P4GasToPower="No","Complete",IF(AND(I.Gas.P4Count&gt;=40,F2108=""),"Incomplete","Complete")))</f>
        <v>Complete</v>
      </c>
      <c r="I2108" s="39" t="s">
        <v>2337</v>
      </c>
    </row>
    <row r="2109" spans="2:9" ht="15" customHeight="1" x14ac:dyDescent="0.25">
      <c r="B2109" s="37" t="s">
        <v>2297</v>
      </c>
      <c r="C2109" s="26">
        <v>41</v>
      </c>
      <c r="D2109" s="38" t="s">
        <v>2715</v>
      </c>
      <c r="E2109" s="59"/>
      <c r="F2109" s="59" t="str">
        <f>IF(INDEX(I.Gas.P4C1E2,41)="","",INDEX(I.Gas.P4C1E2,41))</f>
        <v/>
      </c>
      <c r="G2109" s="59"/>
      <c r="H2109" s="26" t="str">
        <f>IF(OR(I.Developer.P4=FALSE,I.Facility.StandardPart="Part 2"),"Complete",IF(I.Product.P4GasToPower="No","Complete",IF(AND(I.Gas.P4Count&gt;=41,F2109=""),"Incomplete","Complete")))</f>
        <v>Complete</v>
      </c>
      <c r="I2109" s="39" t="s">
        <v>2338</v>
      </c>
    </row>
    <row r="2110" spans="2:9" ht="15" customHeight="1" x14ac:dyDescent="0.25">
      <c r="B2110" s="37" t="s">
        <v>2297</v>
      </c>
      <c r="C2110" s="26">
        <v>42</v>
      </c>
      <c r="D2110" s="38" t="s">
        <v>2715</v>
      </c>
      <c r="E2110" s="59"/>
      <c r="F2110" s="59" t="str">
        <f>IF(INDEX(I.Gas.P4C1E2,42)="","",INDEX(I.Gas.P4C1E2,42))</f>
        <v/>
      </c>
      <c r="G2110" s="59"/>
      <c r="H2110" s="26" t="str">
        <f>IF(OR(I.Developer.P4=FALSE,I.Facility.StandardPart="Part 2"),"Complete",IF(I.Product.P4GasToPower="No","Complete",IF(AND(I.Gas.P4Count&gt;=42,F2110=""),"Incomplete","Complete")))</f>
        <v>Complete</v>
      </c>
      <c r="I2110" s="39" t="s">
        <v>2339</v>
      </c>
    </row>
    <row r="2111" spans="2:9" ht="15" customHeight="1" x14ac:dyDescent="0.25">
      <c r="B2111" s="37" t="s">
        <v>2297</v>
      </c>
      <c r="C2111" s="26">
        <v>43</v>
      </c>
      <c r="D2111" s="38" t="s">
        <v>2715</v>
      </c>
      <c r="E2111" s="59"/>
      <c r="F2111" s="59" t="str">
        <f>IF(INDEX(I.Gas.P4C1E2,43)="","",INDEX(I.Gas.P4C1E2,43))</f>
        <v/>
      </c>
      <c r="G2111" s="59"/>
      <c r="H2111" s="26" t="str">
        <f>IF(OR(I.Developer.P4=FALSE,I.Facility.StandardPart="Part 2"),"Complete",IF(I.Product.P4GasToPower="No","Complete",IF(AND(I.Gas.P4Count&gt;=43,F2111=""),"Incomplete","Complete")))</f>
        <v>Complete</v>
      </c>
      <c r="I2111" s="39" t="s">
        <v>2340</v>
      </c>
    </row>
    <row r="2112" spans="2:9" ht="15" customHeight="1" x14ac:dyDescent="0.25">
      <c r="B2112" s="37" t="s">
        <v>2297</v>
      </c>
      <c r="C2112" s="26">
        <v>44</v>
      </c>
      <c r="D2112" s="38" t="s">
        <v>2715</v>
      </c>
      <c r="E2112" s="59"/>
      <c r="F2112" s="59" t="str">
        <f>IF(INDEX(I.Gas.P4C1E2,44)="","",INDEX(I.Gas.P4C1E2,44))</f>
        <v/>
      </c>
      <c r="G2112" s="59"/>
      <c r="H2112" s="26" t="str">
        <f>IF(OR(I.Developer.P4=FALSE,I.Facility.StandardPart="Part 2"),"Complete",IF(I.Product.P4GasToPower="No","Complete",IF(AND(I.Gas.P4Count&gt;=44,F2112=""),"Incomplete","Complete")))</f>
        <v>Complete</v>
      </c>
      <c r="I2112" s="39" t="s">
        <v>2341</v>
      </c>
    </row>
    <row r="2113" spans="2:9" ht="15" customHeight="1" x14ac:dyDescent="0.25">
      <c r="B2113" s="37" t="s">
        <v>2297</v>
      </c>
      <c r="C2113" s="26">
        <v>45</v>
      </c>
      <c r="D2113" s="38" t="s">
        <v>2715</v>
      </c>
      <c r="E2113" s="59"/>
      <c r="F2113" s="59" t="str">
        <f>IF(INDEX(I.Gas.P4C1E2,45)="","",INDEX(I.Gas.P4C1E2,45))</f>
        <v/>
      </c>
      <c r="G2113" s="59"/>
      <c r="H2113" s="26" t="str">
        <f>IF(OR(I.Developer.P4=FALSE,I.Facility.StandardPart="Part 2"),"Complete",IF(I.Product.P4GasToPower="No","Complete",IF(AND(I.Gas.P4Count&gt;=45,F2113=""),"Incomplete","Complete")))</f>
        <v>Complete</v>
      </c>
      <c r="I2113" s="39" t="s">
        <v>2342</v>
      </c>
    </row>
    <row r="2114" spans="2:9" ht="15" customHeight="1" x14ac:dyDescent="0.25">
      <c r="B2114" s="37" t="s">
        <v>2297</v>
      </c>
      <c r="C2114" s="26">
        <v>46</v>
      </c>
      <c r="D2114" s="38" t="s">
        <v>2715</v>
      </c>
      <c r="E2114" s="59"/>
      <c r="F2114" s="59" t="str">
        <f>IF(INDEX(I.Gas.P4C1E2,46)="","",INDEX(I.Gas.P4C1E2,46))</f>
        <v/>
      </c>
      <c r="G2114" s="59"/>
      <c r="H2114" s="26" t="str">
        <f>IF(OR(I.Developer.P4=FALSE,I.Facility.StandardPart="Part 2"),"Complete",IF(I.Product.P4GasToPower="No","Complete",IF(AND(I.Gas.P4Count&gt;=46,F2114=""),"Incomplete","Complete")))</f>
        <v>Complete</v>
      </c>
      <c r="I2114" s="39" t="s">
        <v>2343</v>
      </c>
    </row>
    <row r="2115" spans="2:9" ht="15" customHeight="1" x14ac:dyDescent="0.25">
      <c r="B2115" s="37" t="s">
        <v>2297</v>
      </c>
      <c r="C2115" s="26">
        <v>47</v>
      </c>
      <c r="D2115" s="38" t="s">
        <v>2715</v>
      </c>
      <c r="E2115" s="59"/>
      <c r="F2115" s="59" t="str">
        <f>IF(INDEX(I.Gas.P4C1E2,47)="","",INDEX(I.Gas.P4C1E2,47))</f>
        <v/>
      </c>
      <c r="G2115" s="59"/>
      <c r="H2115" s="26" t="str">
        <f>IF(OR(I.Developer.P4=FALSE,I.Facility.StandardPart="Part 2"),"Complete",IF(I.Product.P4GasToPower="No","Complete",IF(AND(I.Gas.P4Count&gt;=47,F2115=""),"Incomplete","Complete")))</f>
        <v>Complete</v>
      </c>
      <c r="I2115" s="39" t="s">
        <v>2344</v>
      </c>
    </row>
    <row r="2116" spans="2:9" ht="15" customHeight="1" x14ac:dyDescent="0.25">
      <c r="B2116" s="37" t="s">
        <v>2297</v>
      </c>
      <c r="C2116" s="26">
        <v>48</v>
      </c>
      <c r="D2116" s="38" t="s">
        <v>2715</v>
      </c>
      <c r="E2116" s="59"/>
      <c r="F2116" s="59" t="str">
        <f>IF(INDEX(I.Gas.P4C1E2,48)="","",INDEX(I.Gas.P4C1E2,48))</f>
        <v/>
      </c>
      <c r="G2116" s="59"/>
      <c r="H2116" s="26" t="str">
        <f>IF(OR(I.Developer.P4=FALSE,I.Facility.StandardPart="Part 2"),"Complete",IF(I.Product.P4GasToPower="No","Complete",IF(AND(I.Gas.P4Count&gt;=48,F2116=""),"Incomplete","Complete")))</f>
        <v>Complete</v>
      </c>
      <c r="I2116" s="39" t="s">
        <v>2345</v>
      </c>
    </row>
    <row r="2117" spans="2:9" ht="15" customHeight="1" x14ac:dyDescent="0.25">
      <c r="B2117" s="37" t="s">
        <v>2297</v>
      </c>
      <c r="C2117" s="26">
        <v>49</v>
      </c>
      <c r="D2117" s="38" t="s">
        <v>2715</v>
      </c>
      <c r="E2117" s="59"/>
      <c r="F2117" s="59" t="str">
        <f>IF(INDEX(I.Gas.P4C1E2,49)="","",INDEX(I.Gas.P4C1E2,49))</f>
        <v/>
      </c>
      <c r="G2117" s="59"/>
      <c r="H2117" s="26" t="str">
        <f>IF(OR(I.Developer.P4=FALSE,I.Facility.StandardPart="Part 2"),"Complete",IF(I.Product.P4GasToPower="No","Complete",IF(AND(I.Gas.P4Count&gt;=49,F2117=""),"Incomplete","Complete")))</f>
        <v>Complete</v>
      </c>
      <c r="I2117" s="39" t="s">
        <v>2346</v>
      </c>
    </row>
    <row r="2118" spans="2:9" ht="15" customHeight="1" x14ac:dyDescent="0.25">
      <c r="B2118" s="40" t="s">
        <v>2297</v>
      </c>
      <c r="C2118" s="46">
        <v>50</v>
      </c>
      <c r="D2118" s="44" t="s">
        <v>2715</v>
      </c>
      <c r="E2118" s="63"/>
      <c r="F2118" s="63" t="str">
        <f>IF(INDEX(I.Gas.P4C1E2,50)="","",INDEX(I.Gas.P4C1E2,50))</f>
        <v/>
      </c>
      <c r="G2118" s="63"/>
      <c r="H2118" s="46" t="str">
        <f>IF(OR(I.Developer.P4=FALSE,I.Facility.StandardPart="Part 2"),"Complete",IF(I.Product.P4GasToPower="No","Complete",IF(AND(I.Gas.P4Count&gt;=50,F2118=""),"Incomplete","Complete")))</f>
        <v>Complete</v>
      </c>
      <c r="I2118" s="47" t="s">
        <v>2347</v>
      </c>
    </row>
    <row r="2119" spans="2:9" ht="15" customHeight="1" x14ac:dyDescent="0.25">
      <c r="B2119" s="37" t="s">
        <v>2348</v>
      </c>
      <c r="C2119" s="26">
        <v>1</v>
      </c>
      <c r="D2119" s="38" t="s">
        <v>2716</v>
      </c>
      <c r="E2119" s="59"/>
      <c r="F2119" s="59" t="str">
        <f>IF(INDEX(I.Gas.P4C1E3,1)="","",INDEX(I.Gas.P4C1E3,1))</f>
        <v/>
      </c>
      <c r="G2119" s="59"/>
      <c r="H2119" s="26" t="str">
        <f>IF(OR(I.Developer.P4=FALSE,I.Facility.StandardPart="Part 2"),"Complete",IF(I.Product.P4GasToPower="No","Complete",IF(AND(I.Gas.P4Count&gt;=1,F2119=""),"Incomplete","Complete")))</f>
        <v>Complete</v>
      </c>
      <c r="I2119" s="39" t="s">
        <v>2349</v>
      </c>
    </row>
    <row r="2120" spans="2:9" ht="15" customHeight="1" x14ac:dyDescent="0.25">
      <c r="B2120" s="37" t="s">
        <v>2348</v>
      </c>
      <c r="C2120" s="26">
        <v>2</v>
      </c>
      <c r="D2120" s="38" t="s">
        <v>2716</v>
      </c>
      <c r="E2120" s="59"/>
      <c r="F2120" s="59" t="str">
        <f>IF(INDEX(I.Gas.P4C1E3,2)="","",INDEX(I.Gas.P4C1E3,2))</f>
        <v/>
      </c>
      <c r="G2120" s="59"/>
      <c r="H2120" s="26" t="str">
        <f>IF(OR(I.Developer.P4=FALSE,I.Facility.StandardPart="Part 2"),"Complete",IF(I.Product.P4GasToPower="No","Complete",IF(AND(I.Gas.P4Count&gt;=2,F2120=""),"Incomplete","Complete")))</f>
        <v>Complete</v>
      </c>
      <c r="I2120" s="39" t="s">
        <v>2350</v>
      </c>
    </row>
    <row r="2121" spans="2:9" ht="15" customHeight="1" x14ac:dyDescent="0.25">
      <c r="B2121" s="37" t="s">
        <v>2348</v>
      </c>
      <c r="C2121" s="26">
        <v>3</v>
      </c>
      <c r="D2121" s="38" t="s">
        <v>2716</v>
      </c>
      <c r="E2121" s="59"/>
      <c r="F2121" s="59" t="str">
        <f>IF(INDEX(I.Gas.P4C1E3,3)="","",INDEX(I.Gas.P4C1E3,3))</f>
        <v/>
      </c>
      <c r="G2121" s="59"/>
      <c r="H2121" s="26" t="str">
        <f>IF(OR(I.Developer.P4=FALSE,I.Facility.StandardPart="Part 2"),"Complete",IF(I.Product.P4GasToPower="No","Complete",IF(AND(I.Gas.P4Count&gt;=3,F2121=""),"Incomplete","Complete")))</f>
        <v>Complete</v>
      </c>
      <c r="I2121" s="39" t="s">
        <v>2351</v>
      </c>
    </row>
    <row r="2122" spans="2:9" ht="15" customHeight="1" x14ac:dyDescent="0.25">
      <c r="B2122" s="37" t="s">
        <v>2348</v>
      </c>
      <c r="C2122" s="26">
        <v>4</v>
      </c>
      <c r="D2122" s="38" t="s">
        <v>2716</v>
      </c>
      <c r="E2122" s="59"/>
      <c r="F2122" s="59" t="str">
        <f>IF(INDEX(I.Gas.P4C1E3,4)="","",INDEX(I.Gas.P4C1E3,4))</f>
        <v/>
      </c>
      <c r="G2122" s="59"/>
      <c r="H2122" s="26" t="str">
        <f>IF(OR(I.Developer.P4=FALSE,I.Facility.StandardPart="Part 2"),"Complete",IF(I.Product.P4GasToPower="No","Complete",IF(AND(I.Gas.P4Count&gt;=4,F2122=""),"Incomplete","Complete")))</f>
        <v>Complete</v>
      </c>
      <c r="I2122" s="39" t="s">
        <v>2352</v>
      </c>
    </row>
    <row r="2123" spans="2:9" ht="15" customHeight="1" x14ac:dyDescent="0.25">
      <c r="B2123" s="37" t="s">
        <v>2348</v>
      </c>
      <c r="C2123" s="26">
        <v>5</v>
      </c>
      <c r="D2123" s="38" t="s">
        <v>2716</v>
      </c>
      <c r="E2123" s="59"/>
      <c r="F2123" s="59" t="str">
        <f>IF(INDEX(I.Gas.P4C1E3,5)="","",INDEX(I.Gas.P4C1E3,5))</f>
        <v/>
      </c>
      <c r="G2123" s="59"/>
      <c r="H2123" s="26" t="str">
        <f>IF(OR(I.Developer.P4=FALSE,I.Facility.StandardPart="Part 2"),"Complete",IF(I.Product.P4GasToPower="No","Complete",IF(AND(I.Gas.P4Count&gt;=5,F2123=""),"Incomplete","Complete")))</f>
        <v>Complete</v>
      </c>
      <c r="I2123" s="39" t="s">
        <v>2353</v>
      </c>
    </row>
    <row r="2124" spans="2:9" ht="15" customHeight="1" x14ac:dyDescent="0.25">
      <c r="B2124" s="37" t="s">
        <v>2348</v>
      </c>
      <c r="C2124" s="26">
        <v>6</v>
      </c>
      <c r="D2124" s="38" t="s">
        <v>2716</v>
      </c>
      <c r="E2124" s="59"/>
      <c r="F2124" s="59" t="str">
        <f>IF(INDEX(I.Gas.P4C1E3,6)="","",INDEX(I.Gas.P4C1E3,6))</f>
        <v/>
      </c>
      <c r="G2124" s="59"/>
      <c r="H2124" s="26" t="str">
        <f>IF(OR(I.Developer.P4=FALSE,I.Facility.StandardPart="Part 2"),"Complete",IF(I.Product.P4GasToPower="No","Complete",IF(AND(I.Gas.P4Count&gt;=6,F2124=""),"Incomplete","Complete")))</f>
        <v>Complete</v>
      </c>
      <c r="I2124" s="39" t="s">
        <v>2354</v>
      </c>
    </row>
    <row r="2125" spans="2:9" ht="15" customHeight="1" x14ac:dyDescent="0.25">
      <c r="B2125" s="37" t="s">
        <v>2348</v>
      </c>
      <c r="C2125" s="26">
        <v>7</v>
      </c>
      <c r="D2125" s="38" t="s">
        <v>2716</v>
      </c>
      <c r="E2125" s="59"/>
      <c r="F2125" s="59" t="str">
        <f>IF(INDEX(I.Gas.P4C1E3,7)="","",INDEX(I.Gas.P4C1E3,7))</f>
        <v/>
      </c>
      <c r="G2125" s="59"/>
      <c r="H2125" s="26" t="str">
        <f>IF(OR(I.Developer.P4=FALSE,I.Facility.StandardPart="Part 2"),"Complete",IF(I.Product.P4GasToPower="No","Complete",IF(AND(I.Gas.P4Count&gt;=7,F2125=""),"Incomplete","Complete")))</f>
        <v>Complete</v>
      </c>
      <c r="I2125" s="39" t="s">
        <v>2355</v>
      </c>
    </row>
    <row r="2126" spans="2:9" ht="15" customHeight="1" x14ac:dyDescent="0.25">
      <c r="B2126" s="37" t="s">
        <v>2348</v>
      </c>
      <c r="C2126" s="26">
        <v>8</v>
      </c>
      <c r="D2126" s="38" t="s">
        <v>2716</v>
      </c>
      <c r="E2126" s="59"/>
      <c r="F2126" s="59" t="str">
        <f>IF(INDEX(I.Gas.P4C1E3,8)="","",INDEX(I.Gas.P4C1E3,8))</f>
        <v/>
      </c>
      <c r="G2126" s="59"/>
      <c r="H2126" s="26" t="str">
        <f>IF(OR(I.Developer.P4=FALSE,I.Facility.StandardPart="Part 2"),"Complete",IF(I.Product.P4GasToPower="No","Complete",IF(AND(I.Gas.P4Count&gt;=8,F2126=""),"Incomplete","Complete")))</f>
        <v>Complete</v>
      </c>
      <c r="I2126" s="39" t="s">
        <v>2356</v>
      </c>
    </row>
    <row r="2127" spans="2:9" ht="15" customHeight="1" x14ac:dyDescent="0.25">
      <c r="B2127" s="37" t="s">
        <v>2348</v>
      </c>
      <c r="C2127" s="26">
        <v>9</v>
      </c>
      <c r="D2127" s="38" t="s">
        <v>2716</v>
      </c>
      <c r="E2127" s="59"/>
      <c r="F2127" s="59" t="str">
        <f>IF(INDEX(I.Gas.P4C1E3,9)="","",INDEX(I.Gas.P4C1E3,9))</f>
        <v/>
      </c>
      <c r="G2127" s="59"/>
      <c r="H2127" s="26" t="str">
        <f>IF(OR(I.Developer.P4=FALSE,I.Facility.StandardPart="Part 2"),"Complete",IF(I.Product.P4GasToPower="No","Complete",IF(AND(I.Gas.P4Count&gt;=9,F2127=""),"Incomplete","Complete")))</f>
        <v>Complete</v>
      </c>
      <c r="I2127" s="39" t="s">
        <v>2357</v>
      </c>
    </row>
    <row r="2128" spans="2:9" ht="15" customHeight="1" x14ac:dyDescent="0.25">
      <c r="B2128" s="37" t="s">
        <v>2348</v>
      </c>
      <c r="C2128" s="26">
        <v>10</v>
      </c>
      <c r="D2128" s="38" t="s">
        <v>2716</v>
      </c>
      <c r="E2128" s="59"/>
      <c r="F2128" s="59" t="str">
        <f>IF(INDEX(I.Gas.P4C1E3,10)="","",INDEX(I.Gas.P4C1E3,10))</f>
        <v/>
      </c>
      <c r="G2128" s="59"/>
      <c r="H2128" s="26" t="str">
        <f>IF(OR(I.Developer.P4=FALSE,I.Facility.StandardPart="Part 2"),"Complete",IF(I.Product.P4GasToPower="No","Complete",IF(AND(I.Gas.P4Count&gt;=10,F2128=""),"Incomplete","Complete")))</f>
        <v>Complete</v>
      </c>
      <c r="I2128" s="39" t="s">
        <v>2358</v>
      </c>
    </row>
    <row r="2129" spans="2:9" ht="15" customHeight="1" x14ac:dyDescent="0.25">
      <c r="B2129" s="37" t="s">
        <v>2348</v>
      </c>
      <c r="C2129" s="26">
        <v>11</v>
      </c>
      <c r="D2129" s="38" t="s">
        <v>2716</v>
      </c>
      <c r="E2129" s="59"/>
      <c r="F2129" s="59" t="str">
        <f>IF(INDEX(I.Gas.P4C1E3,11)="","",INDEX(I.Gas.P4C1E3,11))</f>
        <v/>
      </c>
      <c r="G2129" s="59"/>
      <c r="H2129" s="26" t="str">
        <f>IF(OR(I.Developer.P4=FALSE,I.Facility.StandardPart="Part 2"),"Complete",IF(I.Product.P4GasToPower="No","Complete",IF(AND(I.Gas.P4Count&gt;=11,F2129=""),"Incomplete","Complete")))</f>
        <v>Complete</v>
      </c>
      <c r="I2129" s="39" t="s">
        <v>2359</v>
      </c>
    </row>
    <row r="2130" spans="2:9" ht="15" customHeight="1" x14ac:dyDescent="0.25">
      <c r="B2130" s="37" t="s">
        <v>2348</v>
      </c>
      <c r="C2130" s="26">
        <v>12</v>
      </c>
      <c r="D2130" s="38" t="s">
        <v>2716</v>
      </c>
      <c r="E2130" s="59"/>
      <c r="F2130" s="59" t="str">
        <f>IF(INDEX(I.Gas.P4C1E3,12)="","",INDEX(I.Gas.P4C1E3,12))</f>
        <v/>
      </c>
      <c r="G2130" s="59"/>
      <c r="H2130" s="26" t="str">
        <f>IF(OR(I.Developer.P4=FALSE,I.Facility.StandardPart="Part 2"),"Complete",IF(I.Product.P4GasToPower="No","Complete",IF(AND(I.Gas.P4Count&gt;=12,F2130=""),"Incomplete","Complete")))</f>
        <v>Complete</v>
      </c>
      <c r="I2130" s="39" t="s">
        <v>2360</v>
      </c>
    </row>
    <row r="2131" spans="2:9" ht="15" customHeight="1" x14ac:dyDescent="0.25">
      <c r="B2131" s="37" t="s">
        <v>2348</v>
      </c>
      <c r="C2131" s="26">
        <v>13</v>
      </c>
      <c r="D2131" s="38" t="s">
        <v>2716</v>
      </c>
      <c r="E2131" s="59"/>
      <c r="F2131" s="59" t="str">
        <f>IF(INDEX(I.Gas.P4C1E3,13)="","",INDEX(I.Gas.P4C1E3,13))</f>
        <v/>
      </c>
      <c r="G2131" s="59"/>
      <c r="H2131" s="26" t="str">
        <f>IF(OR(I.Developer.P4=FALSE,I.Facility.StandardPart="Part 2"),"Complete",IF(I.Product.P4GasToPower="No","Complete",IF(AND(I.Gas.P4Count&gt;=13,F2131=""),"Incomplete","Complete")))</f>
        <v>Complete</v>
      </c>
      <c r="I2131" s="39" t="s">
        <v>2361</v>
      </c>
    </row>
    <row r="2132" spans="2:9" ht="15" customHeight="1" x14ac:dyDescent="0.25">
      <c r="B2132" s="37" t="s">
        <v>2348</v>
      </c>
      <c r="C2132" s="26">
        <v>14</v>
      </c>
      <c r="D2132" s="38" t="s">
        <v>2716</v>
      </c>
      <c r="E2132" s="59"/>
      <c r="F2132" s="59" t="str">
        <f>IF(INDEX(I.Gas.P4C1E3,14)="","",INDEX(I.Gas.P4C1E3,14))</f>
        <v/>
      </c>
      <c r="G2132" s="59"/>
      <c r="H2132" s="26" t="str">
        <f>IF(OR(I.Developer.P4=FALSE,I.Facility.StandardPart="Part 2"),"Complete",IF(I.Product.P4GasToPower="No","Complete",IF(AND(I.Gas.P4Count&gt;=14,F2132=""),"Incomplete","Complete")))</f>
        <v>Complete</v>
      </c>
      <c r="I2132" s="39" t="s">
        <v>2362</v>
      </c>
    </row>
    <row r="2133" spans="2:9" ht="15" customHeight="1" x14ac:dyDescent="0.25">
      <c r="B2133" s="37" t="s">
        <v>2348</v>
      </c>
      <c r="C2133" s="26">
        <v>15</v>
      </c>
      <c r="D2133" s="38" t="s">
        <v>2716</v>
      </c>
      <c r="E2133" s="59"/>
      <c r="F2133" s="59" t="str">
        <f>IF(INDEX(I.Gas.P4C1E3,15)="","",INDEX(I.Gas.P4C1E3,15))</f>
        <v/>
      </c>
      <c r="G2133" s="59"/>
      <c r="H2133" s="26" t="str">
        <f>IF(OR(I.Developer.P4=FALSE,I.Facility.StandardPart="Part 2"),"Complete",IF(I.Product.P4GasToPower="No","Complete",IF(AND(I.Gas.P4Count&gt;=15,F2133=""),"Incomplete","Complete")))</f>
        <v>Complete</v>
      </c>
      <c r="I2133" s="39" t="s">
        <v>2363</v>
      </c>
    </row>
    <row r="2134" spans="2:9" ht="15" customHeight="1" x14ac:dyDescent="0.25">
      <c r="B2134" s="37" t="s">
        <v>2348</v>
      </c>
      <c r="C2134" s="26">
        <v>16</v>
      </c>
      <c r="D2134" s="38" t="s">
        <v>2716</v>
      </c>
      <c r="E2134" s="59"/>
      <c r="F2134" s="59" t="str">
        <f>IF(INDEX(I.Gas.P4C1E3,16)="","",INDEX(I.Gas.P4C1E3,16))</f>
        <v/>
      </c>
      <c r="G2134" s="59"/>
      <c r="H2134" s="26" t="str">
        <f>IF(OR(I.Developer.P4=FALSE,I.Facility.StandardPart="Part 2"),"Complete",IF(I.Product.P4GasToPower="No","Complete",IF(AND(I.Gas.P4Count&gt;=16,F2134=""),"Incomplete","Complete")))</f>
        <v>Complete</v>
      </c>
      <c r="I2134" s="39" t="s">
        <v>2364</v>
      </c>
    </row>
    <row r="2135" spans="2:9" ht="15" customHeight="1" x14ac:dyDescent="0.25">
      <c r="B2135" s="37" t="s">
        <v>2348</v>
      </c>
      <c r="C2135" s="26">
        <v>17</v>
      </c>
      <c r="D2135" s="38" t="s">
        <v>2716</v>
      </c>
      <c r="E2135" s="59"/>
      <c r="F2135" s="59" t="str">
        <f>IF(INDEX(I.Gas.P4C1E3,17)="","",INDEX(I.Gas.P4C1E3,17))</f>
        <v/>
      </c>
      <c r="G2135" s="59"/>
      <c r="H2135" s="26" t="str">
        <f>IF(OR(I.Developer.P4=FALSE,I.Facility.StandardPart="Part 2"),"Complete",IF(I.Product.P4GasToPower="No","Complete",IF(AND(I.Gas.P4Count&gt;=17,F2135=""),"Incomplete","Complete")))</f>
        <v>Complete</v>
      </c>
      <c r="I2135" s="39" t="s">
        <v>2365</v>
      </c>
    </row>
    <row r="2136" spans="2:9" ht="15" customHeight="1" x14ac:dyDescent="0.25">
      <c r="B2136" s="37" t="s">
        <v>2348</v>
      </c>
      <c r="C2136" s="26">
        <v>18</v>
      </c>
      <c r="D2136" s="38" t="s">
        <v>2716</v>
      </c>
      <c r="E2136" s="59"/>
      <c r="F2136" s="59" t="str">
        <f>IF(INDEX(I.Gas.P4C1E3,18)="","",INDEX(I.Gas.P4C1E3,18))</f>
        <v/>
      </c>
      <c r="G2136" s="59"/>
      <c r="H2136" s="26" t="str">
        <f>IF(OR(I.Developer.P4=FALSE,I.Facility.StandardPart="Part 2"),"Complete",IF(I.Product.P4GasToPower="No","Complete",IF(AND(I.Gas.P4Count&gt;=18,F2136=""),"Incomplete","Complete")))</f>
        <v>Complete</v>
      </c>
      <c r="I2136" s="39" t="s">
        <v>2366</v>
      </c>
    </row>
    <row r="2137" spans="2:9" ht="15" customHeight="1" x14ac:dyDescent="0.25">
      <c r="B2137" s="37" t="s">
        <v>2348</v>
      </c>
      <c r="C2137" s="26">
        <v>19</v>
      </c>
      <c r="D2137" s="38" t="s">
        <v>2716</v>
      </c>
      <c r="E2137" s="59"/>
      <c r="F2137" s="59" t="str">
        <f>IF(INDEX(I.Gas.P4C1E3,19)="","",INDEX(I.Gas.P4C1E3,19))</f>
        <v/>
      </c>
      <c r="G2137" s="59"/>
      <c r="H2137" s="26" t="str">
        <f>IF(OR(I.Developer.P4=FALSE,I.Facility.StandardPart="Part 2"),"Complete",IF(I.Product.P4GasToPower="No","Complete",IF(AND(I.Gas.P4Count&gt;=19,F2137=""),"Incomplete","Complete")))</f>
        <v>Complete</v>
      </c>
      <c r="I2137" s="39" t="s">
        <v>2367</v>
      </c>
    </row>
    <row r="2138" spans="2:9" ht="15" customHeight="1" x14ac:dyDescent="0.25">
      <c r="B2138" s="37" t="s">
        <v>2348</v>
      </c>
      <c r="C2138" s="26">
        <v>20</v>
      </c>
      <c r="D2138" s="38" t="s">
        <v>2716</v>
      </c>
      <c r="E2138" s="59"/>
      <c r="F2138" s="59" t="str">
        <f>IF(INDEX(I.Gas.P4C1E3,20)="","",INDEX(I.Gas.P4C1E3,20))</f>
        <v/>
      </c>
      <c r="G2138" s="59"/>
      <c r="H2138" s="26" t="str">
        <f>IF(OR(I.Developer.P4=FALSE,I.Facility.StandardPart="Part 2"),"Complete",IF(I.Product.P4GasToPower="No","Complete",IF(AND(I.Gas.P4Count&gt;=20,F2138=""),"Incomplete","Complete")))</f>
        <v>Complete</v>
      </c>
      <c r="I2138" s="39" t="s">
        <v>2368</v>
      </c>
    </row>
    <row r="2139" spans="2:9" ht="15" customHeight="1" x14ac:dyDescent="0.25">
      <c r="B2139" s="37" t="s">
        <v>2348</v>
      </c>
      <c r="C2139" s="26">
        <v>21</v>
      </c>
      <c r="D2139" s="38" t="s">
        <v>2716</v>
      </c>
      <c r="E2139" s="59"/>
      <c r="F2139" s="59" t="str">
        <f>IF(INDEX(I.Gas.P4C1E3,21)="","",INDEX(I.Gas.P4C1E3,21))</f>
        <v/>
      </c>
      <c r="G2139" s="59"/>
      <c r="H2139" s="26" t="str">
        <f>IF(OR(I.Developer.P4=FALSE,I.Facility.StandardPart="Part 2"),"Complete",IF(I.Product.P4GasToPower="No","Complete",IF(AND(I.Gas.P4Count&gt;=21,F2139=""),"Incomplete","Complete")))</f>
        <v>Complete</v>
      </c>
      <c r="I2139" s="39" t="s">
        <v>2369</v>
      </c>
    </row>
    <row r="2140" spans="2:9" ht="15" customHeight="1" x14ac:dyDescent="0.25">
      <c r="B2140" s="37" t="s">
        <v>2348</v>
      </c>
      <c r="C2140" s="26">
        <v>22</v>
      </c>
      <c r="D2140" s="38" t="s">
        <v>2716</v>
      </c>
      <c r="E2140" s="59"/>
      <c r="F2140" s="59" t="str">
        <f>IF(INDEX(I.Gas.P4C1E3,22)="","",INDEX(I.Gas.P4C1E3,22))</f>
        <v/>
      </c>
      <c r="G2140" s="59"/>
      <c r="H2140" s="26" t="str">
        <f>IF(OR(I.Developer.P4=FALSE,I.Facility.StandardPart="Part 2"),"Complete",IF(I.Product.P4GasToPower="No","Complete",IF(AND(I.Gas.P4Count&gt;=22,F2140=""),"Incomplete","Complete")))</f>
        <v>Complete</v>
      </c>
      <c r="I2140" s="39" t="s">
        <v>2370</v>
      </c>
    </row>
    <row r="2141" spans="2:9" ht="15" customHeight="1" x14ac:dyDescent="0.25">
      <c r="B2141" s="37" t="s">
        <v>2348</v>
      </c>
      <c r="C2141" s="26">
        <v>23</v>
      </c>
      <c r="D2141" s="38" t="s">
        <v>2716</v>
      </c>
      <c r="E2141" s="59"/>
      <c r="F2141" s="59" t="str">
        <f>IF(INDEX(I.Gas.P4C1E3,23)="","",INDEX(I.Gas.P4C1E3,23))</f>
        <v/>
      </c>
      <c r="G2141" s="59"/>
      <c r="H2141" s="26" t="str">
        <f>IF(OR(I.Developer.P4=FALSE,I.Facility.StandardPart="Part 2"),"Complete",IF(I.Product.P4GasToPower="No","Complete",IF(AND(I.Gas.P4Count&gt;=23,F2141=""),"Incomplete","Complete")))</f>
        <v>Complete</v>
      </c>
      <c r="I2141" s="39" t="s">
        <v>2371</v>
      </c>
    </row>
    <row r="2142" spans="2:9" ht="15" customHeight="1" x14ac:dyDescent="0.25">
      <c r="B2142" s="37" t="s">
        <v>2348</v>
      </c>
      <c r="C2142" s="26">
        <v>24</v>
      </c>
      <c r="D2142" s="38" t="s">
        <v>2716</v>
      </c>
      <c r="E2142" s="59"/>
      <c r="F2142" s="59" t="str">
        <f>IF(INDEX(I.Gas.P4C1E3,24)="","",INDEX(I.Gas.P4C1E3,24))</f>
        <v/>
      </c>
      <c r="G2142" s="59"/>
      <c r="H2142" s="26" t="str">
        <f>IF(OR(I.Developer.P4=FALSE,I.Facility.StandardPart="Part 2"),"Complete",IF(I.Product.P4GasToPower="No","Complete",IF(AND(I.Gas.P4Count&gt;=24,F2142=""),"Incomplete","Complete")))</f>
        <v>Complete</v>
      </c>
      <c r="I2142" s="39" t="s">
        <v>2372</v>
      </c>
    </row>
    <row r="2143" spans="2:9" ht="15" customHeight="1" x14ac:dyDescent="0.25">
      <c r="B2143" s="37" t="s">
        <v>2348</v>
      </c>
      <c r="C2143" s="26">
        <v>25</v>
      </c>
      <c r="D2143" s="38" t="s">
        <v>2716</v>
      </c>
      <c r="E2143" s="59"/>
      <c r="F2143" s="59" t="str">
        <f>IF(INDEX(I.Gas.P4C1E3,25)="","",INDEX(I.Gas.P4C1E3,25))</f>
        <v/>
      </c>
      <c r="G2143" s="59"/>
      <c r="H2143" s="26" t="str">
        <f>IF(OR(I.Developer.P4=FALSE,I.Facility.StandardPart="Part 2"),"Complete",IF(I.Product.P4GasToPower="No","Complete",IF(AND(I.Gas.P4Count&gt;=25,F2143=""),"Incomplete","Complete")))</f>
        <v>Complete</v>
      </c>
      <c r="I2143" s="39" t="s">
        <v>2373</v>
      </c>
    </row>
    <row r="2144" spans="2:9" ht="15" customHeight="1" x14ac:dyDescent="0.25">
      <c r="B2144" s="37" t="s">
        <v>2348</v>
      </c>
      <c r="C2144" s="26">
        <v>26</v>
      </c>
      <c r="D2144" s="38" t="s">
        <v>2716</v>
      </c>
      <c r="E2144" s="59"/>
      <c r="F2144" s="59" t="str">
        <f>IF(INDEX(I.Gas.P4C1E3,26)="","",INDEX(I.Gas.P4C1E3,26))</f>
        <v/>
      </c>
      <c r="G2144" s="59"/>
      <c r="H2144" s="26" t="str">
        <f>IF(OR(I.Developer.P4=FALSE,I.Facility.StandardPart="Part 2"),"Complete",IF(I.Product.P4GasToPower="No","Complete",IF(AND(I.Gas.P4Count&gt;=26,F2144=""),"Incomplete","Complete")))</f>
        <v>Complete</v>
      </c>
      <c r="I2144" s="39" t="s">
        <v>2374</v>
      </c>
    </row>
    <row r="2145" spans="2:9" ht="15" customHeight="1" x14ac:dyDescent="0.25">
      <c r="B2145" s="37" t="s">
        <v>2348</v>
      </c>
      <c r="C2145" s="26">
        <v>27</v>
      </c>
      <c r="D2145" s="38" t="s">
        <v>2716</v>
      </c>
      <c r="E2145" s="59"/>
      <c r="F2145" s="59" t="str">
        <f>IF(INDEX(I.Gas.P4C1E3,27)="","",INDEX(I.Gas.P4C1E3,27))</f>
        <v/>
      </c>
      <c r="G2145" s="59"/>
      <c r="H2145" s="26" t="str">
        <f>IF(OR(I.Developer.P4=FALSE,I.Facility.StandardPart="Part 2"),"Complete",IF(I.Product.P4GasToPower="No","Complete",IF(AND(I.Gas.P4Count&gt;=27,F2145=""),"Incomplete","Complete")))</f>
        <v>Complete</v>
      </c>
      <c r="I2145" s="39" t="s">
        <v>2375</v>
      </c>
    </row>
    <row r="2146" spans="2:9" ht="15" customHeight="1" x14ac:dyDescent="0.25">
      <c r="B2146" s="37" t="s">
        <v>2348</v>
      </c>
      <c r="C2146" s="26">
        <v>28</v>
      </c>
      <c r="D2146" s="38" t="s">
        <v>2716</v>
      </c>
      <c r="E2146" s="59"/>
      <c r="F2146" s="59" t="str">
        <f>IF(INDEX(I.Gas.P4C1E3,28)="","",INDEX(I.Gas.P4C1E3,28))</f>
        <v/>
      </c>
      <c r="G2146" s="59"/>
      <c r="H2146" s="26" t="str">
        <f>IF(OR(I.Developer.P4=FALSE,I.Facility.StandardPart="Part 2"),"Complete",IF(I.Product.P4GasToPower="No","Complete",IF(AND(I.Gas.P4Count&gt;=28,F2146=""),"Incomplete","Complete")))</f>
        <v>Complete</v>
      </c>
      <c r="I2146" s="39" t="s">
        <v>2376</v>
      </c>
    </row>
    <row r="2147" spans="2:9" ht="15" customHeight="1" x14ac:dyDescent="0.25">
      <c r="B2147" s="37" t="s">
        <v>2348</v>
      </c>
      <c r="C2147" s="26">
        <v>29</v>
      </c>
      <c r="D2147" s="38" t="s">
        <v>2716</v>
      </c>
      <c r="E2147" s="59"/>
      <c r="F2147" s="59" t="str">
        <f>IF(INDEX(I.Gas.P4C1E3,29)="","",INDEX(I.Gas.P4C1E3,29))</f>
        <v/>
      </c>
      <c r="G2147" s="59"/>
      <c r="H2147" s="26" t="str">
        <f>IF(OR(I.Developer.P4=FALSE,I.Facility.StandardPart="Part 2"),"Complete",IF(I.Product.P4GasToPower="No","Complete",IF(AND(I.Gas.P4Count&gt;=29,F2147=""),"Incomplete","Complete")))</f>
        <v>Complete</v>
      </c>
      <c r="I2147" s="39" t="s">
        <v>2377</v>
      </c>
    </row>
    <row r="2148" spans="2:9" ht="15" customHeight="1" x14ac:dyDescent="0.25">
      <c r="B2148" s="37" t="s">
        <v>2348</v>
      </c>
      <c r="C2148" s="26">
        <v>30</v>
      </c>
      <c r="D2148" s="38" t="s">
        <v>2716</v>
      </c>
      <c r="E2148" s="59"/>
      <c r="F2148" s="59" t="str">
        <f>IF(INDEX(I.Gas.P4C1E3,30)="","",INDEX(I.Gas.P4C1E3,30))</f>
        <v/>
      </c>
      <c r="G2148" s="59"/>
      <c r="H2148" s="26" t="str">
        <f>IF(OR(I.Developer.P4=FALSE,I.Facility.StandardPart="Part 2"),"Complete",IF(I.Product.P4GasToPower="No","Complete",IF(AND(I.Gas.P4Count&gt;=30,F2148=""),"Incomplete","Complete")))</f>
        <v>Complete</v>
      </c>
      <c r="I2148" s="39" t="s">
        <v>2378</v>
      </c>
    </row>
    <row r="2149" spans="2:9" ht="15" customHeight="1" x14ac:dyDescent="0.25">
      <c r="B2149" s="37" t="s">
        <v>2348</v>
      </c>
      <c r="C2149" s="26">
        <v>31</v>
      </c>
      <c r="D2149" s="38" t="s">
        <v>2716</v>
      </c>
      <c r="E2149" s="59"/>
      <c r="F2149" s="59" t="str">
        <f>IF(INDEX(I.Gas.P4C1E3,31)="","",INDEX(I.Gas.P4C1E3,31))</f>
        <v/>
      </c>
      <c r="G2149" s="59"/>
      <c r="H2149" s="26" t="str">
        <f>IF(OR(I.Developer.P4=FALSE,I.Facility.StandardPart="Part 2"),"Complete",IF(I.Product.P4GasToPower="No","Complete",IF(AND(I.Gas.P4Count&gt;=31,F2149=""),"Incomplete","Complete")))</f>
        <v>Complete</v>
      </c>
      <c r="I2149" s="39" t="s">
        <v>2379</v>
      </c>
    </row>
    <row r="2150" spans="2:9" ht="15" customHeight="1" x14ac:dyDescent="0.25">
      <c r="B2150" s="37" t="s">
        <v>2348</v>
      </c>
      <c r="C2150" s="26">
        <v>32</v>
      </c>
      <c r="D2150" s="38" t="s">
        <v>2716</v>
      </c>
      <c r="E2150" s="59"/>
      <c r="F2150" s="59" t="str">
        <f>IF(INDEX(I.Gas.P4C1E3,32)="","",INDEX(I.Gas.P4C1E3,32))</f>
        <v/>
      </c>
      <c r="G2150" s="59"/>
      <c r="H2150" s="26" t="str">
        <f>IF(OR(I.Developer.P4=FALSE,I.Facility.StandardPart="Part 2"),"Complete",IF(I.Product.P4GasToPower="No","Complete",IF(AND(I.Gas.P4Count&gt;=32,F2150=""),"Incomplete","Complete")))</f>
        <v>Complete</v>
      </c>
      <c r="I2150" s="39" t="s">
        <v>2380</v>
      </c>
    </row>
    <row r="2151" spans="2:9" ht="15" customHeight="1" x14ac:dyDescent="0.25">
      <c r="B2151" s="37" t="s">
        <v>2348</v>
      </c>
      <c r="C2151" s="26">
        <v>33</v>
      </c>
      <c r="D2151" s="38" t="s">
        <v>2716</v>
      </c>
      <c r="E2151" s="59"/>
      <c r="F2151" s="59" t="str">
        <f>IF(INDEX(I.Gas.P4C1E3,33)="","",INDEX(I.Gas.P4C1E3,33))</f>
        <v/>
      </c>
      <c r="G2151" s="59"/>
      <c r="H2151" s="26" t="str">
        <f>IF(OR(I.Developer.P4=FALSE,I.Facility.StandardPart="Part 2"),"Complete",IF(I.Product.P4GasToPower="No","Complete",IF(AND(I.Gas.P4Count&gt;=33,F2151=""),"Incomplete","Complete")))</f>
        <v>Complete</v>
      </c>
      <c r="I2151" s="39" t="s">
        <v>2381</v>
      </c>
    </row>
    <row r="2152" spans="2:9" ht="15" customHeight="1" x14ac:dyDescent="0.25">
      <c r="B2152" s="37" t="s">
        <v>2348</v>
      </c>
      <c r="C2152" s="26">
        <v>34</v>
      </c>
      <c r="D2152" s="38" t="s">
        <v>2716</v>
      </c>
      <c r="E2152" s="59"/>
      <c r="F2152" s="59" t="str">
        <f>IF(INDEX(I.Gas.P4C1E3,34)="","",INDEX(I.Gas.P4C1E3,34))</f>
        <v/>
      </c>
      <c r="G2152" s="59"/>
      <c r="H2152" s="26" t="str">
        <f>IF(OR(I.Developer.P4=FALSE,I.Facility.StandardPart="Part 2"),"Complete",IF(I.Product.P4GasToPower="No","Complete",IF(AND(I.Gas.P4Count&gt;=34,F2152=""),"Incomplete","Complete")))</f>
        <v>Complete</v>
      </c>
      <c r="I2152" s="39" t="s">
        <v>2382</v>
      </c>
    </row>
    <row r="2153" spans="2:9" ht="15" customHeight="1" x14ac:dyDescent="0.25">
      <c r="B2153" s="37" t="s">
        <v>2348</v>
      </c>
      <c r="C2153" s="26">
        <v>35</v>
      </c>
      <c r="D2153" s="38" t="s">
        <v>2716</v>
      </c>
      <c r="E2153" s="59"/>
      <c r="F2153" s="59" t="str">
        <f>IF(INDEX(I.Gas.P4C1E3,35)="","",INDEX(I.Gas.P4C1E3,35))</f>
        <v/>
      </c>
      <c r="G2153" s="59"/>
      <c r="H2153" s="26" t="str">
        <f>IF(OR(I.Developer.P4=FALSE,I.Facility.StandardPart="Part 2"),"Complete",IF(I.Product.P4GasToPower="No","Complete",IF(AND(I.Gas.P4Count&gt;=35,F2153=""),"Incomplete","Complete")))</f>
        <v>Complete</v>
      </c>
      <c r="I2153" s="39" t="s">
        <v>2383</v>
      </c>
    </row>
    <row r="2154" spans="2:9" ht="15" customHeight="1" x14ac:dyDescent="0.25">
      <c r="B2154" s="37" t="s">
        <v>2348</v>
      </c>
      <c r="C2154" s="26">
        <v>36</v>
      </c>
      <c r="D2154" s="38" t="s">
        <v>2716</v>
      </c>
      <c r="E2154" s="59"/>
      <c r="F2154" s="59" t="str">
        <f>IF(INDEX(I.Gas.P4C1E3,36)="","",INDEX(I.Gas.P4C1E3,36))</f>
        <v/>
      </c>
      <c r="G2154" s="59"/>
      <c r="H2154" s="26" t="str">
        <f>IF(OR(I.Developer.P4=FALSE,I.Facility.StandardPart="Part 2"),"Complete",IF(I.Product.P4GasToPower="No","Complete",IF(AND(I.Gas.P4Count&gt;=36,F2154=""),"Incomplete","Complete")))</f>
        <v>Complete</v>
      </c>
      <c r="I2154" s="39" t="s">
        <v>2384</v>
      </c>
    </row>
    <row r="2155" spans="2:9" ht="15" customHeight="1" x14ac:dyDescent="0.25">
      <c r="B2155" s="37" t="s">
        <v>2348</v>
      </c>
      <c r="C2155" s="26">
        <v>37</v>
      </c>
      <c r="D2155" s="38" t="s">
        <v>2716</v>
      </c>
      <c r="E2155" s="59"/>
      <c r="F2155" s="59" t="str">
        <f>IF(INDEX(I.Gas.P4C1E3,37)="","",INDEX(I.Gas.P4C1E3,37))</f>
        <v/>
      </c>
      <c r="G2155" s="59"/>
      <c r="H2155" s="26" t="str">
        <f>IF(OR(I.Developer.P4=FALSE,I.Facility.StandardPart="Part 2"),"Complete",IF(I.Product.P4GasToPower="No","Complete",IF(AND(I.Gas.P4Count&gt;=37,F2155=""),"Incomplete","Complete")))</f>
        <v>Complete</v>
      </c>
      <c r="I2155" s="39" t="s">
        <v>2385</v>
      </c>
    </row>
    <row r="2156" spans="2:9" ht="15" customHeight="1" x14ac:dyDescent="0.25">
      <c r="B2156" s="37" t="s">
        <v>2348</v>
      </c>
      <c r="C2156" s="26">
        <v>38</v>
      </c>
      <c r="D2156" s="38" t="s">
        <v>2716</v>
      </c>
      <c r="E2156" s="59"/>
      <c r="F2156" s="59" t="str">
        <f>IF(INDEX(I.Gas.P4C1E3,38)="","",INDEX(I.Gas.P4C1E3,38))</f>
        <v/>
      </c>
      <c r="G2156" s="59"/>
      <c r="H2156" s="26" t="str">
        <f>IF(OR(I.Developer.P4=FALSE,I.Facility.StandardPart="Part 2"),"Complete",IF(I.Product.P4GasToPower="No","Complete",IF(AND(I.Gas.P4Count&gt;=38,F2156=""),"Incomplete","Complete")))</f>
        <v>Complete</v>
      </c>
      <c r="I2156" s="39" t="s">
        <v>2386</v>
      </c>
    </row>
    <row r="2157" spans="2:9" ht="15" customHeight="1" x14ac:dyDescent="0.25">
      <c r="B2157" s="37" t="s">
        <v>2348</v>
      </c>
      <c r="C2157" s="26">
        <v>39</v>
      </c>
      <c r="D2157" s="38" t="s">
        <v>2716</v>
      </c>
      <c r="E2157" s="59"/>
      <c r="F2157" s="59" t="str">
        <f>IF(INDEX(I.Gas.P4C1E3,39)="","",INDEX(I.Gas.P4C1E3,39))</f>
        <v/>
      </c>
      <c r="G2157" s="59"/>
      <c r="H2157" s="26" t="str">
        <f>IF(OR(I.Developer.P4=FALSE,I.Facility.StandardPart="Part 2"),"Complete",IF(I.Product.P4GasToPower="No","Complete",IF(AND(I.Gas.P4Count&gt;=39,F2157=""),"Incomplete","Complete")))</f>
        <v>Complete</v>
      </c>
      <c r="I2157" s="39" t="s">
        <v>2387</v>
      </c>
    </row>
    <row r="2158" spans="2:9" ht="15" customHeight="1" x14ac:dyDescent="0.25">
      <c r="B2158" s="37" t="s">
        <v>2348</v>
      </c>
      <c r="C2158" s="26">
        <v>40</v>
      </c>
      <c r="D2158" s="38" t="s">
        <v>2716</v>
      </c>
      <c r="E2158" s="59"/>
      <c r="F2158" s="59" t="str">
        <f>IF(INDEX(I.Gas.P4C1E3,40)="","",INDEX(I.Gas.P4C1E3,40))</f>
        <v/>
      </c>
      <c r="G2158" s="59"/>
      <c r="H2158" s="26" t="str">
        <f>IF(OR(I.Developer.P4=FALSE,I.Facility.StandardPart="Part 2"),"Complete",IF(I.Product.P4GasToPower="No","Complete",IF(AND(I.Gas.P4Count&gt;=40,F2158=""),"Incomplete","Complete")))</f>
        <v>Complete</v>
      </c>
      <c r="I2158" s="39" t="s">
        <v>2388</v>
      </c>
    </row>
    <row r="2159" spans="2:9" ht="15" customHeight="1" x14ac:dyDescent="0.25">
      <c r="B2159" s="37" t="s">
        <v>2348</v>
      </c>
      <c r="C2159" s="26">
        <v>41</v>
      </c>
      <c r="D2159" s="38" t="s">
        <v>2716</v>
      </c>
      <c r="E2159" s="59"/>
      <c r="F2159" s="59" t="str">
        <f>IF(INDEX(I.Gas.P4C1E3,41)="","",INDEX(I.Gas.P4C1E3,41))</f>
        <v/>
      </c>
      <c r="G2159" s="59"/>
      <c r="H2159" s="26" t="str">
        <f>IF(OR(I.Developer.P4=FALSE,I.Facility.StandardPart="Part 2"),"Complete",IF(I.Product.P4GasToPower="No","Complete",IF(AND(I.Gas.P4Count&gt;=41,F2159=""),"Incomplete","Complete")))</f>
        <v>Complete</v>
      </c>
      <c r="I2159" s="39" t="s">
        <v>2389</v>
      </c>
    </row>
    <row r="2160" spans="2:9" ht="15" customHeight="1" x14ac:dyDescent="0.25">
      <c r="B2160" s="37" t="s">
        <v>2348</v>
      </c>
      <c r="C2160" s="26">
        <v>42</v>
      </c>
      <c r="D2160" s="38" t="s">
        <v>2716</v>
      </c>
      <c r="E2160" s="59"/>
      <c r="F2160" s="59" t="str">
        <f>IF(INDEX(I.Gas.P4C1E3,42)="","",INDEX(I.Gas.P4C1E3,42))</f>
        <v/>
      </c>
      <c r="G2160" s="59"/>
      <c r="H2160" s="26" t="str">
        <f>IF(OR(I.Developer.P4=FALSE,I.Facility.StandardPart="Part 2"),"Complete",IF(I.Product.P4GasToPower="No","Complete",IF(AND(I.Gas.P4Count&gt;=42,F2160=""),"Incomplete","Complete")))</f>
        <v>Complete</v>
      </c>
      <c r="I2160" s="39" t="s">
        <v>2390</v>
      </c>
    </row>
    <row r="2161" spans="2:9" ht="15" customHeight="1" x14ac:dyDescent="0.25">
      <c r="B2161" s="37" t="s">
        <v>2348</v>
      </c>
      <c r="C2161" s="26">
        <v>43</v>
      </c>
      <c r="D2161" s="38" t="s">
        <v>2716</v>
      </c>
      <c r="E2161" s="59"/>
      <c r="F2161" s="59" t="str">
        <f>IF(INDEX(I.Gas.P4C1E3,43)="","",INDEX(I.Gas.P4C1E3,43))</f>
        <v/>
      </c>
      <c r="G2161" s="59"/>
      <c r="H2161" s="26" t="str">
        <f>IF(OR(I.Developer.P4=FALSE,I.Facility.StandardPart="Part 2"),"Complete",IF(I.Product.P4GasToPower="No","Complete",IF(AND(I.Gas.P4Count&gt;=43,F2161=""),"Incomplete","Complete")))</f>
        <v>Complete</v>
      </c>
      <c r="I2161" s="39" t="s">
        <v>2391</v>
      </c>
    </row>
    <row r="2162" spans="2:9" ht="15" customHeight="1" x14ac:dyDescent="0.25">
      <c r="B2162" s="37" t="s">
        <v>2348</v>
      </c>
      <c r="C2162" s="26">
        <v>44</v>
      </c>
      <c r="D2162" s="38" t="s">
        <v>2716</v>
      </c>
      <c r="E2162" s="59"/>
      <c r="F2162" s="59" t="str">
        <f>IF(INDEX(I.Gas.P4C1E3,44)="","",INDEX(I.Gas.P4C1E3,44))</f>
        <v/>
      </c>
      <c r="G2162" s="59"/>
      <c r="H2162" s="26" t="str">
        <f>IF(OR(I.Developer.P4=FALSE,I.Facility.StandardPart="Part 2"),"Complete",IF(I.Product.P4GasToPower="No","Complete",IF(AND(I.Gas.P4Count&gt;=44,F2162=""),"Incomplete","Complete")))</f>
        <v>Complete</v>
      </c>
      <c r="I2162" s="39" t="s">
        <v>2392</v>
      </c>
    </row>
    <row r="2163" spans="2:9" ht="15" customHeight="1" x14ac:dyDescent="0.25">
      <c r="B2163" s="37" t="s">
        <v>2348</v>
      </c>
      <c r="C2163" s="26">
        <v>45</v>
      </c>
      <c r="D2163" s="38" t="s">
        <v>2716</v>
      </c>
      <c r="E2163" s="59"/>
      <c r="F2163" s="59" t="str">
        <f>IF(INDEX(I.Gas.P4C1E3,45)="","",INDEX(I.Gas.P4C1E3,45))</f>
        <v/>
      </c>
      <c r="G2163" s="59"/>
      <c r="H2163" s="26" t="str">
        <f>IF(OR(I.Developer.P4=FALSE,I.Facility.StandardPart="Part 2"),"Complete",IF(I.Product.P4GasToPower="No","Complete",IF(AND(I.Gas.P4Count&gt;=45,F2163=""),"Incomplete","Complete")))</f>
        <v>Complete</v>
      </c>
      <c r="I2163" s="39" t="s">
        <v>2393</v>
      </c>
    </row>
    <row r="2164" spans="2:9" ht="15" customHeight="1" x14ac:dyDescent="0.25">
      <c r="B2164" s="37" t="s">
        <v>2348</v>
      </c>
      <c r="C2164" s="26">
        <v>46</v>
      </c>
      <c r="D2164" s="38" t="s">
        <v>2716</v>
      </c>
      <c r="E2164" s="59"/>
      <c r="F2164" s="59" t="str">
        <f>IF(INDEX(I.Gas.P4C1E3,46)="","",INDEX(I.Gas.P4C1E3,46))</f>
        <v/>
      </c>
      <c r="G2164" s="59"/>
      <c r="H2164" s="26" t="str">
        <f>IF(OR(I.Developer.P4=FALSE,I.Facility.StandardPart="Part 2"),"Complete",IF(I.Product.P4GasToPower="No","Complete",IF(AND(I.Gas.P4Count&gt;=46,F2164=""),"Incomplete","Complete")))</f>
        <v>Complete</v>
      </c>
      <c r="I2164" s="39" t="s">
        <v>2394</v>
      </c>
    </row>
    <row r="2165" spans="2:9" ht="15" customHeight="1" x14ac:dyDescent="0.25">
      <c r="B2165" s="37" t="s">
        <v>2348</v>
      </c>
      <c r="C2165" s="26">
        <v>47</v>
      </c>
      <c r="D2165" s="38" t="s">
        <v>2716</v>
      </c>
      <c r="E2165" s="59"/>
      <c r="F2165" s="59" t="str">
        <f>IF(INDEX(I.Gas.P4C1E3,47)="","",INDEX(I.Gas.P4C1E3,47))</f>
        <v/>
      </c>
      <c r="G2165" s="59"/>
      <c r="H2165" s="26" t="str">
        <f>IF(OR(I.Developer.P4=FALSE,I.Facility.StandardPart="Part 2"),"Complete",IF(I.Product.P4GasToPower="No","Complete",IF(AND(I.Gas.P4Count&gt;=47,F2165=""),"Incomplete","Complete")))</f>
        <v>Complete</v>
      </c>
      <c r="I2165" s="39" t="s">
        <v>2395</v>
      </c>
    </row>
    <row r="2166" spans="2:9" ht="15" customHeight="1" x14ac:dyDescent="0.25">
      <c r="B2166" s="37" t="s">
        <v>2348</v>
      </c>
      <c r="C2166" s="26">
        <v>48</v>
      </c>
      <c r="D2166" s="38" t="s">
        <v>2716</v>
      </c>
      <c r="E2166" s="59"/>
      <c r="F2166" s="59" t="str">
        <f>IF(INDEX(I.Gas.P4C1E3,48)="","",INDEX(I.Gas.P4C1E3,48))</f>
        <v/>
      </c>
      <c r="G2166" s="59"/>
      <c r="H2166" s="26" t="str">
        <f>IF(OR(I.Developer.P4=FALSE,I.Facility.StandardPart="Part 2"),"Complete",IF(I.Product.P4GasToPower="No","Complete",IF(AND(I.Gas.P4Count&gt;=48,F2166=""),"Incomplete","Complete")))</f>
        <v>Complete</v>
      </c>
      <c r="I2166" s="39" t="s">
        <v>2396</v>
      </c>
    </row>
    <row r="2167" spans="2:9" ht="15" customHeight="1" x14ac:dyDescent="0.25">
      <c r="B2167" s="37" t="s">
        <v>2348</v>
      </c>
      <c r="C2167" s="26">
        <v>49</v>
      </c>
      <c r="D2167" s="38" t="s">
        <v>2716</v>
      </c>
      <c r="E2167" s="59"/>
      <c r="F2167" s="59" t="str">
        <f>IF(INDEX(I.Gas.P4C1E3,49)="","",INDEX(I.Gas.P4C1E3,49))</f>
        <v/>
      </c>
      <c r="G2167" s="59"/>
      <c r="H2167" s="26" t="str">
        <f>IF(OR(I.Developer.P4=FALSE,I.Facility.StandardPart="Part 2"),"Complete",IF(I.Product.P4GasToPower="No","Complete",IF(AND(I.Gas.P4Count&gt;=49,F2167=""),"Incomplete","Complete")))</f>
        <v>Complete</v>
      </c>
      <c r="I2167" s="39" t="s">
        <v>2397</v>
      </c>
    </row>
    <row r="2168" spans="2:9" ht="15" customHeight="1" x14ac:dyDescent="0.25">
      <c r="B2168" s="40" t="s">
        <v>2348</v>
      </c>
      <c r="C2168" s="46">
        <v>50</v>
      </c>
      <c r="D2168" s="44" t="s">
        <v>2716</v>
      </c>
      <c r="E2168" s="63"/>
      <c r="F2168" s="63" t="str">
        <f>IF(INDEX(I.Gas.P4C1E3,50)="","",INDEX(I.Gas.P4C1E3,50))</f>
        <v/>
      </c>
      <c r="G2168" s="63"/>
      <c r="H2168" s="46" t="str">
        <f>IF(OR(I.Developer.P4=FALSE,I.Facility.StandardPart="Part 2"),"Complete",IF(I.Product.P4GasToPower="No","Complete",IF(AND(I.Gas.P4Count&gt;=50,F2168=""),"Incomplete","Complete")))</f>
        <v>Complete</v>
      </c>
      <c r="I2168" s="47" t="s">
        <v>2398</v>
      </c>
    </row>
    <row r="2169" spans="2:9" ht="15" customHeight="1" x14ac:dyDescent="0.25">
      <c r="B2169" s="55" t="s">
        <v>2399</v>
      </c>
      <c r="C2169" s="56">
        <v>1</v>
      </c>
      <c r="D2169" s="53" t="s">
        <v>2717</v>
      </c>
      <c r="E2169" s="57"/>
      <c r="F2169" s="57" t="str">
        <f>IF(I.Drilling.P1Depth="","",I.Drilling.P1Depth)</f>
        <v/>
      </c>
      <c r="G2169" s="57"/>
      <c r="H2169" s="56" t="str">
        <f>IF(I.Developer.P1=FALSE,"Complete",IF(I.Product.P1Drilling="No","Complete",IF(I.Drilling.P1Depth="","Incomplete","Complete")))</f>
        <v>Complete</v>
      </c>
      <c r="I2169" s="58" t="s">
        <v>2400</v>
      </c>
    </row>
    <row r="2170" spans="2:9" ht="15" customHeight="1" x14ac:dyDescent="0.25">
      <c r="B2170" s="37" t="s">
        <v>2401</v>
      </c>
      <c r="C2170" s="26">
        <v>1</v>
      </c>
      <c r="D2170" s="38" t="s">
        <v>2718</v>
      </c>
      <c r="E2170" s="59"/>
      <c r="F2170" s="59" t="str">
        <f>IF(INDEX(I.Drilling.P1C1,1)="","",INDEX(I.Drilling.P1C1,1))</f>
        <v/>
      </c>
      <c r="G2170" s="59"/>
      <c r="H2170" s="26" t="str">
        <f>IF(I.Developer.P1=FALSE,"Complete",IF(I.Product.P1Drilling="No","Complete",IF(E2170="","Incomplete","Complete")))</f>
        <v>Complete</v>
      </c>
      <c r="I2170" s="39" t="s">
        <v>2402</v>
      </c>
    </row>
    <row r="2171" spans="2:9" ht="15" customHeight="1" x14ac:dyDescent="0.25">
      <c r="B2171" s="37" t="s">
        <v>2401</v>
      </c>
      <c r="C2171" s="26">
        <v>2</v>
      </c>
      <c r="D2171" s="38" t="s">
        <v>2718</v>
      </c>
      <c r="E2171" s="59"/>
      <c r="F2171" s="59" t="str">
        <f>IF(INDEX(I.Drilling.P1C1,2)="","",INDEX(I.Drilling.P1C1,2))</f>
        <v/>
      </c>
      <c r="G2171" s="59"/>
      <c r="H2171" s="26" t="str">
        <f>IF(I.Developer.P1=FALSE,"Complete",IF(I.Product.P1Drilling="No","Complete",IF(E2171="","Incomplete","Complete")))</f>
        <v>Complete</v>
      </c>
      <c r="I2171" s="39" t="s">
        <v>2403</v>
      </c>
    </row>
    <row r="2172" spans="2:9" ht="15" customHeight="1" x14ac:dyDescent="0.25">
      <c r="B2172" s="40" t="s">
        <v>2401</v>
      </c>
      <c r="C2172" s="46">
        <v>3</v>
      </c>
      <c r="D2172" s="44" t="s">
        <v>2718</v>
      </c>
      <c r="E2172" s="63"/>
      <c r="F2172" s="63" t="str">
        <f>IF(INDEX(I.Drilling.P1C1,3)="","",INDEX(I.Drilling.P1C1,3))</f>
        <v/>
      </c>
      <c r="G2172" s="63"/>
      <c r="H2172" s="46" t="str">
        <f>IF(I.Developer.P1=FALSE,"Complete",IF(I.Product.P1Drilling="No","Complete",IF(E2172="","Incomplete","Complete")))</f>
        <v>Complete</v>
      </c>
      <c r="I2172" s="47" t="s">
        <v>2404</v>
      </c>
    </row>
    <row r="2173" spans="2:9" ht="15" customHeight="1" x14ac:dyDescent="0.25">
      <c r="B2173" s="55" t="s">
        <v>2405</v>
      </c>
      <c r="C2173" s="56">
        <v>1</v>
      </c>
      <c r="D2173" s="53" t="s">
        <v>2719</v>
      </c>
      <c r="E2173" s="57"/>
      <c r="F2173" s="57" t="str">
        <f>IF(I.Drilling.P2aDepth="","",I.Drilling.P2aDepth)</f>
        <v/>
      </c>
      <c r="G2173" s="57"/>
      <c r="H2173" s="56" t="str">
        <f>IF(I.Developer.P2a=FALSE,"Complete",IF(I.Product.P2aDrilling="No","Complete",IF(I.Drilling.P2aDepth="","Incomplete","Complete")))</f>
        <v>Complete</v>
      </c>
      <c r="I2173" s="58" t="s">
        <v>2406</v>
      </c>
    </row>
    <row r="2174" spans="2:9" ht="15" customHeight="1" x14ac:dyDescent="0.25">
      <c r="B2174" s="37" t="s">
        <v>2407</v>
      </c>
      <c r="C2174" s="26">
        <v>1</v>
      </c>
      <c r="D2174" s="38" t="s">
        <v>2720</v>
      </c>
      <c r="E2174" s="59"/>
      <c r="F2174" s="59" t="str">
        <f>IF(INDEX(I.Drilling.P2aC1,1)="","",INDEX(I.Drilling.P2aC1,1))</f>
        <v/>
      </c>
      <c r="G2174" s="59"/>
      <c r="H2174" s="26" t="str">
        <f>IF(I.Developer.P2a=FALSE,"Complete",IF(I.Product.P2aDrilling="No","Complete",IF(E2174="","Incomplete","Complete")))</f>
        <v>Complete</v>
      </c>
      <c r="I2174" s="39" t="s">
        <v>2408</v>
      </c>
    </row>
    <row r="2175" spans="2:9" ht="15" customHeight="1" x14ac:dyDescent="0.25">
      <c r="B2175" s="37" t="s">
        <v>2407</v>
      </c>
      <c r="C2175" s="26">
        <v>2</v>
      </c>
      <c r="D2175" s="38" t="s">
        <v>2720</v>
      </c>
      <c r="E2175" s="59"/>
      <c r="F2175" s="59" t="str">
        <f>IF(INDEX(I.Drilling.P2aC1,2)="","",INDEX(I.Drilling.P2aC1,2))</f>
        <v/>
      </c>
      <c r="G2175" s="59"/>
      <c r="H2175" s="26" t="str">
        <f>IF(I.Developer.P2a=FALSE,"Complete",IF(I.Product.P2aDrilling="No","Complete",IF(E2175="","Incomplete","Complete")))</f>
        <v>Complete</v>
      </c>
      <c r="I2175" s="39" t="s">
        <v>2409</v>
      </c>
    </row>
    <row r="2176" spans="2:9" ht="15" customHeight="1" x14ac:dyDescent="0.25">
      <c r="B2176" s="40" t="s">
        <v>2407</v>
      </c>
      <c r="C2176" s="46">
        <v>3</v>
      </c>
      <c r="D2176" s="44" t="s">
        <v>2720</v>
      </c>
      <c r="E2176" s="63"/>
      <c r="F2176" s="63" t="str">
        <f>IF(INDEX(I.Drilling.P2aC1,3)="","",INDEX(I.Drilling.P2aC1,3))</f>
        <v/>
      </c>
      <c r="G2176" s="63"/>
      <c r="H2176" s="46" t="str">
        <f>IF(I.Developer.P2a=FALSE,"Complete",IF(I.Product.P2aDrilling="No","Complete",IF(E2176="","Incomplete","Complete")))</f>
        <v>Complete</v>
      </c>
      <c r="I2176" s="47" t="s">
        <v>2410</v>
      </c>
    </row>
    <row r="2177" spans="2:9" ht="15" customHeight="1" x14ac:dyDescent="0.25">
      <c r="B2177" s="55" t="s">
        <v>2411</v>
      </c>
      <c r="C2177" s="56">
        <v>1</v>
      </c>
      <c r="D2177" s="53" t="s">
        <v>2721</v>
      </c>
      <c r="E2177" s="57"/>
      <c r="F2177" s="57" t="str">
        <f>IF(I.Drilling.P2bDepth="","",I.Drilling.P2bDepth)</f>
        <v/>
      </c>
      <c r="G2177" s="57"/>
      <c r="H2177" s="56" t="str">
        <f>IF(I.Developer.P2b=FALSE,"Complete",IF(I.Product.P2bDrilling="No","Complete",IF(I.Drilling.P2bDepth="","Incomplete","Complete")))</f>
        <v>Complete</v>
      </c>
      <c r="I2177" s="58" t="s">
        <v>2412</v>
      </c>
    </row>
    <row r="2178" spans="2:9" ht="15" customHeight="1" x14ac:dyDescent="0.25">
      <c r="B2178" s="37" t="s">
        <v>2413</v>
      </c>
      <c r="C2178" s="26">
        <v>1</v>
      </c>
      <c r="D2178" s="38" t="s">
        <v>2722</v>
      </c>
      <c r="E2178" s="59"/>
      <c r="F2178" s="59" t="str">
        <f>IF(INDEX(I.Drilling.P2bC1,1)="","",INDEX(I.Drilling.P2bC1,1))</f>
        <v/>
      </c>
      <c r="G2178" s="59"/>
      <c r="H2178" s="26" t="str">
        <f>IF(I.Developer.P2b=FALSE,"Complete",IF(I.Product.P2bDrilling="No","Complete",IF(E2178="","Incomplete","Complete")))</f>
        <v>Complete</v>
      </c>
      <c r="I2178" s="39" t="s">
        <v>2414</v>
      </c>
    </row>
    <row r="2179" spans="2:9" ht="15" customHeight="1" x14ac:dyDescent="0.25">
      <c r="B2179" s="37" t="s">
        <v>2413</v>
      </c>
      <c r="C2179" s="26">
        <v>2</v>
      </c>
      <c r="D2179" s="38" t="s">
        <v>2722</v>
      </c>
      <c r="E2179" s="59"/>
      <c r="F2179" s="59" t="str">
        <f>IF(INDEX(I.Drilling.P2bC1,2)="","",INDEX(I.Drilling.P2bC1,2))</f>
        <v/>
      </c>
      <c r="G2179" s="59"/>
      <c r="H2179" s="26" t="str">
        <f>IF(I.Developer.P2b=FALSE,"Complete",IF(I.Product.P2bDrilling="No","Complete",IF(E2179="","Incomplete","Complete")))</f>
        <v>Complete</v>
      </c>
      <c r="I2179" s="39" t="s">
        <v>2415</v>
      </c>
    </row>
    <row r="2180" spans="2:9" ht="15" customHeight="1" x14ac:dyDescent="0.25">
      <c r="B2180" s="40" t="s">
        <v>2413</v>
      </c>
      <c r="C2180" s="46">
        <v>3</v>
      </c>
      <c r="D2180" s="44" t="s">
        <v>2722</v>
      </c>
      <c r="E2180" s="63"/>
      <c r="F2180" s="63" t="str">
        <f>IF(INDEX(I.Drilling.P2bC1,3)="","",INDEX(I.Drilling.P2bC1,3))</f>
        <v/>
      </c>
      <c r="G2180" s="63"/>
      <c r="H2180" s="46" t="str">
        <f>IF(I.Developer.P2b=FALSE,"Complete",IF(I.Product.P2bDrilling="No","Complete",IF(E2180="","Incomplete","Complete")))</f>
        <v>Complete</v>
      </c>
      <c r="I2180" s="47" t="s">
        <v>2416</v>
      </c>
    </row>
    <row r="2181" spans="2:9" ht="15" customHeight="1" x14ac:dyDescent="0.25">
      <c r="B2181" s="55" t="s">
        <v>2417</v>
      </c>
      <c r="C2181" s="56">
        <v>1</v>
      </c>
      <c r="D2181" s="53" t="s">
        <v>2723</v>
      </c>
      <c r="E2181" s="57"/>
      <c r="F2181" s="57" t="str">
        <f>IF(I.Drilling.P3Depth="","",I.Drilling.P3Depth)</f>
        <v/>
      </c>
      <c r="G2181" s="57"/>
      <c r="H2181" s="56" t="str">
        <f>IF(I.Developer.P3=FALSE,"Complete",IF(I.Product.P3Drilling="No","Complete",IF(I.Drilling.P3Depth="","Incomplete","Complete")))</f>
        <v>Complete</v>
      </c>
      <c r="I2181" s="58" t="s">
        <v>2418</v>
      </c>
    </row>
    <row r="2182" spans="2:9" ht="15" customHeight="1" x14ac:dyDescent="0.25">
      <c r="B2182" s="37" t="s">
        <v>2419</v>
      </c>
      <c r="C2182" s="26">
        <v>1</v>
      </c>
      <c r="D2182" s="38" t="s">
        <v>2724</v>
      </c>
      <c r="E2182" s="59"/>
      <c r="F2182" s="59" t="str">
        <f>IF(INDEX(I.Drilling.P3C1,1)="","",INDEX(I.Drilling.P3C1,1))</f>
        <v/>
      </c>
      <c r="G2182" s="59"/>
      <c r="H2182" s="26" t="str">
        <f>IF(I.Developer.P3=FALSE,"Complete",IF(I.Product.P3Drilling="No","Complete",IF(E2182="","Incomplete","Complete")))</f>
        <v>Complete</v>
      </c>
      <c r="I2182" s="39" t="s">
        <v>2420</v>
      </c>
    </row>
    <row r="2183" spans="2:9" ht="15" customHeight="1" x14ac:dyDescent="0.25">
      <c r="B2183" s="37" t="s">
        <v>2419</v>
      </c>
      <c r="C2183" s="26">
        <v>2</v>
      </c>
      <c r="D2183" s="38" t="s">
        <v>2724</v>
      </c>
      <c r="E2183" s="59"/>
      <c r="F2183" s="59" t="str">
        <f>IF(INDEX(I.Drilling.P3C1,2)="","",INDEX(I.Drilling.P3C1,2))</f>
        <v/>
      </c>
      <c r="G2183" s="59"/>
      <c r="H2183" s="26" t="str">
        <f>IF(I.Developer.P3=FALSE,"Complete",IF(I.Product.P3Drilling="No","Complete",IF(E2183="","Incomplete","Complete")))</f>
        <v>Complete</v>
      </c>
      <c r="I2183" s="39" t="s">
        <v>2421</v>
      </c>
    </row>
    <row r="2184" spans="2:9" ht="15" customHeight="1" x14ac:dyDescent="0.25">
      <c r="B2184" s="40" t="s">
        <v>2419</v>
      </c>
      <c r="C2184" s="46">
        <v>3</v>
      </c>
      <c r="D2184" s="44" t="s">
        <v>2724</v>
      </c>
      <c r="E2184" s="63"/>
      <c r="F2184" s="63" t="str">
        <f>IF(INDEX(I.Drilling.P3C1,3)="","",INDEX(I.Drilling.P3C1,3))</f>
        <v/>
      </c>
      <c r="G2184" s="63"/>
      <c r="H2184" s="46" t="str">
        <f>IF(I.Developer.P3=FALSE,"Complete",IF(I.Product.P3Drilling="No","Complete",IF(E2184="","Incomplete","Complete")))</f>
        <v>Complete</v>
      </c>
      <c r="I2184" s="47" t="s">
        <v>2422</v>
      </c>
    </row>
    <row r="2185" spans="2:9" ht="15" customHeight="1" x14ac:dyDescent="0.25">
      <c r="B2185" s="55" t="s">
        <v>2423</v>
      </c>
      <c r="C2185" s="56">
        <v>1</v>
      </c>
      <c r="D2185" s="53" t="s">
        <v>2725</v>
      </c>
      <c r="E2185" s="57"/>
      <c r="F2185" s="57" t="str">
        <f>IF(I.Drilling.P4Depth="","",I.Drilling.P4Depth)</f>
        <v/>
      </c>
      <c r="G2185" s="57"/>
      <c r="H2185" s="56" t="str">
        <f>IF(I.Developer.P4=FALSE,"Complete",IF(I.Product.P4Drilling="No","Complete",IF(I.Drilling.P4Depth="","Incomplete","Complete")))</f>
        <v>Complete</v>
      </c>
      <c r="I2185" s="58" t="s">
        <v>2424</v>
      </c>
    </row>
    <row r="2186" spans="2:9" ht="15" customHeight="1" x14ac:dyDescent="0.25">
      <c r="B2186" s="37" t="s">
        <v>2425</v>
      </c>
      <c r="C2186" s="26">
        <v>1</v>
      </c>
      <c r="D2186" s="38" t="s">
        <v>2726</v>
      </c>
      <c r="E2186" s="59"/>
      <c r="F2186" s="59" t="str">
        <f>IF(INDEX(I.Drilling.P4C1,1)="","",INDEX(I.Drilling.P4C1,1))</f>
        <v/>
      </c>
      <c r="G2186" s="59"/>
      <c r="H2186" s="26" t="str">
        <f>IF(I.Developer.P4=FALSE,"Complete",IF(I.Product.P4Drilling="No","Complete",IF(E2186="","Incomplete","Complete")))</f>
        <v>Complete</v>
      </c>
      <c r="I2186" s="39" t="s">
        <v>2426</v>
      </c>
    </row>
    <row r="2187" spans="2:9" ht="15" customHeight="1" x14ac:dyDescent="0.25">
      <c r="B2187" s="37" t="s">
        <v>2425</v>
      </c>
      <c r="C2187" s="26">
        <v>2</v>
      </c>
      <c r="D2187" s="38" t="s">
        <v>2726</v>
      </c>
      <c r="E2187" s="59"/>
      <c r="F2187" s="59" t="str">
        <f>IF(INDEX(I.Drilling.P4C1,2)="","",INDEX(I.Drilling.P4C1,2))</f>
        <v/>
      </c>
      <c r="G2187" s="59"/>
      <c r="H2187" s="26" t="str">
        <f>IF(I.Developer.P4=FALSE,"Complete",IF(I.Product.P4Drilling="No","Complete",IF(E2187="","Incomplete","Complete")))</f>
        <v>Complete</v>
      </c>
      <c r="I2187" s="39" t="s">
        <v>2427</v>
      </c>
    </row>
    <row r="2188" spans="2:9" ht="15" customHeight="1" x14ac:dyDescent="0.25">
      <c r="B2188" s="40" t="s">
        <v>2425</v>
      </c>
      <c r="C2188" s="46">
        <v>3</v>
      </c>
      <c r="D2188" s="44" t="s">
        <v>2726</v>
      </c>
      <c r="E2188" s="63"/>
      <c r="F2188" s="63" t="str">
        <f>IF(INDEX(I.Drilling.P4C1,3)="","",INDEX(I.Drilling.P4C1,3))</f>
        <v/>
      </c>
      <c r="G2188" s="63"/>
      <c r="H2188" s="46" t="str">
        <f>IF(I.Developer.P4=FALSE,"Complete",IF(I.Product.P4Drilling="No","Complete",IF(E2188="","Incomplete","Complete")))</f>
        <v>Complete</v>
      </c>
      <c r="I2188" s="47" t="s">
        <v>2428</v>
      </c>
    </row>
    <row r="2189" spans="2:9" ht="15" customHeight="1" x14ac:dyDescent="0.25">
      <c r="B2189" s="37" t="s">
        <v>2506</v>
      </c>
      <c r="C2189" s="26">
        <v>1</v>
      </c>
      <c r="D2189" s="38" t="s">
        <v>2727</v>
      </c>
      <c r="E2189" s="43"/>
      <c r="F2189" s="43" t="str">
        <f>IF(I.Compliance.P1ReductionPeriod="","",I.Compliance.P1ReductionPeriod)</f>
        <v/>
      </c>
      <c r="G2189" s="43"/>
      <c r="H2189" s="26" t="str">
        <f>IF(I.Developer.P1=FALSE,"Complete",IF(I.Compliance.P1ReductionPeriod="","Incomplete","Complete"))</f>
        <v>Complete</v>
      </c>
      <c r="I2189" s="39" t="s">
        <v>2531</v>
      </c>
    </row>
    <row r="2190" spans="2:9" ht="15" customHeight="1" x14ac:dyDescent="0.25">
      <c r="B2190" s="37" t="s">
        <v>2574</v>
      </c>
      <c r="C2190" s="26">
        <v>1</v>
      </c>
      <c r="D2190" s="38" t="s">
        <v>2728</v>
      </c>
      <c r="E2190" s="74"/>
      <c r="F2190" s="74" t="str">
        <f>IF(I.Compliance.P1BaselineEmissionsIntensity="","",I.Compliance.P1BaselineEmissionsIntensity)</f>
        <v/>
      </c>
      <c r="G2190" s="74"/>
      <c r="H2190" s="26" t="str">
        <f>IF(I.Developer.P1=FALSE,"Complete",IF(I.Compliance.P1BaselineEmissionsIntensity="","Incomplete","Complete"))</f>
        <v>Complete</v>
      </c>
      <c r="I2190" s="39" t="s">
        <v>2536</v>
      </c>
    </row>
    <row r="2191" spans="2:9" ht="15" customHeight="1" x14ac:dyDescent="0.25">
      <c r="B2191" s="37" t="s">
        <v>2507</v>
      </c>
      <c r="C2191" s="26">
        <v>1</v>
      </c>
      <c r="D2191" s="38" t="s">
        <v>2729</v>
      </c>
      <c r="E2191" s="43"/>
      <c r="F2191" s="43" t="str">
        <f>IF(I.Compliance.P1GTPReductionPeriod="","",I.Compliance.P1GTPReductionPeriod)</f>
        <v/>
      </c>
      <c r="G2191" s="43"/>
      <c r="H2191" s="26" t="str">
        <f>IF(I.Developer.P1=FALSE,"Complete",IF(AND(I.Product.P1GasToPower="Yes",I.Compliance.P1GTPReductionPeriod=""),"Incomplete","Complete"))</f>
        <v>Complete</v>
      </c>
      <c r="I2191" s="39" t="s">
        <v>2537</v>
      </c>
    </row>
    <row r="2192" spans="2:9" ht="15" customHeight="1" x14ac:dyDescent="0.25">
      <c r="B2192" s="40" t="s">
        <v>2575</v>
      </c>
      <c r="C2192" s="46">
        <v>1</v>
      </c>
      <c r="D2192" s="44" t="s">
        <v>2730</v>
      </c>
      <c r="E2192" s="75"/>
      <c r="F2192" s="75" t="str">
        <f>IF(I.Compliance.P1GTPBaselineEmissionsIntensity="","",I.Compliance.P1GTPBaselineEmissionsIntensity)</f>
        <v/>
      </c>
      <c r="G2192" s="75"/>
      <c r="H2192" s="46" t="str">
        <f>IF(I.Developer.P1=FALSE,"Complete",IF(AND(I.Product.P1GasToPower="Yes",I.Compliance.P1GTPBaselineEmissionsIntensity=""),"Incomplete","Complete"))</f>
        <v>Complete</v>
      </c>
      <c r="I2192" s="47" t="s">
        <v>2538</v>
      </c>
    </row>
    <row r="2193" spans="2:9" ht="15" customHeight="1" x14ac:dyDescent="0.25">
      <c r="B2193" s="37" t="s">
        <v>2508</v>
      </c>
      <c r="C2193" s="26">
        <v>1</v>
      </c>
      <c r="D2193" s="38" t="s">
        <v>2731</v>
      </c>
      <c r="E2193" s="43"/>
      <c r="F2193" s="43" t="str">
        <f>IF(I.Compliance.P2aReductionPeriod="","",I.Compliance.P2aReductionPeriod)</f>
        <v/>
      </c>
      <c r="G2193" s="43"/>
      <c r="H2193" s="26" t="str">
        <f>IF(I.Developer.P2a=FALSE,"Complete",IF(I.Compliance.P2aReductionPeriod="","Incomplete","Complete"))</f>
        <v>Complete</v>
      </c>
      <c r="I2193" s="39" t="s">
        <v>2532</v>
      </c>
    </row>
    <row r="2194" spans="2:9" ht="15" customHeight="1" x14ac:dyDescent="0.25">
      <c r="B2194" s="37" t="s">
        <v>2576</v>
      </c>
      <c r="C2194" s="26">
        <v>1</v>
      </c>
      <c r="D2194" s="38" t="s">
        <v>2732</v>
      </c>
      <c r="E2194" s="74"/>
      <c r="F2194" s="74" t="str">
        <f>IF(I.Compliance.P2aBaselineEmissionsIntensity="","",I.Compliance.P2aBaselineEmissionsIntensity)</f>
        <v/>
      </c>
      <c r="G2194" s="74"/>
      <c r="H2194" s="26" t="str">
        <f>IF(I.Developer.P2a=FALSE,"Complete",IF(I.Compliance.P2aBaselineEmissionsIntensity="","Incomplete","Complete"))</f>
        <v>Complete</v>
      </c>
      <c r="I2194" s="39" t="s">
        <v>2539</v>
      </c>
    </row>
    <row r="2195" spans="2:9" ht="15" customHeight="1" x14ac:dyDescent="0.25">
      <c r="B2195" s="37" t="s">
        <v>2509</v>
      </c>
      <c r="C2195" s="26">
        <v>1</v>
      </c>
      <c r="D2195" s="38" t="s">
        <v>2733</v>
      </c>
      <c r="E2195" s="43"/>
      <c r="F2195" s="43" t="str">
        <f>IF(I.Compliance.P2aGTPReductionPeriod="","",I.Compliance.P2aGTPReductionPeriod)</f>
        <v/>
      </c>
      <c r="G2195" s="43"/>
      <c r="H2195" s="26" t="str">
        <f>IF(I.Developer.P2a=FALSE,"Complete",IF(AND(I.Product.P2aGasToPower="Yes",I.Compliance.P2aGTPReductionPeriod=""),"Incomplete","Complete"))</f>
        <v>Complete</v>
      </c>
      <c r="I2195" s="39" t="s">
        <v>2540</v>
      </c>
    </row>
    <row r="2196" spans="2:9" ht="15" customHeight="1" x14ac:dyDescent="0.25">
      <c r="B2196" s="40" t="s">
        <v>2577</v>
      </c>
      <c r="C2196" s="46">
        <v>1</v>
      </c>
      <c r="D2196" s="44" t="s">
        <v>2734</v>
      </c>
      <c r="E2196" s="75"/>
      <c r="F2196" s="75" t="str">
        <f>IF(I.Compliance.P2aGTPBaselineEmissionsIntensity="","",I.Compliance.P2aGTPBaselineEmissionsIntensity)</f>
        <v/>
      </c>
      <c r="G2196" s="75"/>
      <c r="H2196" s="46" t="str">
        <f>IF(I.Developer.P2a=FALSE,"Complete",IF(AND(I.Product.P2aGasToPower="Yes",I.Compliance.P2aGTPBaselineEmissionsIntensity=""),"Incomplete","Complete"))</f>
        <v>Complete</v>
      </c>
      <c r="I2196" s="47" t="s">
        <v>2541</v>
      </c>
    </row>
    <row r="2197" spans="2:9" ht="15" customHeight="1" x14ac:dyDescent="0.25">
      <c r="B2197" s="37" t="s">
        <v>2510</v>
      </c>
      <c r="C2197" s="26">
        <v>1</v>
      </c>
      <c r="D2197" s="38" t="s">
        <v>2735</v>
      </c>
      <c r="E2197" s="43"/>
      <c r="F2197" s="43" t="str">
        <f>IF(I.Compliance.P2bReductionPeriod="","",I.Compliance.P2bReductionPeriod)</f>
        <v/>
      </c>
      <c r="G2197" s="43"/>
      <c r="H2197" s="26" t="str">
        <f>IF(I.Developer.P2b=FALSE,"Complete",IF(I.Compliance.P2bReductionPeriod="","Incomplete","Complete"))</f>
        <v>Complete</v>
      </c>
      <c r="I2197" s="39" t="s">
        <v>2533</v>
      </c>
    </row>
    <row r="2198" spans="2:9" ht="15" customHeight="1" x14ac:dyDescent="0.25">
      <c r="B2198" s="37" t="s">
        <v>2578</v>
      </c>
      <c r="C2198" s="26">
        <v>1</v>
      </c>
      <c r="D2198" s="38" t="s">
        <v>2736</v>
      </c>
      <c r="E2198" s="74"/>
      <c r="F2198" s="74" t="str">
        <f>IF(I.Compliance.P2bBaselineEmissionsIntensity="","",I.Compliance.P2bBaselineEmissionsIntensity)</f>
        <v/>
      </c>
      <c r="G2198" s="74"/>
      <c r="H2198" s="26" t="str">
        <f>IF(I.Developer.P2b=FALSE,"Complete",IF(I.Compliance.P2bBaselineEmissionsIntensity="","Incomplete","Complete"))</f>
        <v>Complete</v>
      </c>
      <c r="I2198" s="39" t="s">
        <v>2542</v>
      </c>
    </row>
    <row r="2199" spans="2:9" ht="15" customHeight="1" x14ac:dyDescent="0.25">
      <c r="B2199" s="37" t="s">
        <v>2511</v>
      </c>
      <c r="C2199" s="26">
        <v>1</v>
      </c>
      <c r="D2199" s="38" t="s">
        <v>2737</v>
      </c>
      <c r="E2199" s="43"/>
      <c r="F2199" s="43" t="str">
        <f>IF(I.Compliance.P2bGTPReductionPeriod="","",I.Compliance.P2bGTPReductionPeriod)</f>
        <v/>
      </c>
      <c r="G2199" s="43"/>
      <c r="H2199" s="26" t="str">
        <f>IF(I.Developer.P2b=FALSE,"Complete",IF(AND(I.Product.P2bGasToPower="Yes",I.Compliance.P2bGTPReductionPeriod=""),"Incomplete","Complete"))</f>
        <v>Complete</v>
      </c>
      <c r="I2199" s="39" t="s">
        <v>2543</v>
      </c>
    </row>
    <row r="2200" spans="2:9" ht="15" customHeight="1" x14ac:dyDescent="0.25">
      <c r="B2200" s="40" t="s">
        <v>2579</v>
      </c>
      <c r="C2200" s="46">
        <v>1</v>
      </c>
      <c r="D2200" s="44" t="s">
        <v>2738</v>
      </c>
      <c r="E2200" s="75"/>
      <c r="F2200" s="75" t="str">
        <f>IF(I.Compliance.P2bGTPBaselineEmissionsIntensity="","",I.Compliance.P2bGTPBaselineEmissionsIntensity)</f>
        <v/>
      </c>
      <c r="G2200" s="75"/>
      <c r="H2200" s="46" t="str">
        <f>IF(I.Developer.P2b=FALSE,"Complete",IF(AND(I.Product.P2bGasToPower="Yes",I.Compliance.P2bGTPBaselineEmissionsIntensity=""),"Incomplete","Complete"))</f>
        <v>Complete</v>
      </c>
      <c r="I2200" s="47" t="s">
        <v>2544</v>
      </c>
    </row>
    <row r="2201" spans="2:9" ht="15" customHeight="1" x14ac:dyDescent="0.25">
      <c r="B2201" s="37" t="s">
        <v>2512</v>
      </c>
      <c r="C2201" s="26">
        <v>1</v>
      </c>
      <c r="D2201" s="38" t="s">
        <v>2739</v>
      </c>
      <c r="E2201" s="43"/>
      <c r="F2201" s="43" t="str">
        <f>IF(I.Compliance.P3ReductionPeriod="","",I.Compliance.P3ReductionPeriod)</f>
        <v/>
      </c>
      <c r="G2201" s="43"/>
      <c r="H2201" s="26" t="str">
        <f>IF(I.Developer.P3=FALSE,"Complete",IF(I.Compliance.P3ReductionPeriod="","Incomplete","Complete"))</f>
        <v>Complete</v>
      </c>
      <c r="I2201" s="39" t="s">
        <v>2534</v>
      </c>
    </row>
    <row r="2202" spans="2:9" ht="15" customHeight="1" x14ac:dyDescent="0.25">
      <c r="B2202" s="37" t="s">
        <v>2580</v>
      </c>
      <c r="C2202" s="26">
        <v>1</v>
      </c>
      <c r="D2202" s="38" t="s">
        <v>2740</v>
      </c>
      <c r="E2202" s="74"/>
      <c r="F2202" s="74" t="str">
        <f>IF(I.Compliance.P3BaselineEmissionsIntensity="","",I.Compliance.P3BaselineEmissionsIntensity)</f>
        <v/>
      </c>
      <c r="G2202" s="74"/>
      <c r="H2202" s="26" t="str">
        <f>IF(I.Developer.P3=FALSE,"Complete",IF(I.Compliance.P3BaselineEmissionsIntensity="","Incomplete","Complete"))</f>
        <v>Complete</v>
      </c>
      <c r="I2202" s="39" t="s">
        <v>2545</v>
      </c>
    </row>
    <row r="2203" spans="2:9" ht="15" customHeight="1" x14ac:dyDescent="0.25">
      <c r="B2203" s="37" t="s">
        <v>2513</v>
      </c>
      <c r="C2203" s="26">
        <v>1</v>
      </c>
      <c r="D2203" s="38" t="s">
        <v>2741</v>
      </c>
      <c r="E2203" s="43"/>
      <c r="F2203" s="43" t="str">
        <f>IF(I.Compliance.P3GTPReductionPeriod="","",I.Compliance.P3GTPReductionPeriod)</f>
        <v/>
      </c>
      <c r="G2203" s="43"/>
      <c r="H2203" s="26" t="str">
        <f>IF(I.Developer.P3=FALSE,"Complete",IF(AND(I.Product.P3GasToPower="Yes",I.Compliance.P3GTPReductionPeriod=""),"Incomplete","Complete"))</f>
        <v>Complete</v>
      </c>
      <c r="I2203" s="39" t="s">
        <v>2546</v>
      </c>
    </row>
    <row r="2204" spans="2:9" ht="15" customHeight="1" x14ac:dyDescent="0.25">
      <c r="B2204" s="40" t="s">
        <v>2581</v>
      </c>
      <c r="C2204" s="46">
        <v>1</v>
      </c>
      <c r="D2204" s="44" t="s">
        <v>2742</v>
      </c>
      <c r="E2204" s="75"/>
      <c r="F2204" s="75" t="str">
        <f>IF(I.Compliance.P3GTPBaselineEmissionsIntensity="","",I.Compliance.P3GTPBaselineEmissionsIntensity)</f>
        <v/>
      </c>
      <c r="G2204" s="75"/>
      <c r="H2204" s="46" t="str">
        <f>IF(I.Developer.P3=FALSE,"Complete",IF(AND(I.Product.P3GasToPower="Yes",I.Compliance.P3GTPBaselineEmissionsIntensity=""),"Incomplete","Complete"))</f>
        <v>Complete</v>
      </c>
      <c r="I2204" s="47" t="s">
        <v>2547</v>
      </c>
    </row>
    <row r="2205" spans="2:9" ht="15" customHeight="1" x14ac:dyDescent="0.25">
      <c r="B2205" s="37" t="s">
        <v>2514</v>
      </c>
      <c r="C2205" s="26">
        <v>1</v>
      </c>
      <c r="D2205" s="38" t="s">
        <v>2743</v>
      </c>
      <c r="E2205" s="43"/>
      <c r="F2205" s="43" t="str">
        <f>IF(I.Compliance.P4ReductionPeriod="","",I.Compliance.P4ReductionPeriod)</f>
        <v/>
      </c>
      <c r="G2205" s="43"/>
      <c r="H2205" s="26" t="str">
        <f>IF(I.Developer.P4=FALSE,"Complete",IF(I.Compliance.P4ReductionPeriod="","Incomplete","Complete"))</f>
        <v>Complete</v>
      </c>
      <c r="I2205" s="39" t="s">
        <v>2535</v>
      </c>
    </row>
    <row r="2206" spans="2:9" ht="15" customHeight="1" x14ac:dyDescent="0.25">
      <c r="B2206" s="37" t="s">
        <v>2582</v>
      </c>
      <c r="C2206" s="26">
        <v>1</v>
      </c>
      <c r="D2206" s="38" t="s">
        <v>2744</v>
      </c>
      <c r="E2206" s="74"/>
      <c r="F2206" s="74" t="str">
        <f>IF(I.Compliance.P4BaselineEmissionsIntensity="","",I.Compliance.P4BaselineEmissionsIntensity)</f>
        <v/>
      </c>
      <c r="G2206" s="74"/>
      <c r="H2206" s="26" t="str">
        <f>IF(I.Developer.P4=FALSE,"Complete",IF(I.Compliance.P4BaselineEmissionsIntensity="","Incomplete","Complete"))</f>
        <v>Complete</v>
      </c>
      <c r="I2206" s="39" t="s">
        <v>2548</v>
      </c>
    </row>
    <row r="2207" spans="2:9" ht="15" customHeight="1" x14ac:dyDescent="0.25">
      <c r="B2207" s="37" t="s">
        <v>2515</v>
      </c>
      <c r="C2207" s="26">
        <v>1</v>
      </c>
      <c r="D2207" s="38" t="s">
        <v>2745</v>
      </c>
      <c r="E2207" s="43"/>
      <c r="F2207" s="43" t="str">
        <f>IF(I.Compliance.P4GTPReductionPeriod="","",I.Compliance.P4GTPReductionPeriod)</f>
        <v/>
      </c>
      <c r="G2207" s="43"/>
      <c r="H2207" s="26" t="str">
        <f>IF(I.Developer.P4=FALSE,"Complete",IF(AND(I.Product.P4GasToPower="Yes",I.Compliance.P4GTPReductionPeriod=""),"Incomplete","Complete"))</f>
        <v>Complete</v>
      </c>
      <c r="I2207" s="39" t="s">
        <v>2549</v>
      </c>
    </row>
    <row r="2208" spans="2:9" ht="15" customHeight="1" x14ac:dyDescent="0.25">
      <c r="B2208" s="40" t="s">
        <v>2583</v>
      </c>
      <c r="C2208" s="46">
        <v>1</v>
      </c>
      <c r="D2208" s="44" t="s">
        <v>2746</v>
      </c>
      <c r="E2208" s="75"/>
      <c r="F2208" s="75" t="str">
        <f>IF(I.Compliance.P4GTPBaselineEmissionsIntensity="","",I.Compliance.P4GTPBaselineEmissionsIntensity)</f>
        <v/>
      </c>
      <c r="G2208" s="75"/>
      <c r="H2208" s="46" t="str">
        <f>IF(I.Developer.P4=FALSE,"Complete",IF(AND(I.Product.P4GasToPower="Yes",I.Compliance.P4GTPBaselineEmissionsIntensity=""),"Incomplete","Complete"))</f>
        <v>Complete</v>
      </c>
      <c r="I2208" s="47" t="s">
        <v>2550</v>
      </c>
    </row>
    <row r="2209" spans="2:9" ht="15" customHeight="1" x14ac:dyDescent="0.25">
      <c r="B2209" s="55"/>
      <c r="C2209" s="56"/>
      <c r="D2209" s="53"/>
      <c r="E2209" s="56"/>
      <c r="F2209" s="56"/>
      <c r="G2209" s="56"/>
      <c r="H2209" s="56" t="str">
        <f>IF(MAX(I.Compliance.P1ReductionPeriod,I.Compliance.P2aReductionPeriod,I.Compliance.P2bReductionPeriod,I.Compliance.P3ReductionPeriod,I.Compliance.P4ReductionPeriod)&lt;&gt;MIN(I.Compliance.P1ReductionPeriod,I.Compliance.P2aReductionPeriod,I.Compliance.P2bReductionPeriod,I.Compliance.P3ReductionPeriod,I.Compliance.P4ReductionPeriod),"Incomplete","Complete")</f>
        <v>Complete</v>
      </c>
      <c r="I2209" s="58" t="s">
        <v>2584</v>
      </c>
    </row>
    <row r="2210" spans="2:9" ht="15" customHeight="1" x14ac:dyDescent="0.25">
      <c r="B2210" s="37" t="s">
        <v>2429</v>
      </c>
      <c r="C2210" s="26">
        <v>1</v>
      </c>
      <c r="D2210" s="38" t="s">
        <v>2747</v>
      </c>
      <c r="E2210" s="38"/>
      <c r="F2210" s="26" t="str">
        <f>IF(I.Declaration.Name="","",I.Declaration.Name)</f>
        <v/>
      </c>
      <c r="G2210" s="38"/>
      <c r="H2210" s="26" t="str">
        <f>IF(I.Declaration.Name="","Incomplete","Complete")</f>
        <v>Incomplete</v>
      </c>
      <c r="I2210" s="39" t="s">
        <v>2430</v>
      </c>
    </row>
    <row r="2211" spans="2:9" ht="15" customHeight="1" x14ac:dyDescent="0.25">
      <c r="B2211" s="40" t="s">
        <v>2431</v>
      </c>
      <c r="C2211" s="46">
        <v>1</v>
      </c>
      <c r="D2211" s="44" t="s">
        <v>2748</v>
      </c>
      <c r="E2211" s="84"/>
      <c r="F2211" s="84" t="str">
        <f>IF(I.Declaration.Date="","",I.Declaration.Date)</f>
        <v/>
      </c>
      <c r="G2211" s="84"/>
      <c r="H2211" s="46" t="str">
        <f>IF(I.Declaration.Date="","Incomplete","Complete")</f>
        <v>Incomplete</v>
      </c>
      <c r="I2211" s="47" t="s">
        <v>2432</v>
      </c>
    </row>
    <row r="2212" spans="2:9" ht="15" customHeight="1" x14ac:dyDescent="0.25">
      <c r="B2212" s="37" t="s">
        <v>2433</v>
      </c>
      <c r="C2212" s="26">
        <v>1</v>
      </c>
      <c r="D2212" s="38" t="s">
        <v>2749</v>
      </c>
      <c r="E2212" s="26"/>
      <c r="F2212" s="92"/>
      <c r="G2212" s="26"/>
      <c r="H2212" s="26"/>
      <c r="I2212" s="39"/>
    </row>
    <row r="2213" spans="2:9" ht="15" customHeight="1" x14ac:dyDescent="0.25">
      <c r="B2213" s="37" t="s">
        <v>2434</v>
      </c>
      <c r="C2213" s="26">
        <v>1</v>
      </c>
      <c r="D2213" s="38" t="s">
        <v>2750</v>
      </c>
      <c r="E2213" s="26"/>
      <c r="F2213" s="92"/>
      <c r="G2213" s="26"/>
      <c r="H2213" s="26"/>
      <c r="I2213" s="39"/>
    </row>
    <row r="2214" spans="2:9" ht="15" customHeight="1" x14ac:dyDescent="0.25">
      <c r="B2214" s="37" t="s">
        <v>2435</v>
      </c>
      <c r="C2214" s="26">
        <v>1</v>
      </c>
      <c r="D2214" s="38" t="s">
        <v>2751</v>
      </c>
      <c r="E2214" s="26"/>
      <c r="F2214" s="92"/>
      <c r="G2214" s="26"/>
      <c r="H2214" s="26"/>
      <c r="I2214" s="39"/>
    </row>
    <row r="2215" spans="2:9" ht="15" customHeight="1" x14ac:dyDescent="0.25">
      <c r="B2215" s="37" t="s">
        <v>2436</v>
      </c>
      <c r="C2215" s="26">
        <v>1</v>
      </c>
      <c r="D2215" s="38" t="s">
        <v>2752</v>
      </c>
      <c r="E2215" s="26"/>
      <c r="F2215" s="92"/>
      <c r="G2215" s="26"/>
      <c r="H2215" s="26"/>
      <c r="I2215" s="39"/>
    </row>
    <row r="2216" spans="2:9" ht="15" customHeight="1" x14ac:dyDescent="0.25">
      <c r="B2216" s="40" t="s">
        <v>2437</v>
      </c>
      <c r="C2216" s="46">
        <v>1</v>
      </c>
      <c r="D2216" s="44" t="s">
        <v>2753</v>
      </c>
      <c r="E2216" s="46"/>
      <c r="F2216" s="93"/>
      <c r="G2216" s="46"/>
      <c r="H2216" s="46"/>
      <c r="I2216" s="47"/>
    </row>
    <row r="2217" spans="2:9" ht="15" customHeight="1" x14ac:dyDescent="0.25">
      <c r="B2217" s="37" t="s">
        <v>2438</v>
      </c>
      <c r="C2217" s="26">
        <v>1</v>
      </c>
      <c r="D2217" s="38" t="s">
        <v>2754</v>
      </c>
      <c r="E2217" s="26"/>
      <c r="F2217" s="92"/>
      <c r="G2217" s="26"/>
      <c r="H2217" s="26"/>
      <c r="I2217" s="39"/>
    </row>
    <row r="2218" spans="2:9" ht="15" customHeight="1" x14ac:dyDescent="0.25">
      <c r="B2218" s="37" t="s">
        <v>2439</v>
      </c>
      <c r="C2218" s="26">
        <v>1</v>
      </c>
      <c r="D2218" s="38" t="s">
        <v>2755</v>
      </c>
      <c r="E2218" s="26"/>
      <c r="F2218" s="92"/>
      <c r="G2218" s="26"/>
      <c r="H2218" s="26"/>
      <c r="I2218" s="39"/>
    </row>
    <row r="2219" spans="2:9" ht="15" customHeight="1" x14ac:dyDescent="0.25">
      <c r="B2219" s="37" t="s">
        <v>2440</v>
      </c>
      <c r="C2219" s="26">
        <v>1</v>
      </c>
      <c r="D2219" s="38" t="s">
        <v>2756</v>
      </c>
      <c r="E2219" s="26"/>
      <c r="F2219" s="92"/>
      <c r="G2219" s="26"/>
      <c r="H2219" s="26"/>
      <c r="I2219" s="39"/>
    </row>
    <row r="2220" spans="2:9" ht="15" customHeight="1" x14ac:dyDescent="0.25">
      <c r="B2220" s="40" t="s">
        <v>2441</v>
      </c>
      <c r="C2220" s="46">
        <v>1</v>
      </c>
      <c r="D2220" s="44" t="s">
        <v>2757</v>
      </c>
      <c r="E2220" s="46"/>
      <c r="F2220" s="93"/>
      <c r="G2220" s="46"/>
      <c r="H2220" s="46"/>
      <c r="I2220" s="47"/>
    </row>
    <row r="2221" spans="2:9" ht="15" customHeight="1" x14ac:dyDescent="0.25">
      <c r="B2221" s="37" t="s">
        <v>2442</v>
      </c>
      <c r="C2221" s="26">
        <v>1</v>
      </c>
      <c r="D2221" s="38" t="s">
        <v>2758</v>
      </c>
      <c r="E2221" s="26"/>
      <c r="F2221" s="92"/>
      <c r="G2221" s="26"/>
      <c r="H2221" s="26"/>
      <c r="I2221" s="39"/>
    </row>
    <row r="2222" spans="2:9" ht="15" customHeight="1" x14ac:dyDescent="0.25">
      <c r="B2222" s="37" t="s">
        <v>2443</v>
      </c>
      <c r="C2222" s="26">
        <v>1</v>
      </c>
      <c r="D2222" s="38" t="s">
        <v>2759</v>
      </c>
      <c r="E2222" s="26"/>
      <c r="F2222" s="92"/>
      <c r="G2222" s="26"/>
      <c r="H2222" s="26"/>
      <c r="I2222" s="39"/>
    </row>
    <row r="2223" spans="2:9" ht="15" customHeight="1" x14ac:dyDescent="0.25">
      <c r="B2223" s="37" t="s">
        <v>2444</v>
      </c>
      <c r="C2223" s="26">
        <v>1</v>
      </c>
      <c r="D2223" s="38" t="s">
        <v>2760</v>
      </c>
      <c r="E2223" s="26"/>
      <c r="F2223" s="92"/>
      <c r="G2223" s="26"/>
      <c r="H2223" s="26"/>
      <c r="I2223" s="39"/>
    </row>
    <row r="2224" spans="2:9" ht="15" customHeight="1" x14ac:dyDescent="0.25">
      <c r="B2224" s="37" t="s">
        <v>2445</v>
      </c>
      <c r="C2224" s="26">
        <v>1</v>
      </c>
      <c r="D2224" s="38" t="s">
        <v>2761</v>
      </c>
      <c r="E2224" s="26"/>
      <c r="F2224" s="92"/>
      <c r="G2224" s="26"/>
      <c r="H2224" s="26"/>
      <c r="I2224" s="39"/>
    </row>
    <row r="2225" spans="2:9" ht="15" customHeight="1" x14ac:dyDescent="0.25">
      <c r="B2225" s="40" t="s">
        <v>2446</v>
      </c>
      <c r="C2225" s="46">
        <v>1</v>
      </c>
      <c r="D2225" s="44" t="s">
        <v>2762</v>
      </c>
      <c r="E2225" s="46"/>
      <c r="F2225" s="93"/>
      <c r="G2225" s="46"/>
      <c r="H2225" s="46"/>
      <c r="I2225" s="47"/>
    </row>
    <row r="2226" spans="2:9" ht="15" customHeight="1" x14ac:dyDescent="0.25">
      <c r="B2226" s="37" t="s">
        <v>2447</v>
      </c>
      <c r="C2226" s="26">
        <v>1</v>
      </c>
      <c r="D2226" s="38" t="s">
        <v>2763</v>
      </c>
      <c r="E2226" s="26"/>
      <c r="F2226" s="92"/>
      <c r="G2226" s="26"/>
      <c r="H2226" s="26"/>
      <c r="I2226" s="39"/>
    </row>
    <row r="2227" spans="2:9" ht="15" customHeight="1" x14ac:dyDescent="0.25">
      <c r="B2227" s="37" t="s">
        <v>2448</v>
      </c>
      <c r="C2227" s="26">
        <v>1</v>
      </c>
      <c r="D2227" s="38" t="s">
        <v>2764</v>
      </c>
      <c r="E2227" s="26"/>
      <c r="F2227" s="92"/>
      <c r="G2227" s="26"/>
      <c r="H2227" s="26"/>
      <c r="I2227" s="39"/>
    </row>
    <row r="2228" spans="2:9" ht="15" customHeight="1" x14ac:dyDescent="0.25">
      <c r="B2228" s="37" t="s">
        <v>2449</v>
      </c>
      <c r="C2228" s="26">
        <v>1</v>
      </c>
      <c r="D2228" s="38" t="s">
        <v>2765</v>
      </c>
      <c r="E2228" s="26"/>
      <c r="F2228" s="92"/>
      <c r="G2228" s="26"/>
      <c r="H2228" s="26"/>
      <c r="I2228" s="39"/>
    </row>
    <row r="2229" spans="2:9" ht="15" customHeight="1" x14ac:dyDescent="0.25">
      <c r="B2229" s="40" t="s">
        <v>2450</v>
      </c>
      <c r="C2229" s="46">
        <v>1</v>
      </c>
      <c r="D2229" s="44" t="s">
        <v>2766</v>
      </c>
      <c r="E2229" s="46"/>
      <c r="F2229" s="93"/>
      <c r="G2229" s="46"/>
      <c r="H2229" s="46"/>
      <c r="I2229" s="47"/>
    </row>
    <row r="2230" spans="2:9" ht="15" customHeight="1" x14ac:dyDescent="0.25">
      <c r="B2230" s="37" t="s">
        <v>2451</v>
      </c>
      <c r="C2230" s="26">
        <v>1</v>
      </c>
      <c r="D2230" s="38" t="s">
        <v>2767</v>
      </c>
      <c r="E2230" s="26"/>
      <c r="F2230" s="92"/>
      <c r="G2230" s="26"/>
      <c r="H2230" s="26"/>
      <c r="I2230" s="39"/>
    </row>
    <row r="2231" spans="2:9" ht="15" customHeight="1" x14ac:dyDescent="0.25">
      <c r="B2231" s="37" t="s">
        <v>2452</v>
      </c>
      <c r="C2231" s="26">
        <v>1</v>
      </c>
      <c r="D2231" s="38" t="s">
        <v>2768</v>
      </c>
      <c r="E2231" s="26"/>
      <c r="F2231" s="92"/>
      <c r="G2231" s="26"/>
      <c r="H2231" s="26"/>
      <c r="I2231" s="39"/>
    </row>
    <row r="2232" spans="2:9" ht="15" customHeight="1" x14ac:dyDescent="0.25">
      <c r="B2232" s="37" t="s">
        <v>2453</v>
      </c>
      <c r="C2232" s="26">
        <v>1</v>
      </c>
      <c r="D2232" s="38" t="s">
        <v>2769</v>
      </c>
      <c r="E2232" s="26"/>
      <c r="F2232" s="92"/>
      <c r="G2232" s="26"/>
      <c r="H2232" s="26"/>
      <c r="I2232" s="39"/>
    </row>
    <row r="2233" spans="2:9" ht="15" customHeight="1" x14ac:dyDescent="0.25">
      <c r="B2233" s="37" t="s">
        <v>2454</v>
      </c>
      <c r="C2233" s="26">
        <v>1</v>
      </c>
      <c r="D2233" s="38" t="s">
        <v>2770</v>
      </c>
      <c r="E2233" s="26"/>
      <c r="F2233" s="92"/>
      <c r="G2233" s="26"/>
      <c r="H2233" s="26"/>
      <c r="I2233" s="39"/>
    </row>
    <row r="2234" spans="2:9" ht="15" customHeight="1" x14ac:dyDescent="0.25">
      <c r="B2234" s="40" t="s">
        <v>2455</v>
      </c>
      <c r="C2234" s="46">
        <v>1</v>
      </c>
      <c r="D2234" s="44" t="s">
        <v>2771</v>
      </c>
      <c r="E2234" s="46"/>
      <c r="F2234" s="93"/>
      <c r="G2234" s="46"/>
      <c r="H2234" s="46"/>
      <c r="I2234" s="47"/>
    </row>
    <row r="2235" spans="2:9" ht="15" customHeight="1" x14ac:dyDescent="0.25">
      <c r="B2235" s="37" t="s">
        <v>2456</v>
      </c>
      <c r="C2235" s="26">
        <v>1</v>
      </c>
      <c r="D2235" s="38" t="s">
        <v>2772</v>
      </c>
      <c r="E2235" s="26"/>
      <c r="F2235" s="92"/>
      <c r="G2235" s="26"/>
      <c r="H2235" s="26"/>
      <c r="I2235" s="39"/>
    </row>
    <row r="2236" spans="2:9" ht="15" customHeight="1" x14ac:dyDescent="0.25">
      <c r="B2236" s="37" t="s">
        <v>2457</v>
      </c>
      <c r="C2236" s="26">
        <v>1</v>
      </c>
      <c r="D2236" s="38" t="s">
        <v>2773</v>
      </c>
      <c r="E2236" s="26"/>
      <c r="F2236" s="92"/>
      <c r="G2236" s="26"/>
      <c r="H2236" s="26"/>
      <c r="I2236" s="39"/>
    </row>
    <row r="2237" spans="2:9" ht="15" customHeight="1" x14ac:dyDescent="0.25">
      <c r="B2237" s="37" t="s">
        <v>2458</v>
      </c>
      <c r="C2237" s="26">
        <v>1</v>
      </c>
      <c r="D2237" s="38" t="s">
        <v>2774</v>
      </c>
      <c r="E2237" s="26"/>
      <c r="F2237" s="92"/>
      <c r="G2237" s="26"/>
      <c r="H2237" s="26"/>
      <c r="I2237" s="39"/>
    </row>
    <row r="2238" spans="2:9" ht="15" customHeight="1" x14ac:dyDescent="0.25">
      <c r="B2238" s="40" t="s">
        <v>2459</v>
      </c>
      <c r="C2238" s="46">
        <v>1</v>
      </c>
      <c r="D2238" s="44" t="s">
        <v>2775</v>
      </c>
      <c r="E2238" s="46"/>
      <c r="F2238" s="93"/>
      <c r="G2238" s="46"/>
      <c r="H2238" s="46"/>
      <c r="I2238" s="47"/>
    </row>
    <row r="2239" spans="2:9" ht="15" customHeight="1" x14ac:dyDescent="0.25">
      <c r="B2239" s="37" t="s">
        <v>2460</v>
      </c>
      <c r="C2239" s="26">
        <v>1</v>
      </c>
      <c r="D2239" s="38" t="s">
        <v>2776</v>
      </c>
      <c r="E2239" s="26"/>
      <c r="F2239" s="92"/>
      <c r="G2239" s="26"/>
      <c r="H2239" s="26"/>
      <c r="I2239" s="39"/>
    </row>
    <row r="2240" spans="2:9" ht="15" customHeight="1" x14ac:dyDescent="0.25">
      <c r="B2240" s="37" t="s">
        <v>2461</v>
      </c>
      <c r="C2240" s="26">
        <v>1</v>
      </c>
      <c r="D2240" s="38" t="s">
        <v>2777</v>
      </c>
      <c r="E2240" s="26"/>
      <c r="F2240" s="92"/>
      <c r="G2240" s="26"/>
      <c r="H2240" s="26"/>
      <c r="I2240" s="39"/>
    </row>
    <row r="2241" spans="2:9" ht="15" customHeight="1" x14ac:dyDescent="0.25">
      <c r="B2241" s="37" t="s">
        <v>2462</v>
      </c>
      <c r="C2241" s="26">
        <v>1</v>
      </c>
      <c r="D2241" s="38" t="s">
        <v>2778</v>
      </c>
      <c r="E2241" s="26"/>
      <c r="F2241" s="92"/>
      <c r="G2241" s="26"/>
      <c r="H2241" s="26"/>
      <c r="I2241" s="39"/>
    </row>
    <row r="2242" spans="2:9" ht="15" customHeight="1" x14ac:dyDescent="0.25">
      <c r="B2242" s="37" t="s">
        <v>2463</v>
      </c>
      <c r="C2242" s="26">
        <v>1</v>
      </c>
      <c r="D2242" s="38" t="s">
        <v>2779</v>
      </c>
      <c r="E2242" s="26"/>
      <c r="F2242" s="92"/>
      <c r="G2242" s="26"/>
      <c r="H2242" s="26"/>
      <c r="I2242" s="39"/>
    </row>
    <row r="2243" spans="2:9" ht="15" customHeight="1" x14ac:dyDescent="0.25">
      <c r="B2243" s="40" t="s">
        <v>2464</v>
      </c>
      <c r="C2243" s="46">
        <v>1</v>
      </c>
      <c r="D2243" s="44" t="s">
        <v>2780</v>
      </c>
      <c r="E2243" s="46"/>
      <c r="F2243" s="93"/>
      <c r="G2243" s="46"/>
      <c r="H2243" s="46"/>
      <c r="I2243" s="47"/>
    </row>
    <row r="2244" spans="2:9" ht="15" customHeight="1" x14ac:dyDescent="0.25">
      <c r="B2244" s="37" t="s">
        <v>2465</v>
      </c>
      <c r="C2244" s="26">
        <v>1</v>
      </c>
      <c r="D2244" s="38" t="s">
        <v>2781</v>
      </c>
      <c r="E2244" s="26"/>
      <c r="F2244" s="92"/>
      <c r="G2244" s="26"/>
      <c r="H2244" s="26"/>
      <c r="I2244" s="39"/>
    </row>
    <row r="2245" spans="2:9" ht="15" customHeight="1" x14ac:dyDescent="0.25">
      <c r="B2245" s="37" t="s">
        <v>2466</v>
      </c>
      <c r="C2245" s="26">
        <v>1</v>
      </c>
      <c r="D2245" s="38" t="s">
        <v>2782</v>
      </c>
      <c r="E2245" s="26"/>
      <c r="F2245" s="92"/>
      <c r="G2245" s="26"/>
      <c r="H2245" s="26"/>
      <c r="I2245" s="39"/>
    </row>
    <row r="2246" spans="2:9" ht="15" customHeight="1" x14ac:dyDescent="0.25">
      <c r="B2246" s="37" t="s">
        <v>2467</v>
      </c>
      <c r="C2246" s="26">
        <v>1</v>
      </c>
      <c r="D2246" s="38" t="s">
        <v>2783</v>
      </c>
      <c r="E2246" s="26"/>
      <c r="F2246" s="92"/>
      <c r="G2246" s="26"/>
      <c r="H2246" s="26"/>
      <c r="I2246" s="39"/>
    </row>
    <row r="2247" spans="2:9" ht="15" customHeight="1" x14ac:dyDescent="0.25">
      <c r="B2247" s="40" t="s">
        <v>2468</v>
      </c>
      <c r="C2247" s="46">
        <v>1</v>
      </c>
      <c r="D2247" s="44" t="s">
        <v>2784</v>
      </c>
      <c r="E2247" s="46"/>
      <c r="F2247" s="93"/>
      <c r="G2247" s="46"/>
      <c r="H2247" s="46"/>
      <c r="I2247" s="47"/>
    </row>
    <row r="2248" spans="2:9" ht="15" customHeight="1" x14ac:dyDescent="0.25">
      <c r="B2248" s="37" t="s">
        <v>2469</v>
      </c>
      <c r="C2248" s="26">
        <v>1</v>
      </c>
      <c r="D2248" s="38" t="s">
        <v>2785</v>
      </c>
      <c r="E2248" s="26"/>
      <c r="F2248" s="92"/>
      <c r="G2248" s="26"/>
      <c r="H2248" s="26"/>
      <c r="I2248" s="39"/>
    </row>
    <row r="2249" spans="2:9" ht="15" customHeight="1" x14ac:dyDescent="0.25">
      <c r="B2249" s="37" t="s">
        <v>2470</v>
      </c>
      <c r="C2249" s="26">
        <v>1</v>
      </c>
      <c r="D2249" s="38" t="s">
        <v>2786</v>
      </c>
      <c r="E2249" s="26"/>
      <c r="F2249" s="92"/>
      <c r="G2249" s="26"/>
      <c r="H2249" s="26"/>
      <c r="I2249" s="39"/>
    </row>
    <row r="2250" spans="2:9" ht="15" customHeight="1" x14ac:dyDescent="0.25">
      <c r="B2250" s="37" t="s">
        <v>2471</v>
      </c>
      <c r="C2250" s="26">
        <v>1</v>
      </c>
      <c r="D2250" s="38" t="s">
        <v>2787</v>
      </c>
      <c r="E2250" s="26"/>
      <c r="F2250" s="92"/>
      <c r="G2250" s="26"/>
      <c r="H2250" s="26"/>
      <c r="I2250" s="39"/>
    </row>
    <row r="2251" spans="2:9" ht="15" customHeight="1" x14ac:dyDescent="0.25">
      <c r="B2251" s="37" t="s">
        <v>2472</v>
      </c>
      <c r="C2251" s="26">
        <v>1</v>
      </c>
      <c r="D2251" s="38" t="s">
        <v>2788</v>
      </c>
      <c r="E2251" s="26"/>
      <c r="F2251" s="92"/>
      <c r="G2251" s="26"/>
      <c r="H2251" s="26"/>
      <c r="I2251" s="39"/>
    </row>
    <row r="2252" spans="2:9" ht="15" customHeight="1" x14ac:dyDescent="0.25">
      <c r="B2252" s="40" t="s">
        <v>2473</v>
      </c>
      <c r="C2252" s="46">
        <v>1</v>
      </c>
      <c r="D2252" s="44" t="s">
        <v>2789</v>
      </c>
      <c r="E2252" s="46"/>
      <c r="F2252" s="93"/>
      <c r="G2252" s="46"/>
      <c r="H2252" s="46"/>
      <c r="I2252" s="47"/>
    </row>
    <row r="2253" spans="2:9" ht="15" customHeight="1" x14ac:dyDescent="0.25">
      <c r="B2253" s="37" t="s">
        <v>2474</v>
      </c>
      <c r="C2253" s="26">
        <v>1</v>
      </c>
      <c r="D2253" s="38" t="s">
        <v>2790</v>
      </c>
      <c r="E2253" s="26"/>
      <c r="F2253" s="92"/>
      <c r="G2253" s="26"/>
      <c r="H2253" s="26"/>
      <c r="I2253" s="39"/>
    </row>
    <row r="2254" spans="2:9" ht="15" customHeight="1" x14ac:dyDescent="0.25">
      <c r="B2254" s="37" t="s">
        <v>2475</v>
      </c>
      <c r="C2254" s="26">
        <v>1</v>
      </c>
      <c r="D2254" s="38" t="s">
        <v>2791</v>
      </c>
      <c r="E2254" s="26"/>
      <c r="F2254" s="92"/>
      <c r="G2254" s="26"/>
      <c r="H2254" s="26"/>
      <c r="I2254" s="39"/>
    </row>
    <row r="2255" spans="2:9" ht="15" customHeight="1" x14ac:dyDescent="0.25">
      <c r="B2255" s="37" t="s">
        <v>2476</v>
      </c>
      <c r="C2255" s="26">
        <v>1</v>
      </c>
      <c r="D2255" s="38" t="s">
        <v>2792</v>
      </c>
      <c r="E2255" s="26"/>
      <c r="F2255" s="92"/>
      <c r="G2255" s="26"/>
      <c r="H2255" s="26"/>
      <c r="I2255" s="39"/>
    </row>
    <row r="2256" spans="2:9" ht="15" customHeight="1" x14ac:dyDescent="0.25">
      <c r="B2256" s="40" t="s">
        <v>2477</v>
      </c>
      <c r="C2256" s="46">
        <v>1</v>
      </c>
      <c r="D2256" s="44" t="s">
        <v>2793</v>
      </c>
      <c r="E2256" s="46"/>
      <c r="F2256" s="93"/>
      <c r="G2256" s="46"/>
      <c r="H2256" s="46"/>
      <c r="I2256" s="47"/>
    </row>
    <row r="2257" spans="2:9" ht="15" customHeight="1" x14ac:dyDescent="0.25">
      <c r="B2257" s="37" t="s">
        <v>2478</v>
      </c>
      <c r="C2257" s="26">
        <v>1</v>
      </c>
      <c r="D2257" s="38" t="s">
        <v>2794</v>
      </c>
      <c r="E2257" s="26"/>
      <c r="F2257" s="92"/>
      <c r="G2257" s="26"/>
      <c r="H2257" s="26"/>
      <c r="I2257" s="39"/>
    </row>
    <row r="2258" spans="2:9" ht="15" customHeight="1" x14ac:dyDescent="0.25">
      <c r="B2258" s="37" t="s">
        <v>2479</v>
      </c>
      <c r="C2258" s="26">
        <v>1</v>
      </c>
      <c r="D2258" s="38" t="s">
        <v>2795</v>
      </c>
      <c r="E2258" s="26"/>
      <c r="F2258" s="92"/>
      <c r="G2258" s="26"/>
      <c r="H2258" s="26"/>
      <c r="I2258" s="39"/>
    </row>
    <row r="2259" spans="2:9" ht="15" customHeight="1" x14ac:dyDescent="0.25">
      <c r="B2259" s="37" t="s">
        <v>2480</v>
      </c>
      <c r="C2259" s="26">
        <v>1</v>
      </c>
      <c r="D2259" s="38" t="s">
        <v>2796</v>
      </c>
      <c r="E2259" s="26"/>
      <c r="F2259" s="92"/>
      <c r="G2259" s="26"/>
      <c r="H2259" s="26"/>
      <c r="I2259" s="39"/>
    </row>
    <row r="2260" spans="2:9" ht="15" customHeight="1" x14ac:dyDescent="0.25">
      <c r="B2260" s="37" t="s">
        <v>2481</v>
      </c>
      <c r="C2260" s="26">
        <v>1</v>
      </c>
      <c r="D2260" s="38" t="s">
        <v>2797</v>
      </c>
      <c r="E2260" s="26"/>
      <c r="F2260" s="92"/>
      <c r="G2260" s="26"/>
      <c r="H2260" s="26"/>
      <c r="I2260" s="39"/>
    </row>
    <row r="2261" spans="2:9" ht="15" customHeight="1" x14ac:dyDescent="0.25">
      <c r="B2261" s="40" t="s">
        <v>2482</v>
      </c>
      <c r="C2261" s="46">
        <v>1</v>
      </c>
      <c r="D2261" s="44" t="s">
        <v>2798</v>
      </c>
      <c r="E2261" s="46"/>
      <c r="F2261" s="93"/>
      <c r="G2261" s="46"/>
      <c r="H2261" s="46"/>
      <c r="I2261" s="47"/>
    </row>
  </sheetData>
  <sheetProtection algorithmName="SHA-512" hashValue="7K3fq0HdMI2PPDb45YLGF7fqv+DkE60hdDTPFPNITleLZjLe3pIKnhKrujMYAgQqAdvKnRLHl3LeixLqKjWMAA==" saltValue="KuIvUCrbY5Ci8RXz9R4OFg==" spinCount="100000" sheet="1" objects="1" scenarios="1"/>
  <phoneticPr fontId="18"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AB6D0E600912F43A06780007612B3BE" ma:contentTypeVersion="7" ma:contentTypeDescription="Create a new document." ma:contentTypeScope="" ma:versionID="28a362090f67c88f49cf82f2c844e4ed">
  <xsd:schema xmlns:xsd="http://www.w3.org/2001/XMLSchema" xmlns:xs="http://www.w3.org/2001/XMLSchema" xmlns:p="http://schemas.microsoft.com/office/2006/metadata/properties" xmlns:ns2="bc1d42ac-7b64-45cd-9065-b9f493686385" xmlns:ns3="a20525aa-aa8a-4bba-979a-5db41298085f" targetNamespace="http://schemas.microsoft.com/office/2006/metadata/properties" ma:root="true" ma:fieldsID="76200ad4edfc8ed3f6fb22488b3ec77f" ns2:_="" ns3:_="">
    <xsd:import namespace="bc1d42ac-7b64-45cd-9065-b9f493686385"/>
    <xsd:import namespace="a20525aa-aa8a-4bba-979a-5db41298085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c1d42ac-7b64-45cd-9065-b9f49368638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20525aa-aa8a-4bba-979a-5db41298085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6DFA1DB-1B17-4576-AF3D-5BBFD0511E25}">
  <ds:schemaRefs>
    <ds:schemaRef ds:uri="http://purl.org/dc/dcmitype/"/>
    <ds:schemaRef ds:uri="http://purl.org/dc/terms/"/>
    <ds:schemaRef ds:uri="http://purl.org/dc/elements/1.1/"/>
    <ds:schemaRef ds:uri="http://schemas.microsoft.com/office/2006/metadata/properties"/>
    <ds:schemaRef ds:uri="http://www.w3.org/XML/1998/namespace"/>
    <ds:schemaRef ds:uri="a20525aa-aa8a-4bba-979a-5db41298085f"/>
    <ds:schemaRef ds:uri="http://schemas.microsoft.com/office/2006/documentManagement/types"/>
    <ds:schemaRef ds:uri="http://schemas.microsoft.com/office/infopath/2007/PartnerControls"/>
    <ds:schemaRef ds:uri="http://schemas.openxmlformats.org/package/2006/metadata/core-properties"/>
    <ds:schemaRef ds:uri="bc1d42ac-7b64-45cd-9065-b9f493686385"/>
  </ds:schemaRefs>
</ds:datastoreItem>
</file>

<file path=customXml/itemProps2.xml><?xml version="1.0" encoding="utf-8"?>
<ds:datastoreItem xmlns:ds="http://schemas.openxmlformats.org/officeDocument/2006/customXml" ds:itemID="{552C7222-2A80-4862-AD2A-43EAEF40146C}">
  <ds:schemaRefs>
    <ds:schemaRef ds:uri="http://schemas.microsoft.com/sharepoint/v3/contenttype/forms"/>
  </ds:schemaRefs>
</ds:datastoreItem>
</file>

<file path=customXml/itemProps3.xml><?xml version="1.0" encoding="utf-8"?>
<ds:datastoreItem xmlns:ds="http://schemas.openxmlformats.org/officeDocument/2006/customXml" ds:itemID="{C650B57C-DA5D-4964-A2E1-47CB32841C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c1d42ac-7b64-45cd-9065-b9f493686385"/>
    <ds:schemaRef ds:uri="a20525aa-aa8a-4bba-979a-5db4129808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9715e697-1c31-4156-8581-01c5d1e29c65}" enabled="1" method="Standard" siteId="{cf4e8a24-641b-40d2-905e-9a328b644fab}"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Instructions</vt:lpstr>
      <vt:lpstr>Facility Information</vt:lpstr>
      <vt:lpstr>Product Information</vt:lpstr>
      <vt:lpstr>Production Data</vt:lpstr>
      <vt:lpstr>Electricity Data</vt:lpstr>
      <vt:lpstr>Gas-to-Power Data</vt:lpstr>
      <vt:lpstr>Drilling Data</vt:lpstr>
      <vt:lpstr>Compliance</vt:lpstr>
      <vt:lpstr>Declaration</vt:lpstr>
      <vt:lpstr>Appendix</vt:lpstr>
    </vt:vector>
  </TitlesOfParts>
  <Manager/>
  <Company>Government of Saskatchewan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Ministry of Environment</dc:creator>
  <cp:keywords/>
  <dc:description/>
  <cp:lastModifiedBy>Kot, Aimee ENV</cp:lastModifiedBy>
  <cp:revision/>
  <cp:lastPrinted>2025-01-24T21:56:50Z</cp:lastPrinted>
  <dcterms:created xsi:type="dcterms:W3CDTF">2023-09-15T16:14:40Z</dcterms:created>
  <dcterms:modified xsi:type="dcterms:W3CDTF">2025-02-26T19:28:29Z</dcterms:modified>
  <cp:category/>
  <cp:contentStatus/>
</cp:coreProperties>
</file>